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Financial Reports\"/>
    </mc:Choice>
  </mc:AlternateContent>
  <bookViews>
    <workbookView xWindow="0" yWindow="0" windowWidth="28800" windowHeight="1350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310 (2)_5...3d931dee_QNK8R2" sheetId="17" state="hidden" r:id="rId13"/>
    <sheet name="OSR_300 &amp; 317_1C00ID4" sheetId="19" state="hidden" r:id="rId14"/>
    <sheet name="OSR_300 (2)_...6aa5a22d_14M6XO4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...853a34aa_1UNC34K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)...32d16c57_IVJ1QO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4" r:id="rId51"/>
    <sheet name="306" sheetId="68" r:id="rId52"/>
    <sheet name="330" sheetId="24" r:id="rId53"/>
    <sheet name="307" sheetId="69" r:id="rId54"/>
    <sheet name="314" sheetId="74" r:id="rId55"/>
    <sheet name="308" sheetId="27" r:id="rId56"/>
    <sheet name="311" sheetId="71" r:id="rId57"/>
    <sheet name="312" sheetId="72" r:id="rId58"/>
    <sheet name="331" sheetId="30" r:id="rId59"/>
    <sheet name="315" sheetId="75" r:id="rId60"/>
    <sheet name="332" sheetId="33" r:id="rId61"/>
    <sheet name="316" sheetId="76" r:id="rId62"/>
    <sheet name="320" sheetId="79" r:id="rId63"/>
    <sheet name="Div 6" sheetId="51" r:id="rId64"/>
    <sheet name="317" sheetId="77" r:id="rId65"/>
    <sheet name="310" sheetId="21" r:id="rId66"/>
    <sheet name="309" sheetId="70" r:id="rId67"/>
    <sheet name="313" sheetId="73" r:id="rId68"/>
    <sheet name="321" sheetId="80" r:id="rId69"/>
    <sheet name="322" sheetId="81" r:id="rId70"/>
    <sheet name="323" sheetId="82" r:id="rId71"/>
    <sheet name="324" sheetId="83" r:id="rId72"/>
    <sheet name="325" sheetId="84" r:id="rId73"/>
    <sheet name="326" sheetId="85" r:id="rId74"/>
    <sheet name="327" sheetId="86" r:id="rId75"/>
    <sheet name="Div 4" sheetId="36" r:id="rId76"/>
    <sheet name="310 &amp; 491" sheetId="39" r:id="rId77"/>
    <sheet name="491" sheetId="42" r:id="rId78"/>
    <sheet name="405" sheetId="88" r:id="rId79"/>
    <sheet name="406" sheetId="89" r:id="rId80"/>
    <sheet name="411" sheetId="92" r:id="rId81"/>
    <sheet name="412" sheetId="93" r:id="rId82"/>
    <sheet name="413" sheetId="94" r:id="rId83"/>
    <sheet name="414" sheetId="95" r:id="rId84"/>
    <sheet name="415" sheetId="96" r:id="rId85"/>
    <sheet name="418" sheetId="98" r:id="rId86"/>
    <sheet name="420" sheetId="99" r:id="rId87"/>
    <sheet name="423" sheetId="100" r:id="rId88"/>
    <sheet name="424" sheetId="101" r:id="rId89"/>
    <sheet name="425" sheetId="102" r:id="rId90"/>
    <sheet name="455" sheetId="109" r:id="rId91"/>
    <sheet name="492" sheetId="45" r:id="rId92"/>
    <sheet name="430" sheetId="103" r:id="rId93"/>
    <sheet name="433" sheetId="104" r:id="rId94"/>
    <sheet name="435" sheetId="105" r:id="rId95"/>
    <sheet name="444" sheetId="106" r:id="rId96"/>
    <sheet name="445" sheetId="107" r:id="rId97"/>
    <sheet name="450" sheetId="108" r:id="rId98"/>
    <sheet name="Div 5" sheetId="48" r:id="rId99"/>
    <sheet name="501" sheetId="110" r:id="rId100"/>
    <sheet name="Dept" sheetId="111" state="hidden" r:id="rId101"/>
    <sheet name="OSR_Dept_Y0WUKY" sheetId="112" state="hidden" r:id="rId102"/>
    <sheet name="OSR_Summary (...56e5d78f_5JEYZH" sheetId="113" state="hidden" r:id="rId103"/>
  </sheets>
  <definedNames>
    <definedName name="OSRRefD13x_0" localSheetId="48">'300'!$D$13:$D$92</definedName>
    <definedName name="OSRRefD13x_0" localSheetId="49">'300 &amp; 317'!$D$13:$D$110</definedName>
    <definedName name="OSRRefD13x_0" localSheetId="53">'307'!$D$13:$D$35</definedName>
    <definedName name="OSRRefD13x_0" localSheetId="55">'308'!$D$13:$D$35</definedName>
    <definedName name="OSRRefD13x_0" localSheetId="66">'309'!$D$13:$D$15</definedName>
    <definedName name="OSRRefD13x_0" localSheetId="65">'310'!$D$13:$D$22</definedName>
    <definedName name="OSRRefD13x_0" localSheetId="76">'310 &amp; 491'!$D$13:$D$29</definedName>
    <definedName name="OSRRefD13x_0" localSheetId="56">'311'!$D$13:$D$35</definedName>
    <definedName name="OSRRefD13x_0" localSheetId="67">'313'!$D$13:$D$18</definedName>
    <definedName name="OSRRefD13x_0" localSheetId="54">'314'!$D$13:$D$33</definedName>
    <definedName name="OSRRefD13x_0" localSheetId="59">'315'!$D$13:$D$31</definedName>
    <definedName name="OSRRefD13x_0" localSheetId="61">'316'!$D$13:$D$25</definedName>
    <definedName name="OSRRefD13x_0" localSheetId="64">'317'!$D$13:$D$36</definedName>
    <definedName name="OSRRefD13x_0" localSheetId="62">'320'!$D$13:$D$15</definedName>
    <definedName name="OSRRefD13x_0" localSheetId="68">'321'!$D$13:$D$15</definedName>
    <definedName name="OSRRefD13x_0" localSheetId="69">'322'!$D$13:$D$15</definedName>
    <definedName name="OSRRefD13x_0" localSheetId="71">'324'!$D$13:$D$15</definedName>
    <definedName name="OSRRefD13x_0" localSheetId="72">'325'!$D$13:$D$15</definedName>
    <definedName name="OSRRefD13x_0" localSheetId="73">'326'!$D$13:$D$30</definedName>
    <definedName name="OSRRefD13x_0" localSheetId="74">'327'!$D$13:$D$14</definedName>
    <definedName name="OSRRefD13x_0" localSheetId="52">'330'!$D$13:$D$44</definedName>
    <definedName name="OSRRefD13x_0" localSheetId="58">'331'!$D$13:$D$37</definedName>
    <definedName name="OSRRefD13x_0" localSheetId="60">'332'!$D$13:$D$28</definedName>
    <definedName name="OSRRefD13x_0" localSheetId="78">'405'!$D$13:$D$15</definedName>
    <definedName name="OSRRefD13x_0" localSheetId="79">'406'!$D$13:$D$16</definedName>
    <definedName name="OSRRefD13x_0" localSheetId="81">'412'!$D$13:$D$16</definedName>
    <definedName name="OSRRefD13x_0" localSheetId="82">'413'!$D$13:$D$16</definedName>
    <definedName name="OSRRefD13x_0" localSheetId="83">'414'!$D$13:$D$16</definedName>
    <definedName name="OSRRefD13x_0" localSheetId="84">'415'!$D$13:$D$15</definedName>
    <definedName name="OSRRefD13x_0" localSheetId="85">'418'!$D$13:$D$16</definedName>
    <definedName name="OSRRefD13x_0" localSheetId="88">'424'!$D$13:$D$15</definedName>
    <definedName name="OSRRefD13x_0" localSheetId="89">'425'!$D$13:$D$16</definedName>
    <definedName name="OSRRefD13x_0" localSheetId="93">'433'!$D$13:$D$16</definedName>
    <definedName name="OSRRefD13x_0" localSheetId="94">'435'!$D$13:$D$15</definedName>
    <definedName name="OSRRefD13x_0" localSheetId="95">'444'!$D$13:$D$16</definedName>
    <definedName name="OSRRefD13x_0" localSheetId="97">'450'!$D$13:$D$15</definedName>
    <definedName name="OSRRefD13x_0" localSheetId="77">'491'!$D$13:$D$23</definedName>
    <definedName name="OSRRefD13x_0" localSheetId="91">'492'!$D$13:$D$18</definedName>
    <definedName name="OSRRefD13x_0" localSheetId="99">'501'!$D$13</definedName>
    <definedName name="OSRRefD13x_0" localSheetId="47">'Div 3'!$D$13:$D$96</definedName>
    <definedName name="OSRRefD13x_0" localSheetId="75">'Div 4'!$D$13:$D$24</definedName>
    <definedName name="OSRRefD13x_0" localSheetId="98">'Div 5'!$D$13</definedName>
    <definedName name="OSRRefD13x_0" localSheetId="63">'Div 6'!$D$13:$D$36</definedName>
    <definedName name="OSRRefD13x_0" localSheetId="2">Summary!$D$13:$D$121</definedName>
    <definedName name="OSRRefD16x_0" localSheetId="48">'300'!$D$95:$D$142</definedName>
    <definedName name="OSRRefD16x_0" localSheetId="49">'300 &amp; 317'!$D$113:$D$165</definedName>
    <definedName name="OSRRefD16x_0" localSheetId="53">'307'!$D$38:$D$54</definedName>
    <definedName name="OSRRefD16x_0" localSheetId="55">'308'!$D$38:$D$51</definedName>
    <definedName name="OSRRefD16x_0" localSheetId="66">'309'!$D$18:$D$20</definedName>
    <definedName name="OSRRefD16x_0" localSheetId="65">'310'!$D$25:$D$27</definedName>
    <definedName name="OSRRefD16x_0" localSheetId="76">'310 &amp; 491'!$D$32:$D$34</definedName>
    <definedName name="OSRRefD16x_0" localSheetId="56">'311'!$D$38:$D$51</definedName>
    <definedName name="OSRRefD16x_0" localSheetId="67">'313'!$D$21:$D$23</definedName>
    <definedName name="OSRRefD16x_0" localSheetId="54">'314'!$D$36:$D$50</definedName>
    <definedName name="OSRRefD16x_0" localSheetId="59">'315'!$D$34:$D$48</definedName>
    <definedName name="OSRRefD16x_0" localSheetId="64">'317'!$D$39:$D$50</definedName>
    <definedName name="OSRRefD16x_0" localSheetId="62">'320'!$D$18:$D$22</definedName>
    <definedName name="OSRRefD16x_0" localSheetId="68">'321'!$D$18:$D$20</definedName>
    <definedName name="OSRRefD16x_0" localSheetId="69">'322'!$D$18:$D$20</definedName>
    <definedName name="OSRRefD16x_0" localSheetId="71">'324'!$D$18:$D$20</definedName>
    <definedName name="OSRRefD16x_0" localSheetId="72">'325'!$D$18:$D$20</definedName>
    <definedName name="OSRRefD16x_0" localSheetId="73">'326'!$D$33:$D$45</definedName>
    <definedName name="OSRRefD16x_0" localSheetId="74">'327'!$D$17:$D$18</definedName>
    <definedName name="OSRRefD16x_0" localSheetId="52">'330'!$D$47:$D$68</definedName>
    <definedName name="OSRRefD16x_0" localSheetId="58">'331'!$D$40:$D$59</definedName>
    <definedName name="OSRRefD16x_0" localSheetId="60">'332'!$D$31:$D$35</definedName>
    <definedName name="OSRRefD16x_0" localSheetId="78">'405'!$D$18:$D$20</definedName>
    <definedName name="OSRRefD16x_0" localSheetId="79">'406'!$D$19:$D$21</definedName>
    <definedName name="OSRRefD16x_0" localSheetId="81">'412'!$D$19:$D$20</definedName>
    <definedName name="OSRRefD16x_0" localSheetId="82">'413'!$D$19:$D$21</definedName>
    <definedName name="OSRRefD16x_0" localSheetId="83">'414'!$D$19:$D$21</definedName>
    <definedName name="OSRRefD16x_0" localSheetId="84">'415'!$D$18:$D$20</definedName>
    <definedName name="OSRRefD16x_0" localSheetId="85">'418'!$D$19:$D$21</definedName>
    <definedName name="OSRRefD16x_0" localSheetId="87">'423'!$D$15</definedName>
    <definedName name="OSRRefD16x_0" localSheetId="88">'424'!$D$18:$D$20</definedName>
    <definedName name="OSRRefD16x_0" localSheetId="89">'425'!$D$19:$D$21</definedName>
    <definedName name="OSRRefD16x_0" localSheetId="93">'433'!$D$19:$D$21</definedName>
    <definedName name="OSRRefD16x_0" localSheetId="94">'435'!$D$18:$D$20</definedName>
    <definedName name="OSRRefD16x_0" localSheetId="95">'444'!$D$19:$D$21</definedName>
    <definedName name="OSRRefD16x_0" localSheetId="97">'450'!$D$18:$D$20</definedName>
    <definedName name="OSRRefD16x_0" localSheetId="77">'491'!$D$26:$D$28</definedName>
    <definedName name="OSRRefD16x_0" localSheetId="91">'492'!$D$21:$D$23</definedName>
    <definedName name="OSRRefD16x_0" localSheetId="47">'Div 3'!$D$99:$D$148</definedName>
    <definedName name="OSRRefD16x_0" localSheetId="75">'Div 4'!$D$27:$D$29</definedName>
    <definedName name="OSRRefD16x_0" localSheetId="63">'Div 6'!$D$39:$D$50</definedName>
    <definedName name="OSRRefD16x_0" localSheetId="2">Summary!$D$124:$D$178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'300'!$D$148:$D$157</definedName>
    <definedName name="OSRRefD22_0x_0" localSheetId="49">'300 &amp; 317'!$D$171:$D$180</definedName>
    <definedName name="OSRRefD22_0x_0" localSheetId="50">'301'!$D$20:$D$28</definedName>
    <definedName name="OSRRefD22_0x_0" localSheetId="51">'306'!$D$20:$D$28</definedName>
    <definedName name="OSRRefD22_0x_0" localSheetId="53">'307'!$D$60:$D$68</definedName>
    <definedName name="OSRRefD22_0x_0" localSheetId="55">'308'!$D$57:$D$66</definedName>
    <definedName name="OSRRefD22_0x_0" localSheetId="66">'309'!$D$26:$D$34</definedName>
    <definedName name="OSRRefD22_0x_0" localSheetId="65">'310'!$D$33:$D$41</definedName>
    <definedName name="OSRRefD22_0x_0" localSheetId="76">'310 &amp; 491'!$D$40:$D$49</definedName>
    <definedName name="OSRRefD22_0x_0" localSheetId="56">'311'!$D$57:$D$66</definedName>
    <definedName name="OSRRefD22_0x_0" localSheetId="67">'313'!$D$29:$D$37</definedName>
    <definedName name="OSRRefD22_0x_0" localSheetId="54">'314'!$D$56:$D$63</definedName>
    <definedName name="OSRRefD22_0x_0" localSheetId="59">'315'!$D$54:$D$62</definedName>
    <definedName name="OSRRefD22_0x_0" localSheetId="61">'316'!$D$33:$D$41</definedName>
    <definedName name="OSRRefD22_0x_0" localSheetId="64">'317'!$D$56:$D$65</definedName>
    <definedName name="OSRRefD22_0x_0" localSheetId="62">'320'!$D$28:$D$35</definedName>
    <definedName name="OSRRefD22_0x_0" localSheetId="68">'321'!$D$26:$D$33</definedName>
    <definedName name="OSRRefD22_0x_0" localSheetId="69">'322'!$D$26:$D$34</definedName>
    <definedName name="OSRRefD22_0x_0" localSheetId="72">'325'!$D$26:$D$34</definedName>
    <definedName name="OSRRefD22_0x_0" localSheetId="73">'326'!$D$51:$D$59</definedName>
    <definedName name="OSRRefD22_0x_0" localSheetId="74">'327'!$D$24</definedName>
    <definedName name="OSRRefD22_0x_0" localSheetId="52">'330'!$D$74:$D$82</definedName>
    <definedName name="OSRRefD22_0x_0" localSheetId="58">'331'!$D$65:$D$73</definedName>
    <definedName name="OSRRefD22_0x_0" localSheetId="60">'332'!$D$41:$D$49</definedName>
    <definedName name="OSRRefD22_0x_0" localSheetId="78">'405'!$D$26:$D$34</definedName>
    <definedName name="OSRRefD22_0x_0" localSheetId="79">'406'!$D$27:$D$35</definedName>
    <definedName name="OSRRefD22_0x_0" localSheetId="80">'411'!$D$20:$D$29</definedName>
    <definedName name="OSRRefD22_0x_0" localSheetId="81">'412'!$D$26:$D$34</definedName>
    <definedName name="OSRRefD22_0x_0" localSheetId="82">'413'!$D$27:$D$35</definedName>
    <definedName name="OSRRefD22_0x_0" localSheetId="83">'414'!$D$27:$D$35</definedName>
    <definedName name="OSRRefD22_0x_0" localSheetId="84">'415'!$D$26:$D$34</definedName>
    <definedName name="OSRRefD22_0x_0" localSheetId="85">'418'!$D$27:$D$35</definedName>
    <definedName name="OSRRefD22_0x_0" localSheetId="87">'423'!$D$21:$D$29</definedName>
    <definedName name="OSRRefD22_0x_0" localSheetId="88">'424'!$D$26:$D$33</definedName>
    <definedName name="OSRRefD22_0x_0" localSheetId="89">'425'!$D$27:$D$35</definedName>
    <definedName name="OSRRefD22_0x_0" localSheetId="92">'430'!$D$20:$D$28</definedName>
    <definedName name="OSRRefD22_0x_0" localSheetId="93">'433'!$D$27:$D$36</definedName>
    <definedName name="OSRRefD22_0x_0" localSheetId="94">'435'!$D$26:$D$33</definedName>
    <definedName name="OSRRefD22_0x_0" localSheetId="95">'444'!$D$27:$D$36</definedName>
    <definedName name="OSRRefD22_0x_0" localSheetId="97">'450'!$D$26:$D$35</definedName>
    <definedName name="OSRRefD22_0x_0" localSheetId="90">'455'!$D$20:$D$27</definedName>
    <definedName name="OSRRefD22_0x_0" localSheetId="77">'491'!$D$34:$D$43</definedName>
    <definedName name="OSRRefD22_0x_0" localSheetId="91">'492'!$D$29:$D$38</definedName>
    <definedName name="OSRRefD22_0x_0" localSheetId="99">'501'!$D$21:$D$29</definedName>
    <definedName name="OSRRefD22_0x_0" localSheetId="39">'Div 2'!$D$20:$D$30</definedName>
    <definedName name="OSRRefD22_0x_0" localSheetId="47">'Div 3'!$D$154:$D$163</definedName>
    <definedName name="OSRRefD22_0x_0" localSheetId="75">'Div 4'!$D$35:$D$44</definedName>
    <definedName name="OSRRefD22_0x_0" localSheetId="98">'Div 5'!$D$21:$D$29</definedName>
    <definedName name="OSRRefD22_0x_0" localSheetId="63">'Div 6'!$D$56:$D$65</definedName>
    <definedName name="OSRRefD22_0x_0" localSheetId="2">Summary!$D$184:$D$193</definedName>
    <definedName name="OSRRefD22_10x_0" localSheetId="41">'201'!$D$59</definedName>
    <definedName name="OSRRefD22_10x_0" localSheetId="42">'202'!$D$59</definedName>
    <definedName name="OSRRefD22_10x_0" localSheetId="43">'203'!$D$59:$D$60</definedName>
    <definedName name="OSRRefD22_10x_0" localSheetId="44">'204'!$D$62</definedName>
    <definedName name="OSRRefD22_10x_0" localSheetId="48">'300'!$D$191:$D$192</definedName>
    <definedName name="OSRRefD22_10x_0" localSheetId="49">'300 &amp; 317'!$D$214:$D$215</definedName>
    <definedName name="OSRRefD22_10x_0" localSheetId="50">'301'!$D$61</definedName>
    <definedName name="OSRRefD22_10x_0" localSheetId="53">'307'!$D$99</definedName>
    <definedName name="OSRRefD22_10x_0" localSheetId="55">'308'!$D$97</definedName>
    <definedName name="OSRRefD22_10x_0" localSheetId="66">'309'!$D$64:$D$66</definedName>
    <definedName name="OSRRefD22_10x_0" localSheetId="65">'310'!$D$71</definedName>
    <definedName name="OSRRefD22_10x_0" localSheetId="76">'310 &amp; 491'!$D$81</definedName>
    <definedName name="OSRRefD22_10x_0" localSheetId="56">'311'!$D$97</definedName>
    <definedName name="OSRRefD22_10x_0" localSheetId="67">'313'!$D$67</definedName>
    <definedName name="OSRRefD22_10x_0" localSheetId="59">'315'!$D$91:$D$93</definedName>
    <definedName name="OSRRefD22_10x_0" localSheetId="61">'316'!$D$70:$D$71</definedName>
    <definedName name="OSRRefD22_10x_0" localSheetId="64">'317'!$D$96</definedName>
    <definedName name="OSRRefD22_10x_0" localSheetId="68">'321'!$D$63</definedName>
    <definedName name="OSRRefD22_10x_0" localSheetId="69">'322'!$D$64:$D$66</definedName>
    <definedName name="OSRRefD22_10x_0" localSheetId="72">'325'!$D$64</definedName>
    <definedName name="OSRRefD22_10x_0" localSheetId="73">'326'!$D$89</definedName>
    <definedName name="OSRRefD22_10x_0" localSheetId="52">'330'!$D$113</definedName>
    <definedName name="OSRRefD22_10x_0" localSheetId="58">'331'!$D$103</definedName>
    <definedName name="OSRRefD22_10x_0" localSheetId="60">'332'!$D$79</definedName>
    <definedName name="OSRRefD22_10x_0" localSheetId="78">'405'!$D$64:$D$66</definedName>
    <definedName name="OSRRefD22_10x_0" localSheetId="79">'406'!$D$67:$D$72</definedName>
    <definedName name="OSRRefD22_10x_0" localSheetId="80">'411'!$D$60:$D$62</definedName>
    <definedName name="OSRRefD22_10x_0" localSheetId="81">'412'!$D$64:$D$65</definedName>
    <definedName name="OSRRefD22_10x_0" localSheetId="82">'413'!$D$68:$D$69</definedName>
    <definedName name="OSRRefD22_10x_0" localSheetId="83">'414'!$D$65</definedName>
    <definedName name="OSRRefD22_10x_0" localSheetId="84">'415'!$D$64</definedName>
    <definedName name="OSRRefD22_10x_0" localSheetId="85">'418'!$D$67:$D$69</definedName>
    <definedName name="OSRRefD22_10x_0" localSheetId="88">'424'!$D$63:$D$64</definedName>
    <definedName name="OSRRefD22_10x_0" localSheetId="89">'425'!$D$64:$D$65</definedName>
    <definedName name="OSRRefD22_10x_0" localSheetId="92">'430'!$D$59</definedName>
    <definedName name="OSRRefD22_10x_0" localSheetId="93">'433'!$D$65:$D$66</definedName>
    <definedName name="OSRRefD22_10x_0" localSheetId="95">'444'!$D$65</definedName>
    <definedName name="OSRRefD22_10x_0" localSheetId="97">'450'!$D$65</definedName>
    <definedName name="OSRRefD22_10x_0" localSheetId="77">'491'!$D$76</definedName>
    <definedName name="OSRRefD22_10x_0" localSheetId="91">'492'!$D$69</definedName>
    <definedName name="OSRRefD22_10x_0" localSheetId="99">'501'!$D$58:$D$59</definedName>
    <definedName name="OSRRefD22_10x_0" localSheetId="39">'Div 2'!$D$59</definedName>
    <definedName name="OSRRefD22_10x_0" localSheetId="47">'Div 3'!$D$197:$D$198</definedName>
    <definedName name="OSRRefD22_10x_0" localSheetId="75">'Div 4'!$D$78:$D$79</definedName>
    <definedName name="OSRRefD22_10x_0" localSheetId="98">'Div 5'!$D$58:$D$59</definedName>
    <definedName name="OSRRefD22_10x_0" localSheetId="63">'Div 6'!$D$96</definedName>
    <definedName name="OSRRefD22_10x_0" localSheetId="2">Summary!$D$229:$D$230</definedName>
    <definedName name="OSRRefD22_11x_0" localSheetId="41">'201'!$D$61:$D$63</definedName>
    <definedName name="OSRRefD22_11x_0" localSheetId="42">'202'!$D$61</definedName>
    <definedName name="OSRRefD22_11x_0" localSheetId="43">'203'!$D$62</definedName>
    <definedName name="OSRRefD22_11x_0" localSheetId="44">'204'!$D$64:$D$65</definedName>
    <definedName name="OSRRefD22_11x_0" localSheetId="48">'300'!$D$194</definedName>
    <definedName name="OSRRefD22_11x_0" localSheetId="49">'300 &amp; 317'!$D$217</definedName>
    <definedName name="OSRRefD22_11x_0" localSheetId="50">'301'!$D$63</definedName>
    <definedName name="OSRRefD22_11x_0" localSheetId="53">'307'!$D$101</definedName>
    <definedName name="OSRRefD22_11x_0" localSheetId="55">'308'!$D$99:$D$101</definedName>
    <definedName name="OSRRefD22_11x_0" localSheetId="66">'309'!$D$68</definedName>
    <definedName name="OSRRefD22_11x_0" localSheetId="65">'310'!$D$73</definedName>
    <definedName name="OSRRefD22_11x_0" localSheetId="76">'310 &amp; 491'!$D$83:$D$84</definedName>
    <definedName name="OSRRefD22_11x_0" localSheetId="56">'311'!$D$99:$D$101</definedName>
    <definedName name="OSRRefD22_11x_0" localSheetId="67">'313'!$D$69:$D$72</definedName>
    <definedName name="OSRRefD22_11x_0" localSheetId="59">'315'!$D$95:$D$96</definedName>
    <definedName name="OSRRefD22_11x_0" localSheetId="61">'316'!$D$73:$D$76</definedName>
    <definedName name="OSRRefD22_11x_0" localSheetId="68">'321'!$D$65:$D$66</definedName>
    <definedName name="OSRRefD22_11x_0" localSheetId="69">'322'!$D$68:$D$72</definedName>
    <definedName name="OSRRefD22_11x_0" localSheetId="72">'325'!$D$66:$D$67</definedName>
    <definedName name="OSRRefD22_11x_0" localSheetId="73">'326'!$D$91</definedName>
    <definedName name="OSRRefD22_11x_0" localSheetId="52">'330'!$D$115</definedName>
    <definedName name="OSRRefD22_11x_0" localSheetId="58">'331'!$D$105</definedName>
    <definedName name="OSRRefD22_11x_0" localSheetId="60">'332'!$D$81:$D$82</definedName>
    <definedName name="OSRRefD22_11x_0" localSheetId="78">'405'!$D$68</definedName>
    <definedName name="OSRRefD22_11x_0" localSheetId="79">'406'!$D$74:$D$75</definedName>
    <definedName name="OSRRefD22_11x_0" localSheetId="80">'411'!$D$64:$D$68</definedName>
    <definedName name="OSRRefD22_11x_0" localSheetId="81">'412'!$D$67:$D$72</definedName>
    <definedName name="OSRRefD22_11x_0" localSheetId="82">'413'!$D$71</definedName>
    <definedName name="OSRRefD22_11x_0" localSheetId="83">'414'!$D$67</definedName>
    <definedName name="OSRRefD22_11x_0" localSheetId="84">'415'!$D$66</definedName>
    <definedName name="OSRRefD22_11x_0" localSheetId="85">'418'!$D$71</definedName>
    <definedName name="OSRRefD22_11x_0" localSheetId="88">'424'!$D$66:$D$67</definedName>
    <definedName name="OSRRefD22_11x_0" localSheetId="89">'425'!$D$67:$D$68</definedName>
    <definedName name="OSRRefD22_11x_0" localSheetId="93">'433'!$D$68:$D$71</definedName>
    <definedName name="OSRRefD22_11x_0" localSheetId="95">'444'!$D$67:$D$69</definedName>
    <definedName name="OSRRefD22_11x_0" localSheetId="97">'450'!$D$67</definedName>
    <definedName name="OSRRefD22_11x_0" localSheetId="77">'491'!$D$78</definedName>
    <definedName name="OSRRefD22_11x_0" localSheetId="91">'492'!$D$71</definedName>
    <definedName name="OSRRefD22_11x_0" localSheetId="99">'501'!$D$61:$D$62</definedName>
    <definedName name="OSRRefD22_11x_0" localSheetId="39">'Div 2'!$D$61</definedName>
    <definedName name="OSRRefD22_11x_0" localSheetId="47">'Div 3'!$D$200</definedName>
    <definedName name="OSRRefD22_11x_0" localSheetId="75">'Div 4'!$D$81</definedName>
    <definedName name="OSRRefD22_11x_0" localSheetId="98">'Div 5'!$D$61:$D$62</definedName>
    <definedName name="OSRRefD22_11x_0" localSheetId="2">Summary!$D$232:$D$233</definedName>
    <definedName name="OSRRefD22_12x_0" localSheetId="41">'201'!$D$65</definedName>
    <definedName name="OSRRefD22_12x_0" localSheetId="42">'202'!$D$63:$D$64</definedName>
    <definedName name="OSRRefD22_12x_0" localSheetId="43">'203'!$D$64:$D$66</definedName>
    <definedName name="OSRRefD22_12x_0" localSheetId="48">'300'!$D$196</definedName>
    <definedName name="OSRRefD22_12x_0" localSheetId="49">'300 &amp; 317'!$D$219</definedName>
    <definedName name="OSRRefD22_12x_0" localSheetId="50">'301'!$D$65</definedName>
    <definedName name="OSRRefD22_12x_0" localSheetId="53">'307'!$D$103</definedName>
    <definedName name="OSRRefD22_12x_0" localSheetId="55">'308'!$D$103:$D$104</definedName>
    <definedName name="OSRRefD22_12x_0" localSheetId="66">'309'!$D$70</definedName>
    <definedName name="OSRRefD22_12x_0" localSheetId="65">'310'!$D$75</definedName>
    <definedName name="OSRRefD22_12x_0" localSheetId="76">'310 &amp; 491'!$D$86</definedName>
    <definedName name="OSRRefD22_12x_0" localSheetId="56">'311'!$D$103:$D$104</definedName>
    <definedName name="OSRRefD22_12x_0" localSheetId="67">'313'!$D$74</definedName>
    <definedName name="OSRRefD22_12x_0" localSheetId="59">'315'!$D$98:$D$101</definedName>
    <definedName name="OSRRefD22_12x_0" localSheetId="61">'316'!$D$78:$D$79</definedName>
    <definedName name="OSRRefD22_12x_0" localSheetId="68">'321'!$D$68:$D$70</definedName>
    <definedName name="OSRRefD22_12x_0" localSheetId="69">'322'!$D$74</definedName>
    <definedName name="OSRRefD22_12x_0" localSheetId="72">'325'!$D$69:$D$72</definedName>
    <definedName name="OSRRefD22_12x_0" localSheetId="73">'326'!$D$93</definedName>
    <definedName name="OSRRefD22_12x_0" localSheetId="52">'330'!$D$117</definedName>
    <definedName name="OSRRefD22_12x_0" localSheetId="58">'331'!$D$107</definedName>
    <definedName name="OSRRefD22_12x_0" localSheetId="60">'332'!$D$84:$D$88</definedName>
    <definedName name="OSRRefD22_12x_0" localSheetId="78">'405'!$D$70:$D$72</definedName>
    <definedName name="OSRRefD22_12x_0" localSheetId="79">'406'!$D$77</definedName>
    <definedName name="OSRRefD22_12x_0" localSheetId="80">'411'!$D$70:$D$75</definedName>
    <definedName name="OSRRefD22_12x_0" localSheetId="81">'412'!$D$74</definedName>
    <definedName name="OSRRefD22_12x_0" localSheetId="83">'414'!$D$69</definedName>
    <definedName name="OSRRefD22_12x_0" localSheetId="84">'415'!$D$68:$D$72</definedName>
    <definedName name="OSRRefD22_12x_0" localSheetId="85">'418'!$D$73:$D$77</definedName>
    <definedName name="OSRRefD22_12x_0" localSheetId="89">'425'!$D$70:$D$73</definedName>
    <definedName name="OSRRefD22_12x_0" localSheetId="93">'433'!$D$73:$D$79</definedName>
    <definedName name="OSRRefD22_12x_0" localSheetId="95">'444'!$D$71:$D$74</definedName>
    <definedName name="OSRRefD22_12x_0" localSheetId="97">'450'!$D$69:$D$71</definedName>
    <definedName name="OSRRefD22_12x_0" localSheetId="77">'491'!$D$80</definedName>
    <definedName name="OSRRefD22_12x_0" localSheetId="91">'492'!$D$73:$D$75</definedName>
    <definedName name="OSRRefD22_12x_0" localSheetId="99">'501'!$D$64</definedName>
    <definedName name="OSRRefD22_12x_0" localSheetId="39">'Div 2'!$D$63:$D$65</definedName>
    <definedName name="OSRRefD22_12x_0" localSheetId="47">'Div 3'!$D$202</definedName>
    <definedName name="OSRRefD22_12x_0" localSheetId="75">'Div 4'!$D$83</definedName>
    <definedName name="OSRRefD22_12x_0" localSheetId="98">'Div 5'!$D$64</definedName>
    <definedName name="OSRRefD22_12x_0" localSheetId="2">Summary!$D$235</definedName>
    <definedName name="OSRRefD22_13x_0" localSheetId="41">'201'!$D$67</definedName>
    <definedName name="OSRRefD22_13x_0" localSheetId="42">'202'!$D$66</definedName>
    <definedName name="OSRRefD22_13x_0" localSheetId="43">'203'!$D$68</definedName>
    <definedName name="OSRRefD22_13x_0" localSheetId="48">'300'!$D$198</definedName>
    <definedName name="OSRRefD22_13x_0" localSheetId="49">'300 &amp; 317'!$D$221</definedName>
    <definedName name="OSRRefD22_13x_0" localSheetId="50">'301'!$D$67</definedName>
    <definedName name="OSRRefD22_13x_0" localSheetId="55">'308'!$D$106</definedName>
    <definedName name="OSRRefD22_13x_0" localSheetId="65">'310'!$D$77</definedName>
    <definedName name="OSRRefD22_13x_0" localSheetId="76">'310 &amp; 491'!$D$88</definedName>
    <definedName name="OSRRefD22_13x_0" localSheetId="56">'311'!$D$106</definedName>
    <definedName name="OSRRefD22_13x_0" localSheetId="67">'313'!$D$76</definedName>
    <definedName name="OSRRefD22_13x_0" localSheetId="59">'315'!$D$103</definedName>
    <definedName name="OSRRefD22_13x_0" localSheetId="68">'321'!$D$72</definedName>
    <definedName name="OSRRefD22_13x_0" localSheetId="69">'322'!$D$76</definedName>
    <definedName name="OSRRefD22_13x_0" localSheetId="72">'325'!$D$74</definedName>
    <definedName name="OSRRefD22_13x_0" localSheetId="73">'326'!$D$95:$D$96</definedName>
    <definedName name="OSRRefD22_13x_0" localSheetId="52">'330'!$D$119</definedName>
    <definedName name="OSRRefD22_13x_0" localSheetId="58">'331'!$D$109</definedName>
    <definedName name="OSRRefD22_13x_0" localSheetId="60">'332'!$D$90:$D$91</definedName>
    <definedName name="OSRRefD22_13x_0" localSheetId="78">'405'!$D$74</definedName>
    <definedName name="OSRRefD22_13x_0" localSheetId="79">'406'!$D$79</definedName>
    <definedName name="OSRRefD22_13x_0" localSheetId="80">'411'!$D$77</definedName>
    <definedName name="OSRRefD22_13x_0" localSheetId="81">'412'!$D$76</definedName>
    <definedName name="OSRRefD22_13x_0" localSheetId="83">'414'!$D$71:$D$77</definedName>
    <definedName name="OSRRefD22_13x_0" localSheetId="84">'415'!$D$74</definedName>
    <definedName name="OSRRefD22_13x_0" localSheetId="85">'418'!$D$79</definedName>
    <definedName name="OSRRefD22_13x_0" localSheetId="89">'425'!$D$75:$D$76</definedName>
    <definedName name="OSRRefD22_13x_0" localSheetId="93">'433'!$D$81</definedName>
    <definedName name="OSRRefD22_13x_0" localSheetId="95">'444'!$D$76:$D$82</definedName>
    <definedName name="OSRRefD22_13x_0" localSheetId="97">'450'!$D$73:$D$78</definedName>
    <definedName name="OSRRefD22_13x_0" localSheetId="77">'491'!$D$82</definedName>
    <definedName name="OSRRefD22_13x_0" localSheetId="91">'492'!$D$77:$D$80</definedName>
    <definedName name="OSRRefD22_13x_0" localSheetId="39">'Div 2'!$D$67:$D$70</definedName>
    <definedName name="OSRRefD22_13x_0" localSheetId="47">'Div 3'!$D$204</definedName>
    <definedName name="OSRRefD22_13x_0" localSheetId="75">'Div 4'!$D$85</definedName>
    <definedName name="OSRRefD22_13x_0" localSheetId="2">Summary!$D$237</definedName>
    <definedName name="OSRRefD22_14x_0" localSheetId="41">'201'!$D$69</definedName>
    <definedName name="OSRRefD22_14x_0" localSheetId="42">'202'!$D$68</definedName>
    <definedName name="OSRRefD22_14x_0" localSheetId="43">'203'!$D$70</definedName>
    <definedName name="OSRRefD22_14x_0" localSheetId="48">'300'!$D$200</definedName>
    <definedName name="OSRRefD22_14x_0" localSheetId="49">'300 &amp; 317'!$D$223</definedName>
    <definedName name="OSRRefD22_14x_0" localSheetId="50">'301'!$D$69</definedName>
    <definedName name="OSRRefD22_14x_0" localSheetId="55">'308'!$D$108</definedName>
    <definedName name="OSRRefD22_14x_0" localSheetId="65">'310'!$D$79</definedName>
    <definedName name="OSRRefD22_14x_0" localSheetId="76">'310 &amp; 491'!$D$90</definedName>
    <definedName name="OSRRefD22_14x_0" localSheetId="56">'311'!$D$108</definedName>
    <definedName name="OSRRefD22_14x_0" localSheetId="59">'315'!$D$105</definedName>
    <definedName name="OSRRefD22_14x_0" localSheetId="68">'321'!$D$74</definedName>
    <definedName name="OSRRefD22_14x_0" localSheetId="72">'325'!$D$76:$D$82</definedName>
    <definedName name="OSRRefD22_14x_0" localSheetId="73">'326'!$D$98:$D$100</definedName>
    <definedName name="OSRRefD22_14x_0" localSheetId="58">'331'!$D$111:$D$112</definedName>
    <definedName name="OSRRefD22_14x_0" localSheetId="78">'405'!$D$76:$D$84</definedName>
    <definedName name="OSRRefD22_14x_0" localSheetId="80">'411'!$D$79</definedName>
    <definedName name="OSRRefD22_14x_0" localSheetId="83">'414'!$D$79</definedName>
    <definedName name="OSRRefD22_14x_0" localSheetId="84">'415'!$D$76:$D$83</definedName>
    <definedName name="OSRRefD22_14x_0" localSheetId="85">'418'!$D$81</definedName>
    <definedName name="OSRRefD22_14x_0" localSheetId="89">'425'!$D$78</definedName>
    <definedName name="OSRRefD22_14x_0" localSheetId="93">'433'!$D$83</definedName>
    <definedName name="OSRRefD22_14x_0" localSheetId="95">'444'!$D$84</definedName>
    <definedName name="OSRRefD22_14x_0" localSheetId="97">'450'!$D$80</definedName>
    <definedName name="OSRRefD22_14x_0" localSheetId="77">'491'!$D$84:$D$87</definedName>
    <definedName name="OSRRefD22_14x_0" localSheetId="91">'492'!$D$82:$D$90</definedName>
    <definedName name="OSRRefD22_14x_0" localSheetId="39">'Div 2'!$D$72:$D$75</definedName>
    <definedName name="OSRRefD22_14x_0" localSheetId="47">'Div 3'!$D$206</definedName>
    <definedName name="OSRRefD22_14x_0" localSheetId="75">'Div 4'!$D$87</definedName>
    <definedName name="OSRRefD22_14x_0" localSheetId="2">Summary!$D$239</definedName>
    <definedName name="OSRRefD22_15x_0" localSheetId="43">'203'!$D$72</definedName>
    <definedName name="OSRRefD22_15x_0" localSheetId="48">'300'!$D$202</definedName>
    <definedName name="OSRRefD22_15x_0" localSheetId="49">'300 &amp; 317'!$D$225</definedName>
    <definedName name="OSRRefD22_15x_0" localSheetId="50">'301'!$D$71:$D$73</definedName>
    <definedName name="OSRRefD22_15x_0" localSheetId="65">'310'!$D$81:$D$82</definedName>
    <definedName name="OSRRefD22_15x_0" localSheetId="76">'310 &amp; 491'!$D$92</definedName>
    <definedName name="OSRRefD22_15x_0" localSheetId="59">'315'!$D$107</definedName>
    <definedName name="OSRRefD22_15x_0" localSheetId="72">'325'!$D$84</definedName>
    <definedName name="OSRRefD22_15x_0" localSheetId="73">'326'!$D$102:$D$103</definedName>
    <definedName name="OSRRefD22_15x_0" localSheetId="58">'331'!$D$114:$D$116</definedName>
    <definedName name="OSRRefD22_15x_0" localSheetId="78">'405'!$D$86</definedName>
    <definedName name="OSRRefD22_15x_0" localSheetId="80">'411'!$D$81:$D$83</definedName>
    <definedName name="OSRRefD22_15x_0" localSheetId="83">'414'!$D$81</definedName>
    <definedName name="OSRRefD22_15x_0" localSheetId="84">'415'!$D$85</definedName>
    <definedName name="OSRRefD22_15x_0" localSheetId="85">'418'!$D$83</definedName>
    <definedName name="OSRRefD22_15x_0" localSheetId="93">'433'!$D$85:$D$86</definedName>
    <definedName name="OSRRefD22_15x_0" localSheetId="95">'444'!$D$86</definedName>
    <definedName name="OSRRefD22_15x_0" localSheetId="97">'450'!$D$82</definedName>
    <definedName name="OSRRefD22_15x_0" localSheetId="77">'491'!$D$89:$D$91</definedName>
    <definedName name="OSRRefD22_15x_0" localSheetId="91">'492'!$D$92</definedName>
    <definedName name="OSRRefD22_15x_0" localSheetId="39">'Div 2'!$D$77:$D$78</definedName>
    <definedName name="OSRRefD22_15x_0" localSheetId="47">'Div 3'!$D$208</definedName>
    <definedName name="OSRRefD22_15x_0" localSheetId="75">'Div 4'!$D$89</definedName>
    <definedName name="OSRRefD22_15x_0" localSheetId="2">Summary!$D$241</definedName>
    <definedName name="OSRRefD22_16x_0" localSheetId="48">'300'!$D$204:$D$206</definedName>
    <definedName name="OSRRefD22_16x_0" localSheetId="49">'300 &amp; 317'!$D$227:$D$229</definedName>
    <definedName name="OSRRefD22_16x_0" localSheetId="50">'301'!$D$75:$D$77</definedName>
    <definedName name="OSRRefD22_16x_0" localSheetId="65">'310'!$D$84</definedName>
    <definedName name="OSRRefD22_16x_0" localSheetId="76">'310 &amp; 491'!$D$94</definedName>
    <definedName name="OSRRefD22_16x_0" localSheetId="72">'325'!$D$86</definedName>
    <definedName name="OSRRefD22_16x_0" localSheetId="73">'326'!$D$105:$D$109</definedName>
    <definedName name="OSRRefD22_16x_0" localSheetId="58">'331'!$D$118:$D$120</definedName>
    <definedName name="OSRRefD22_16x_0" localSheetId="78">'405'!$D$88</definedName>
    <definedName name="OSRRefD22_16x_0" localSheetId="80">'411'!$D$85</definedName>
    <definedName name="OSRRefD22_16x_0" localSheetId="84">'415'!$D$87:$D$88</definedName>
    <definedName name="OSRRefD22_16x_0" localSheetId="95">'444'!$D$88</definedName>
    <definedName name="OSRRefD22_16x_0" localSheetId="97">'450'!$D$84:$D$85</definedName>
    <definedName name="OSRRefD22_16x_0" localSheetId="77">'491'!$D$93:$D$97</definedName>
    <definedName name="OSRRefD22_16x_0" localSheetId="91">'492'!$D$94</definedName>
    <definedName name="OSRRefD22_16x_0" localSheetId="39">'Div 2'!$D$80:$D$81</definedName>
    <definedName name="OSRRefD22_16x_0" localSheetId="47">'Div 3'!$D$210</definedName>
    <definedName name="OSRRefD22_16x_0" localSheetId="75">'Div 4'!$D$91:$D$94</definedName>
    <definedName name="OSRRefD22_16x_0" localSheetId="2">Summary!$D$243</definedName>
    <definedName name="OSRRefD22_17x_0" localSheetId="48">'300'!$D$208:$D$211</definedName>
    <definedName name="OSRRefD22_17x_0" localSheetId="49">'300 &amp; 317'!$D$231:$D$234</definedName>
    <definedName name="OSRRefD22_17x_0" localSheetId="50">'301'!$D$79:$D$80</definedName>
    <definedName name="OSRRefD22_17x_0" localSheetId="65">'310'!$D$86:$D$90</definedName>
    <definedName name="OSRRefD22_17x_0" localSheetId="76">'310 &amp; 491'!$D$96:$D$99</definedName>
    <definedName name="OSRRefD22_17x_0" localSheetId="72">'325'!$D$88</definedName>
    <definedName name="OSRRefD22_17x_0" localSheetId="73">'326'!$D$111:$D$112</definedName>
    <definedName name="OSRRefD22_17x_0" localSheetId="58">'331'!$D$122:$D$123</definedName>
    <definedName name="OSRRefD22_17x_0" localSheetId="78">'405'!$D$90</definedName>
    <definedName name="OSRRefD22_17x_0" localSheetId="84">'415'!$D$90</definedName>
    <definedName name="OSRRefD22_17x_0" localSheetId="77">'491'!$D$99</definedName>
    <definedName name="OSRRefD22_17x_0" localSheetId="91">'492'!$D$96:$D$97</definedName>
    <definedName name="OSRRefD22_17x_0" localSheetId="39">'Div 2'!$D$83:$D$86</definedName>
    <definedName name="OSRRefD22_17x_0" localSheetId="47">'Div 3'!$D$212</definedName>
    <definedName name="OSRRefD22_17x_0" localSheetId="75">'Div 4'!$D$96:$D$98</definedName>
    <definedName name="OSRRefD22_17x_0" localSheetId="2">Summary!$D$245</definedName>
    <definedName name="OSRRefD22_18x_0" localSheetId="48">'300'!$D$213:$D$216</definedName>
    <definedName name="OSRRefD22_18x_0" localSheetId="49">'300 &amp; 317'!$D$236:$D$239</definedName>
    <definedName name="OSRRefD22_18x_0" localSheetId="50">'301'!$D$82:$D$87</definedName>
    <definedName name="OSRRefD22_18x_0" localSheetId="65">'310'!$D$92</definedName>
    <definedName name="OSRRefD22_18x_0" localSheetId="76">'310 &amp; 491'!$D$101:$D$103</definedName>
    <definedName name="OSRRefD22_18x_0" localSheetId="73">'326'!$D$114</definedName>
    <definedName name="OSRRefD22_18x_0" localSheetId="58">'331'!$D$125:$D$129</definedName>
    <definedName name="OSRRefD22_18x_0" localSheetId="77">'491'!$D$101:$D$110</definedName>
    <definedName name="OSRRefD22_18x_0" localSheetId="39">'Div 2'!$D$88:$D$89</definedName>
    <definedName name="OSRRefD22_18x_0" localSheetId="47">'Div 3'!$D$214:$D$216</definedName>
    <definedName name="OSRRefD22_18x_0" localSheetId="75">'Div 4'!$D$100:$D$104</definedName>
    <definedName name="OSRRefD22_18x_0" localSheetId="2">Summary!$D$247:$D$250</definedName>
    <definedName name="OSRRefD22_19x_0" localSheetId="48">'300'!$D$218:$D$219</definedName>
    <definedName name="OSRRefD22_19x_0" localSheetId="49">'300 &amp; 317'!$D$241:$D$242</definedName>
    <definedName name="OSRRefD22_19x_0" localSheetId="50">'301'!$D$89</definedName>
    <definedName name="OSRRefD22_19x_0" localSheetId="65">'310'!$D$94:$D$100</definedName>
    <definedName name="OSRRefD22_19x_0" localSheetId="76">'310 &amp; 491'!$D$105:$D$110</definedName>
    <definedName name="OSRRefD22_19x_0" localSheetId="73">'326'!$D$116</definedName>
    <definedName name="OSRRefD22_19x_0" localSheetId="58">'331'!$D$131:$D$132</definedName>
    <definedName name="OSRRefD22_19x_0" localSheetId="77">'491'!$D$112:$D$113</definedName>
    <definedName name="OSRRefD22_19x_0" localSheetId="39">'Div 2'!$D$91</definedName>
    <definedName name="OSRRefD22_19x_0" localSheetId="47">'Div 3'!$D$218:$D$221</definedName>
    <definedName name="OSRRefD22_19x_0" localSheetId="75">'Div 4'!$D$106</definedName>
    <definedName name="OSRRefD22_19x_0" localSheetId="2">Summary!$D$252:$D$255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'300'!$D$159:$D$168</definedName>
    <definedName name="OSRRefD22_1x_0" localSheetId="49">'300 &amp; 317'!$D$182:$D$191</definedName>
    <definedName name="OSRRefD22_1x_0" localSheetId="50">'301'!$D$30:$D$39</definedName>
    <definedName name="OSRRefD22_1x_0" localSheetId="51">'306'!$D$30:$D$39</definedName>
    <definedName name="OSRRefD22_1x_0" localSheetId="53">'307'!$D$70:$D$79</definedName>
    <definedName name="OSRRefD22_1x_0" localSheetId="55">'308'!$D$68:$D$77</definedName>
    <definedName name="OSRRefD22_1x_0" localSheetId="66">'309'!$D$36:$D$45</definedName>
    <definedName name="OSRRefD22_1x_0" localSheetId="65">'310'!$D$43:$D$52</definedName>
    <definedName name="OSRRefD22_1x_0" localSheetId="76">'310 &amp; 491'!$D$51:$D$60</definedName>
    <definedName name="OSRRefD22_1x_0" localSheetId="56">'311'!$D$68:$D$77</definedName>
    <definedName name="OSRRefD22_1x_0" localSheetId="67">'313'!$D$39:$D$48</definedName>
    <definedName name="OSRRefD22_1x_0" localSheetId="54">'314'!$D$65:$D$74</definedName>
    <definedName name="OSRRefD22_1x_0" localSheetId="59">'315'!$D$64:$D$73</definedName>
    <definedName name="OSRRefD22_1x_0" localSheetId="61">'316'!$D$43:$D$52</definedName>
    <definedName name="OSRRefD22_1x_0" localSheetId="64">'317'!$D$67:$D$76</definedName>
    <definedName name="OSRRefD22_1x_0" localSheetId="62">'320'!$D$37:$D$46</definedName>
    <definedName name="OSRRefD22_1x_0" localSheetId="68">'321'!$D$35:$D$44</definedName>
    <definedName name="OSRRefD22_1x_0" localSheetId="69">'322'!$D$36:$D$45</definedName>
    <definedName name="OSRRefD22_1x_0" localSheetId="72">'325'!$D$36:$D$45</definedName>
    <definedName name="OSRRefD22_1x_0" localSheetId="73">'326'!$D$61:$D$70</definedName>
    <definedName name="OSRRefD22_1x_0" localSheetId="52">'330'!$D$84:$D$93</definedName>
    <definedName name="OSRRefD22_1x_0" localSheetId="58">'331'!$D$75:$D$84</definedName>
    <definedName name="OSRRefD22_1x_0" localSheetId="60">'332'!$D$51:$D$60</definedName>
    <definedName name="OSRRefD22_1x_0" localSheetId="78">'405'!$D$36:$D$45</definedName>
    <definedName name="OSRRefD22_1x_0" localSheetId="79">'406'!$D$37:$D$46</definedName>
    <definedName name="OSRRefD22_1x_0" localSheetId="80">'411'!$D$31:$D$40</definedName>
    <definedName name="OSRRefD22_1x_0" localSheetId="81">'412'!$D$36:$D$45</definedName>
    <definedName name="OSRRefD22_1x_0" localSheetId="82">'413'!$D$37:$D$46</definedName>
    <definedName name="OSRRefD22_1x_0" localSheetId="83">'414'!$D$37:$D$46</definedName>
    <definedName name="OSRRefD22_1x_0" localSheetId="84">'415'!$D$36:$D$45</definedName>
    <definedName name="OSRRefD22_1x_0" localSheetId="85">'418'!$D$37:$D$46</definedName>
    <definedName name="OSRRefD22_1x_0" localSheetId="87">'423'!$D$31:$D$40</definedName>
    <definedName name="OSRRefD22_1x_0" localSheetId="88">'424'!$D$35:$D$44</definedName>
    <definedName name="OSRRefD22_1x_0" localSheetId="89">'425'!$D$37:$D$46</definedName>
    <definedName name="OSRRefD22_1x_0" localSheetId="92">'430'!$D$30:$D$39</definedName>
    <definedName name="OSRRefD22_1x_0" localSheetId="93">'433'!$D$38:$D$47</definedName>
    <definedName name="OSRRefD22_1x_0" localSheetId="94">'435'!$D$35:$D$44</definedName>
    <definedName name="OSRRefD22_1x_0" localSheetId="95">'444'!$D$38:$D$47</definedName>
    <definedName name="OSRRefD22_1x_0" localSheetId="97">'450'!$D$37:$D$46</definedName>
    <definedName name="OSRRefD22_1x_0" localSheetId="90">'455'!$D$29:$D$38</definedName>
    <definedName name="OSRRefD22_1x_0" localSheetId="77">'491'!$D$45:$D$54</definedName>
    <definedName name="OSRRefD22_1x_0" localSheetId="91">'492'!$D$40:$D$49</definedName>
    <definedName name="OSRRefD22_1x_0" localSheetId="99">'501'!$D$31:$D$40</definedName>
    <definedName name="OSRRefD22_1x_0" localSheetId="39">'Div 2'!$D$32:$D$41</definedName>
    <definedName name="OSRRefD22_1x_0" localSheetId="47">'Div 3'!$D$165:$D$174</definedName>
    <definedName name="OSRRefD22_1x_0" localSheetId="75">'Div 4'!$D$46:$D$55</definedName>
    <definedName name="OSRRefD22_1x_0" localSheetId="98">'Div 5'!$D$31:$D$40</definedName>
    <definedName name="OSRRefD22_1x_0" localSheetId="63">'Div 6'!$D$67:$D$76</definedName>
    <definedName name="OSRRefD22_1x_0" localSheetId="2">Summary!$D$195:$D$204</definedName>
    <definedName name="OSRRefD22_20x_0" localSheetId="48">'300'!$D$221:$D$227</definedName>
    <definedName name="OSRRefD22_20x_0" localSheetId="49">'300 &amp; 317'!$D$244:$D$250</definedName>
    <definedName name="OSRRefD22_20x_0" localSheetId="50">'301'!$D$91</definedName>
    <definedName name="OSRRefD22_20x_0" localSheetId="65">'310'!$D$102</definedName>
    <definedName name="OSRRefD22_20x_0" localSheetId="76">'310 &amp; 491'!$D$112</definedName>
    <definedName name="OSRRefD22_20x_0" localSheetId="73">'326'!$D$118</definedName>
    <definedName name="OSRRefD22_20x_0" localSheetId="58">'331'!$D$134</definedName>
    <definedName name="OSRRefD22_20x_0" localSheetId="77">'491'!$D$115</definedName>
    <definedName name="OSRRefD22_20x_0" localSheetId="39">'Div 2'!$D$93:$D$94</definedName>
    <definedName name="OSRRefD22_20x_0" localSheetId="47">'Div 3'!$D$223:$D$228</definedName>
    <definedName name="OSRRefD22_20x_0" localSheetId="75">'Div 4'!$D$108:$D$117</definedName>
    <definedName name="OSRRefD22_20x_0" localSheetId="2">Summary!$D$257:$D$262</definedName>
    <definedName name="OSRRefD22_21x_0" localSheetId="48">'300'!$D$229:$D$230</definedName>
    <definedName name="OSRRefD22_21x_0" localSheetId="49">'300 &amp; 317'!$D$252:$D$253</definedName>
    <definedName name="OSRRefD22_21x_0" localSheetId="50">'301'!$D$93:$D$94</definedName>
    <definedName name="OSRRefD22_21x_0" localSheetId="65">'310'!$D$104</definedName>
    <definedName name="OSRRefD22_21x_0" localSheetId="76">'310 &amp; 491'!$D$114:$D$123</definedName>
    <definedName name="OSRRefD22_21x_0" localSheetId="58">'331'!$D$136</definedName>
    <definedName name="OSRRefD22_21x_0" localSheetId="77">'491'!$D$117:$D$119</definedName>
    <definedName name="OSRRefD22_21x_0" localSheetId="47">'Div 3'!$D$230:$D$231</definedName>
    <definedName name="OSRRefD22_21x_0" localSheetId="75">'Div 4'!$D$119:$D$120</definedName>
    <definedName name="OSRRefD22_21x_0" localSheetId="2">Summary!$D$264:$D$265</definedName>
    <definedName name="OSRRefD22_22x_0" localSheetId="48">'300'!$D$232</definedName>
    <definedName name="OSRRefD22_22x_0" localSheetId="49">'300 &amp; 317'!$D$255</definedName>
    <definedName name="OSRRefD22_22x_0" localSheetId="50">'301'!$D$96</definedName>
    <definedName name="OSRRefD22_22x_0" localSheetId="65">'310'!$D$106</definedName>
    <definedName name="OSRRefD22_22x_0" localSheetId="76">'310 &amp; 491'!$D$125:$D$126</definedName>
    <definedName name="OSRRefD22_22x_0" localSheetId="58">'331'!$D$138</definedName>
    <definedName name="OSRRefD22_22x_0" localSheetId="77">'491'!$D$121</definedName>
    <definedName name="OSRRefD22_22x_0" localSheetId="47">'Div 3'!$D$233:$D$240</definedName>
    <definedName name="OSRRefD22_22x_0" localSheetId="75">'Div 4'!$D$122</definedName>
    <definedName name="OSRRefD22_22x_0" localSheetId="2">Summary!$D$267:$D$276</definedName>
    <definedName name="OSRRefD22_23x_0" localSheetId="48">'300'!$D$234:$D$236</definedName>
    <definedName name="OSRRefD22_23x_0" localSheetId="49">'300 &amp; 317'!$D$257:$D$259</definedName>
    <definedName name="OSRRefD22_23x_0" localSheetId="76">'310 &amp; 491'!$D$128</definedName>
    <definedName name="OSRRefD22_23x_0" localSheetId="47">'Div 3'!$D$242:$D$243</definedName>
    <definedName name="OSRRefD22_23x_0" localSheetId="75">'Div 4'!$D$124:$D$126</definedName>
    <definedName name="OSRRefD22_23x_0" localSheetId="2">Summary!$D$278:$D$279</definedName>
    <definedName name="OSRRefD22_24x_0" localSheetId="48">'300'!$D$238</definedName>
    <definedName name="OSRRefD22_24x_0" localSheetId="49">'300 &amp; 317'!$D$261</definedName>
    <definedName name="OSRRefD22_24x_0" localSheetId="76">'310 &amp; 491'!$D$130:$D$132</definedName>
    <definedName name="OSRRefD22_24x_0" localSheetId="47">'Div 3'!$D$245</definedName>
    <definedName name="OSRRefD22_24x_0" localSheetId="75">'Div 4'!$D$128</definedName>
    <definedName name="OSRRefD22_24x_0" localSheetId="2">Summary!$D$281</definedName>
    <definedName name="OSRRefD22_25x_0" localSheetId="76">'310 &amp; 491'!$D$134</definedName>
    <definedName name="OSRRefD22_25x_0" localSheetId="47">'Div 3'!$D$247:$D$249</definedName>
    <definedName name="OSRRefD22_25x_0" localSheetId="2">Summary!$D$283:$D$285</definedName>
    <definedName name="OSRRefD22_26x_0" localSheetId="47">'Div 3'!$D$251</definedName>
    <definedName name="OSRRefD22_26x_0" localSheetId="2">Summary!$D$287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'300'!$D$170</definedName>
    <definedName name="OSRRefD22_2x_0" localSheetId="49">'300 &amp; 317'!$D$193</definedName>
    <definedName name="OSRRefD22_2x_0" localSheetId="50">'301'!$D$41</definedName>
    <definedName name="OSRRefD22_2x_0" localSheetId="51">'306'!$D$41</definedName>
    <definedName name="OSRRefD22_2x_0" localSheetId="53">'307'!$D$81</definedName>
    <definedName name="OSRRefD22_2x_0" localSheetId="55">'308'!$D$79</definedName>
    <definedName name="OSRRefD22_2x_0" localSheetId="66">'309'!$D$47</definedName>
    <definedName name="OSRRefD22_2x_0" localSheetId="65">'310'!$D$54</definedName>
    <definedName name="OSRRefD22_2x_0" localSheetId="76">'310 &amp; 491'!$D$62</definedName>
    <definedName name="OSRRefD22_2x_0" localSheetId="56">'311'!$D$79</definedName>
    <definedName name="OSRRefD22_2x_0" localSheetId="67">'313'!$D$50</definedName>
    <definedName name="OSRRefD22_2x_0" localSheetId="54">'314'!$D$76</definedName>
    <definedName name="OSRRefD22_2x_0" localSheetId="59">'315'!$D$75</definedName>
    <definedName name="OSRRefD22_2x_0" localSheetId="61">'316'!$D$54</definedName>
    <definedName name="OSRRefD22_2x_0" localSheetId="64">'317'!$D$78</definedName>
    <definedName name="OSRRefD22_2x_0" localSheetId="62">'320'!$D$48</definedName>
    <definedName name="OSRRefD22_2x_0" localSheetId="68">'321'!$D$46</definedName>
    <definedName name="OSRRefD22_2x_0" localSheetId="69">'322'!$D$47</definedName>
    <definedName name="OSRRefD22_2x_0" localSheetId="72">'325'!$D$47</definedName>
    <definedName name="OSRRefD22_2x_0" localSheetId="73">'326'!$D$72</definedName>
    <definedName name="OSRRefD22_2x_0" localSheetId="52">'330'!$D$95</definedName>
    <definedName name="OSRRefD22_2x_0" localSheetId="58">'331'!$D$86</definedName>
    <definedName name="OSRRefD22_2x_0" localSheetId="60">'332'!$D$62</definedName>
    <definedName name="OSRRefD22_2x_0" localSheetId="78">'405'!$D$47</definedName>
    <definedName name="OSRRefD22_2x_0" localSheetId="79">'406'!$D$48</definedName>
    <definedName name="OSRRefD22_2x_0" localSheetId="80">'411'!$D$42</definedName>
    <definedName name="OSRRefD22_2x_0" localSheetId="81">'412'!$D$47</definedName>
    <definedName name="OSRRefD22_2x_0" localSheetId="82">'413'!$D$48</definedName>
    <definedName name="OSRRefD22_2x_0" localSheetId="83">'414'!$D$48</definedName>
    <definedName name="OSRRefD22_2x_0" localSheetId="84">'415'!$D$47</definedName>
    <definedName name="OSRRefD22_2x_0" localSheetId="85">'418'!$D$48</definedName>
    <definedName name="OSRRefD22_2x_0" localSheetId="87">'423'!$D$42</definedName>
    <definedName name="OSRRefD22_2x_0" localSheetId="88">'424'!$D$46</definedName>
    <definedName name="OSRRefD22_2x_0" localSheetId="89">'425'!$D$48</definedName>
    <definedName name="OSRRefD22_2x_0" localSheetId="92">'430'!$D$41</definedName>
    <definedName name="OSRRefD22_2x_0" localSheetId="93">'433'!$D$49</definedName>
    <definedName name="OSRRefD22_2x_0" localSheetId="94">'435'!$D$46</definedName>
    <definedName name="OSRRefD22_2x_0" localSheetId="95">'444'!$D$49</definedName>
    <definedName name="OSRRefD22_2x_0" localSheetId="97">'450'!$D$48</definedName>
    <definedName name="OSRRefD22_2x_0" localSheetId="77">'491'!$D$56</definedName>
    <definedName name="OSRRefD22_2x_0" localSheetId="91">'492'!$D$51</definedName>
    <definedName name="OSRRefD22_2x_0" localSheetId="99">'501'!$D$42</definedName>
    <definedName name="OSRRefD22_2x_0" localSheetId="39">'Div 2'!$D$43</definedName>
    <definedName name="OSRRefD22_2x_0" localSheetId="47">'Div 3'!$D$176</definedName>
    <definedName name="OSRRefD22_2x_0" localSheetId="75">'Div 4'!$D$57</definedName>
    <definedName name="OSRRefD22_2x_0" localSheetId="98">'Div 5'!$D$42</definedName>
    <definedName name="OSRRefD22_2x_0" localSheetId="63">'Div 6'!$D$78</definedName>
    <definedName name="OSRRefD22_2x_0" localSheetId="2">Summary!$D$206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'204'!$D$44</definedName>
    <definedName name="OSRRefD22_3x_0" localSheetId="45">'205'!$D$43</definedName>
    <definedName name="OSRRefD22_3x_0" localSheetId="46">'206'!$D$43</definedName>
    <definedName name="OSRRefD22_3x_0" localSheetId="48">'300'!$D$172:$D$173</definedName>
    <definedName name="OSRRefD22_3x_0" localSheetId="49">'300 &amp; 317'!$D$195:$D$196</definedName>
    <definedName name="OSRRefD22_3x_0" localSheetId="50">'301'!$D$43</definedName>
    <definedName name="OSRRefD22_3x_0" localSheetId="51">'306'!$D$43</definedName>
    <definedName name="OSRRefD22_3x_0" localSheetId="53">'307'!$D$83</definedName>
    <definedName name="OSRRefD22_3x_0" localSheetId="55">'308'!$D$81:$D$82</definedName>
    <definedName name="OSRRefD22_3x_0" localSheetId="66">'309'!$D$49</definedName>
    <definedName name="OSRRefD22_3x_0" localSheetId="65">'310'!$D$56</definedName>
    <definedName name="OSRRefD22_3x_0" localSheetId="76">'310 &amp; 491'!$D$64</definedName>
    <definedName name="OSRRefD22_3x_0" localSheetId="56">'311'!$D$81:$D$82</definedName>
    <definedName name="OSRRefD22_3x_0" localSheetId="67">'313'!$D$52</definedName>
    <definedName name="OSRRefD22_3x_0" localSheetId="54">'314'!$D$78:$D$79</definedName>
    <definedName name="OSRRefD22_3x_0" localSheetId="59">'315'!$D$77</definedName>
    <definedName name="OSRRefD22_3x_0" localSheetId="61">'316'!$D$56</definedName>
    <definedName name="OSRRefD22_3x_0" localSheetId="64">'317'!$D$80</definedName>
    <definedName name="OSRRefD22_3x_0" localSheetId="62">'320'!$D$50:$D$51</definedName>
    <definedName name="OSRRefD22_3x_0" localSheetId="68">'321'!$D$48</definedName>
    <definedName name="OSRRefD22_3x_0" localSheetId="69">'322'!$D$49</definedName>
    <definedName name="OSRRefD22_3x_0" localSheetId="72">'325'!$D$49</definedName>
    <definedName name="OSRRefD22_3x_0" localSheetId="73">'326'!$D$74:$D$75</definedName>
    <definedName name="OSRRefD22_3x_0" localSheetId="52">'330'!$D$97</definedName>
    <definedName name="OSRRefD22_3x_0" localSheetId="58">'331'!$D$88:$D$89</definedName>
    <definedName name="OSRRefD22_3x_0" localSheetId="60">'332'!$D$64</definedName>
    <definedName name="OSRRefD22_3x_0" localSheetId="78">'405'!$D$49</definedName>
    <definedName name="OSRRefD22_3x_0" localSheetId="79">'406'!$D$50</definedName>
    <definedName name="OSRRefD22_3x_0" localSheetId="80">'411'!$D$44:$D$46</definedName>
    <definedName name="OSRRefD22_3x_0" localSheetId="81">'412'!$D$49</definedName>
    <definedName name="OSRRefD22_3x_0" localSheetId="82">'413'!$D$50</definedName>
    <definedName name="OSRRefD22_3x_0" localSheetId="83">'414'!$D$50</definedName>
    <definedName name="OSRRefD22_3x_0" localSheetId="84">'415'!$D$49</definedName>
    <definedName name="OSRRefD22_3x_0" localSheetId="85">'418'!$D$50</definedName>
    <definedName name="OSRRefD22_3x_0" localSheetId="87">'423'!$D$44</definedName>
    <definedName name="OSRRefD22_3x_0" localSheetId="88">'424'!$D$48</definedName>
    <definedName name="OSRRefD22_3x_0" localSheetId="89">'425'!$D$50</definedName>
    <definedName name="OSRRefD22_3x_0" localSheetId="92">'430'!$D$43</definedName>
    <definedName name="OSRRefD22_3x_0" localSheetId="93">'433'!$D$51</definedName>
    <definedName name="OSRRefD22_3x_0" localSheetId="94">'435'!$D$48</definedName>
    <definedName name="OSRRefD22_3x_0" localSheetId="95">'444'!$D$51</definedName>
    <definedName name="OSRRefD22_3x_0" localSheetId="97">'450'!$D$50:$D$51</definedName>
    <definedName name="OSRRefD22_3x_0" localSheetId="77">'491'!$D$58</definedName>
    <definedName name="OSRRefD22_3x_0" localSheetId="91">'492'!$D$53:$D$54</definedName>
    <definedName name="OSRRefD22_3x_0" localSheetId="99">'501'!$D$44</definedName>
    <definedName name="OSRRefD22_3x_0" localSheetId="39">'Div 2'!$D$45</definedName>
    <definedName name="OSRRefD22_3x_0" localSheetId="47">'Div 3'!$D$178:$D$179</definedName>
    <definedName name="OSRRefD22_3x_0" localSheetId="75">'Div 4'!$D$59:$D$60</definedName>
    <definedName name="OSRRefD22_3x_0" localSheetId="98">'Div 5'!$D$44</definedName>
    <definedName name="OSRRefD22_3x_0" localSheetId="63">'Div 6'!$D$80</definedName>
    <definedName name="OSRRefD22_3x_0" localSheetId="2">Summary!$D$208:$D$209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</definedName>
    <definedName name="OSRRefD22_4x_0" localSheetId="46">'206'!$D$45</definedName>
    <definedName name="OSRRefD22_4x_0" localSheetId="48">'300'!$D$175</definedName>
    <definedName name="OSRRefD22_4x_0" localSheetId="49">'300 &amp; 317'!$D$198</definedName>
    <definedName name="OSRRefD22_4x_0" localSheetId="50">'301'!$D$45</definedName>
    <definedName name="OSRRefD22_4x_0" localSheetId="51">'306'!$D$45</definedName>
    <definedName name="OSRRefD22_4x_0" localSheetId="53">'307'!$D$85:$D$86</definedName>
    <definedName name="OSRRefD22_4x_0" localSheetId="55">'308'!$D$84</definedName>
    <definedName name="OSRRefD22_4x_0" localSheetId="66">'309'!$D$51</definedName>
    <definedName name="OSRRefD22_4x_0" localSheetId="65">'310'!$D$58</definedName>
    <definedName name="OSRRefD22_4x_0" localSheetId="76">'310 &amp; 491'!$D$66</definedName>
    <definedName name="OSRRefD22_4x_0" localSheetId="56">'311'!$D$84</definedName>
    <definedName name="OSRRefD22_4x_0" localSheetId="67">'313'!$D$54</definedName>
    <definedName name="OSRRefD22_4x_0" localSheetId="54">'314'!$D$81</definedName>
    <definedName name="OSRRefD22_4x_0" localSheetId="59">'315'!$D$79</definedName>
    <definedName name="OSRRefD22_4x_0" localSheetId="61">'316'!$D$58</definedName>
    <definedName name="OSRRefD22_4x_0" localSheetId="64">'317'!$D$82</definedName>
    <definedName name="OSRRefD22_4x_0" localSheetId="62">'320'!$D$53</definedName>
    <definedName name="OSRRefD22_4x_0" localSheetId="68">'321'!$D$50</definedName>
    <definedName name="OSRRefD22_4x_0" localSheetId="69">'322'!$D$51</definedName>
    <definedName name="OSRRefD22_4x_0" localSheetId="72">'325'!$D$51</definedName>
    <definedName name="OSRRefD22_4x_0" localSheetId="73">'326'!$D$77</definedName>
    <definedName name="OSRRefD22_4x_0" localSheetId="52">'330'!$D$99:$D$100</definedName>
    <definedName name="OSRRefD22_4x_0" localSheetId="58">'331'!$D$91</definedName>
    <definedName name="OSRRefD22_4x_0" localSheetId="60">'332'!$D$66</definedName>
    <definedName name="OSRRefD22_4x_0" localSheetId="78">'405'!$D$51</definedName>
    <definedName name="OSRRefD22_4x_0" localSheetId="79">'406'!$D$52</definedName>
    <definedName name="OSRRefD22_4x_0" localSheetId="80">'411'!$D$48</definedName>
    <definedName name="OSRRefD22_4x_0" localSheetId="81">'412'!$D$51</definedName>
    <definedName name="OSRRefD22_4x_0" localSheetId="82">'413'!$D$52</definedName>
    <definedName name="OSRRefD22_4x_0" localSheetId="83">'414'!$D$52</definedName>
    <definedName name="OSRRefD22_4x_0" localSheetId="84">'415'!$D$51</definedName>
    <definedName name="OSRRefD22_4x_0" localSheetId="85">'418'!$D$52</definedName>
    <definedName name="OSRRefD22_4x_0" localSheetId="87">'423'!$D$46</definedName>
    <definedName name="OSRRefD22_4x_0" localSheetId="88">'424'!$D$50</definedName>
    <definedName name="OSRRefD22_4x_0" localSheetId="89">'425'!$D$52</definedName>
    <definedName name="OSRRefD22_4x_0" localSheetId="92">'430'!$D$45</definedName>
    <definedName name="OSRRefD22_4x_0" localSheetId="93">'433'!$D$53</definedName>
    <definedName name="OSRRefD22_4x_0" localSheetId="94">'435'!$D$50</definedName>
    <definedName name="OSRRefD22_4x_0" localSheetId="95">'444'!$D$53</definedName>
    <definedName name="OSRRefD22_4x_0" localSheetId="97">'450'!$D$53</definedName>
    <definedName name="OSRRefD22_4x_0" localSheetId="77">'491'!$D$60</definedName>
    <definedName name="OSRRefD22_4x_0" localSheetId="91">'492'!$D$56</definedName>
    <definedName name="OSRRefD22_4x_0" localSheetId="99">'501'!$D$46</definedName>
    <definedName name="OSRRefD22_4x_0" localSheetId="39">'Div 2'!$D$47</definedName>
    <definedName name="OSRRefD22_4x_0" localSheetId="47">'Div 3'!$D$181</definedName>
    <definedName name="OSRRefD22_4x_0" localSheetId="75">'Div 4'!$D$62</definedName>
    <definedName name="OSRRefD22_4x_0" localSheetId="98">'Div 5'!$D$46</definedName>
    <definedName name="OSRRefD22_4x_0" localSheetId="63">'Div 6'!$D$82</definedName>
    <definedName name="OSRRefD22_4x_0" localSheetId="2">Summary!$D$211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'204'!$D$48</definedName>
    <definedName name="OSRRefD22_5x_0" localSheetId="45">'205'!$D$47</definedName>
    <definedName name="OSRRefD22_5x_0" localSheetId="46">'206'!$D$47</definedName>
    <definedName name="OSRRefD22_5x_0" localSheetId="48">'300'!$D$177:$D$179</definedName>
    <definedName name="OSRRefD22_5x_0" localSheetId="49">'300 &amp; 317'!$D$200:$D$202</definedName>
    <definedName name="OSRRefD22_5x_0" localSheetId="50">'301'!$D$47:$D$49</definedName>
    <definedName name="OSRRefD22_5x_0" localSheetId="51">'306'!$D$47</definedName>
    <definedName name="OSRRefD22_5x_0" localSheetId="53">'307'!$D$88</definedName>
    <definedName name="OSRRefD22_5x_0" localSheetId="55">'308'!$D$86</definedName>
    <definedName name="OSRRefD22_5x_0" localSheetId="66">'309'!$D$53</definedName>
    <definedName name="OSRRefD22_5x_0" localSheetId="65">'310'!$D$60:$D$61</definedName>
    <definedName name="OSRRefD22_5x_0" localSheetId="76">'310 &amp; 491'!$D$68:$D$71</definedName>
    <definedName name="OSRRefD22_5x_0" localSheetId="56">'311'!$D$86</definedName>
    <definedName name="OSRRefD22_5x_0" localSheetId="67">'313'!$D$56</definedName>
    <definedName name="OSRRefD22_5x_0" localSheetId="54">'314'!$D$83</definedName>
    <definedName name="OSRRefD22_5x_0" localSheetId="59">'315'!$D$81</definedName>
    <definedName name="OSRRefD22_5x_0" localSheetId="61">'316'!$D$60</definedName>
    <definedName name="OSRRefD22_5x_0" localSheetId="64">'317'!$D$84</definedName>
    <definedName name="OSRRefD22_5x_0" localSheetId="62">'320'!$D$55</definedName>
    <definedName name="OSRRefD22_5x_0" localSheetId="68">'321'!$D$52</definedName>
    <definedName name="OSRRefD22_5x_0" localSheetId="69">'322'!$D$53</definedName>
    <definedName name="OSRRefD22_5x_0" localSheetId="72">'325'!$D$53:$D$54</definedName>
    <definedName name="OSRRefD22_5x_0" localSheetId="73">'326'!$D$79</definedName>
    <definedName name="OSRRefD22_5x_0" localSheetId="52">'330'!$D$102</definedName>
    <definedName name="OSRRefD22_5x_0" localSheetId="58">'331'!$D$93</definedName>
    <definedName name="OSRRefD22_5x_0" localSheetId="60">'332'!$D$68</definedName>
    <definedName name="OSRRefD22_5x_0" localSheetId="78">'405'!$D$53:$D$54</definedName>
    <definedName name="OSRRefD22_5x_0" localSheetId="79">'406'!$D$54</definedName>
    <definedName name="OSRRefD22_5x_0" localSheetId="80">'411'!$D$50</definedName>
    <definedName name="OSRRefD22_5x_0" localSheetId="81">'412'!$D$53</definedName>
    <definedName name="OSRRefD22_5x_0" localSheetId="82">'413'!$D$54</definedName>
    <definedName name="OSRRefD22_5x_0" localSheetId="83">'414'!$D$54:$D$55</definedName>
    <definedName name="OSRRefD22_5x_0" localSheetId="84">'415'!$D$53:$D$54</definedName>
    <definedName name="OSRRefD22_5x_0" localSheetId="85">'418'!$D$54:$D$56</definedName>
    <definedName name="OSRRefD22_5x_0" localSheetId="87">'423'!$D$48</definedName>
    <definedName name="OSRRefD22_5x_0" localSheetId="88">'424'!$D$52</definedName>
    <definedName name="OSRRefD22_5x_0" localSheetId="89">'425'!$D$54</definedName>
    <definedName name="OSRRefD22_5x_0" localSheetId="92">'430'!$D$47</definedName>
    <definedName name="OSRRefD22_5x_0" localSheetId="93">'433'!$D$55</definedName>
    <definedName name="OSRRefD22_5x_0" localSheetId="94">'435'!$D$52</definedName>
    <definedName name="OSRRefD22_5x_0" localSheetId="95">'444'!$D$55</definedName>
    <definedName name="OSRRefD22_5x_0" localSheetId="97">'450'!$D$55</definedName>
    <definedName name="OSRRefD22_5x_0" localSheetId="77">'491'!$D$62:$D$65</definedName>
    <definedName name="OSRRefD22_5x_0" localSheetId="91">'492'!$D$58:$D$59</definedName>
    <definedName name="OSRRefD22_5x_0" localSheetId="99">'501'!$D$48</definedName>
    <definedName name="OSRRefD22_5x_0" localSheetId="39">'Div 2'!$D$49</definedName>
    <definedName name="OSRRefD22_5x_0" localSheetId="47">'Div 3'!$D$183:$D$185</definedName>
    <definedName name="OSRRefD22_5x_0" localSheetId="75">'Div 4'!$D$64:$D$67</definedName>
    <definedName name="OSRRefD22_5x_0" localSheetId="98">'Div 5'!$D$48</definedName>
    <definedName name="OSRRefD22_5x_0" localSheetId="63">'Div 6'!$D$84</definedName>
    <definedName name="OSRRefD22_5x_0" localSheetId="2">Summary!$D$213:$D$216</definedName>
    <definedName name="OSRRefD22_6x_0" localSheetId="41">'201'!$D$49</definedName>
    <definedName name="OSRRefD22_6x_0" localSheetId="42">'202'!$D$49</definedName>
    <definedName name="OSRRefD22_6x_0" localSheetId="43">'203'!$D$50</definedName>
    <definedName name="OSRRefD22_6x_0" localSheetId="44">'204'!$D$50:$D$53</definedName>
    <definedName name="OSRRefD22_6x_0" localSheetId="45">'205'!$D$49</definedName>
    <definedName name="OSRRefD22_6x_0" localSheetId="46">'206'!$D$49:$D$50</definedName>
    <definedName name="OSRRefD22_6x_0" localSheetId="48">'300'!$D$181:$D$182</definedName>
    <definedName name="OSRRefD22_6x_0" localSheetId="49">'300 &amp; 317'!$D$204:$D$205</definedName>
    <definedName name="OSRRefD22_6x_0" localSheetId="50">'301'!$D$51:$D$52</definedName>
    <definedName name="OSRRefD22_6x_0" localSheetId="51">'306'!$D$49</definedName>
    <definedName name="OSRRefD22_6x_0" localSheetId="53">'307'!$D$90</definedName>
    <definedName name="OSRRefD22_6x_0" localSheetId="55">'308'!$D$88</definedName>
    <definedName name="OSRRefD22_6x_0" localSheetId="66">'309'!$D$55</definedName>
    <definedName name="OSRRefD22_6x_0" localSheetId="65">'310'!$D$63</definedName>
    <definedName name="OSRRefD22_6x_0" localSheetId="76">'310 &amp; 491'!$D$73</definedName>
    <definedName name="OSRRefD22_6x_0" localSheetId="56">'311'!$D$88</definedName>
    <definedName name="OSRRefD22_6x_0" localSheetId="67">'313'!$D$58</definedName>
    <definedName name="OSRRefD22_6x_0" localSheetId="54">'314'!$D$85</definedName>
    <definedName name="OSRRefD22_6x_0" localSheetId="59">'315'!$D$83</definedName>
    <definedName name="OSRRefD22_6x_0" localSheetId="61">'316'!$D$62</definedName>
    <definedName name="OSRRefD22_6x_0" localSheetId="64">'317'!$D$86</definedName>
    <definedName name="OSRRefD22_6x_0" localSheetId="62">'320'!$D$57:$D$58</definedName>
    <definedName name="OSRRefD22_6x_0" localSheetId="68">'321'!$D$54</definedName>
    <definedName name="OSRRefD22_6x_0" localSheetId="69">'322'!$D$55</definedName>
    <definedName name="OSRRefD22_6x_0" localSheetId="72">'325'!$D$56</definedName>
    <definedName name="OSRRefD22_6x_0" localSheetId="73">'326'!$D$81</definedName>
    <definedName name="OSRRefD22_6x_0" localSheetId="52">'330'!$D$104</definedName>
    <definedName name="OSRRefD22_6x_0" localSheetId="58">'331'!$D$95</definedName>
    <definedName name="OSRRefD22_6x_0" localSheetId="60">'332'!$D$70</definedName>
    <definedName name="OSRRefD22_6x_0" localSheetId="78">'405'!$D$56</definedName>
    <definedName name="OSRRefD22_6x_0" localSheetId="79">'406'!$D$56</definedName>
    <definedName name="OSRRefD22_6x_0" localSheetId="80">'411'!$D$52</definedName>
    <definedName name="OSRRefD22_6x_0" localSheetId="81">'412'!$D$55</definedName>
    <definedName name="OSRRefD22_6x_0" localSheetId="82">'413'!$D$56</definedName>
    <definedName name="OSRRefD22_6x_0" localSheetId="83">'414'!$D$57</definedName>
    <definedName name="OSRRefD22_6x_0" localSheetId="84">'415'!$D$56</definedName>
    <definedName name="OSRRefD22_6x_0" localSheetId="85">'418'!$D$58</definedName>
    <definedName name="OSRRefD22_6x_0" localSheetId="88">'424'!$D$54</definedName>
    <definedName name="OSRRefD22_6x_0" localSheetId="89">'425'!$D$56</definedName>
    <definedName name="OSRRefD22_6x_0" localSheetId="92">'430'!$D$49</definedName>
    <definedName name="OSRRefD22_6x_0" localSheetId="93">'433'!$D$57</definedName>
    <definedName name="OSRRefD22_6x_0" localSheetId="94">'435'!$D$54:$D$55</definedName>
    <definedName name="OSRRefD22_6x_0" localSheetId="95">'444'!$D$57</definedName>
    <definedName name="OSRRefD22_6x_0" localSheetId="97">'450'!$D$57</definedName>
    <definedName name="OSRRefD22_6x_0" localSheetId="77">'491'!$D$67</definedName>
    <definedName name="OSRRefD22_6x_0" localSheetId="91">'492'!$D$61</definedName>
    <definedName name="OSRRefD22_6x_0" localSheetId="99">'501'!$D$50</definedName>
    <definedName name="OSRRefD22_6x_0" localSheetId="39">'Div 2'!$D$51</definedName>
    <definedName name="OSRRefD22_6x_0" localSheetId="47">'Div 3'!$D$187:$D$188</definedName>
    <definedName name="OSRRefD22_6x_0" localSheetId="75">'Div 4'!$D$69:$D$70</definedName>
    <definedName name="OSRRefD22_6x_0" localSheetId="98">'Div 5'!$D$50</definedName>
    <definedName name="OSRRefD22_6x_0" localSheetId="63">'Div 6'!$D$86</definedName>
    <definedName name="OSRRefD22_6x_0" localSheetId="2">Summary!$D$218:$D$219</definedName>
    <definedName name="OSRRefD22_7x_0" localSheetId="41">'201'!$D$51</definedName>
    <definedName name="OSRRefD22_7x_0" localSheetId="42">'202'!$D$51</definedName>
    <definedName name="OSRRefD22_7x_0" localSheetId="43">'203'!$D$52</definedName>
    <definedName name="OSRRefD22_7x_0" localSheetId="44">'204'!$D$55</definedName>
    <definedName name="OSRRefD22_7x_0" localSheetId="45">'205'!$D$51:$D$52</definedName>
    <definedName name="OSRRefD22_7x_0" localSheetId="46">'206'!$D$52</definedName>
    <definedName name="OSRRefD22_7x_0" localSheetId="48">'300'!$D$184:$D$185</definedName>
    <definedName name="OSRRefD22_7x_0" localSheetId="49">'300 &amp; 317'!$D$207:$D$208</definedName>
    <definedName name="OSRRefD22_7x_0" localSheetId="50">'301'!$D$54:$D$55</definedName>
    <definedName name="OSRRefD22_7x_0" localSheetId="51">'306'!$D$51:$D$53</definedName>
    <definedName name="OSRRefD22_7x_0" localSheetId="53">'307'!$D$92</definedName>
    <definedName name="OSRRefD22_7x_0" localSheetId="55">'308'!$D$90</definedName>
    <definedName name="OSRRefD22_7x_0" localSheetId="66">'309'!$D$57</definedName>
    <definedName name="OSRRefD22_7x_0" localSheetId="65">'310'!$D$65</definedName>
    <definedName name="OSRRefD22_7x_0" localSheetId="76">'310 &amp; 491'!$D$75</definedName>
    <definedName name="OSRRefD22_7x_0" localSheetId="56">'311'!$D$90</definedName>
    <definedName name="OSRRefD22_7x_0" localSheetId="67">'313'!$D$60</definedName>
    <definedName name="OSRRefD22_7x_0" localSheetId="59">'315'!$D$85</definedName>
    <definedName name="OSRRefD22_7x_0" localSheetId="61">'316'!$D$64</definedName>
    <definedName name="OSRRefD22_7x_0" localSheetId="64">'317'!$D$88</definedName>
    <definedName name="OSRRefD22_7x_0" localSheetId="62">'320'!$D$60</definedName>
    <definedName name="OSRRefD22_7x_0" localSheetId="68">'321'!$D$56</definedName>
    <definedName name="OSRRefD22_7x_0" localSheetId="69">'322'!$D$57</definedName>
    <definedName name="OSRRefD22_7x_0" localSheetId="72">'325'!$D$58</definedName>
    <definedName name="OSRRefD22_7x_0" localSheetId="73">'326'!$D$83</definedName>
    <definedName name="OSRRefD22_7x_0" localSheetId="52">'330'!$D$106</definedName>
    <definedName name="OSRRefD22_7x_0" localSheetId="58">'331'!$D$97</definedName>
    <definedName name="OSRRefD22_7x_0" localSheetId="60">'332'!$D$72:$D$73</definedName>
    <definedName name="OSRRefD22_7x_0" localSheetId="78">'405'!$D$58</definedName>
    <definedName name="OSRRefD22_7x_0" localSheetId="79">'406'!$D$58</definedName>
    <definedName name="OSRRefD22_7x_0" localSheetId="80">'411'!$D$54</definedName>
    <definedName name="OSRRefD22_7x_0" localSheetId="81">'412'!$D$57</definedName>
    <definedName name="OSRRefD22_7x_0" localSheetId="82">'413'!$D$58</definedName>
    <definedName name="OSRRefD22_7x_0" localSheetId="83">'414'!$D$59</definedName>
    <definedName name="OSRRefD22_7x_0" localSheetId="84">'415'!$D$58</definedName>
    <definedName name="OSRRefD22_7x_0" localSheetId="85">'418'!$D$60</definedName>
    <definedName name="OSRRefD22_7x_0" localSheetId="88">'424'!$D$56</definedName>
    <definedName name="OSRRefD22_7x_0" localSheetId="89">'425'!$D$58</definedName>
    <definedName name="OSRRefD22_7x_0" localSheetId="92">'430'!$D$51:$D$53</definedName>
    <definedName name="OSRRefD22_7x_0" localSheetId="93">'433'!$D$59</definedName>
    <definedName name="OSRRefD22_7x_0" localSheetId="94">'435'!$D$57</definedName>
    <definedName name="OSRRefD22_7x_0" localSheetId="95">'444'!$D$59</definedName>
    <definedName name="OSRRefD22_7x_0" localSheetId="97">'450'!$D$59</definedName>
    <definedName name="OSRRefD22_7x_0" localSheetId="77">'491'!$D$69</definedName>
    <definedName name="OSRRefD22_7x_0" localSheetId="91">'492'!$D$63</definedName>
    <definedName name="OSRRefD22_7x_0" localSheetId="99">'501'!$D$52</definedName>
    <definedName name="OSRRefD22_7x_0" localSheetId="39">'Div 2'!$D$53</definedName>
    <definedName name="OSRRefD22_7x_0" localSheetId="47">'Div 3'!$D$190:$D$191</definedName>
    <definedName name="OSRRefD22_7x_0" localSheetId="75">'Div 4'!$D$72</definedName>
    <definedName name="OSRRefD22_7x_0" localSheetId="98">'Div 5'!$D$52</definedName>
    <definedName name="OSRRefD22_7x_0" localSheetId="63">'Div 6'!$D$88</definedName>
    <definedName name="OSRRefD22_7x_0" localSheetId="2">Summary!$D$221:$D$223</definedName>
    <definedName name="OSRRefD22_8x_0" localSheetId="41">'201'!$D$53:$D$54</definedName>
    <definedName name="OSRRefD22_8x_0" localSheetId="42">'202'!$D$53:$D$55</definedName>
    <definedName name="OSRRefD22_8x_0" localSheetId="43">'203'!$D$54</definedName>
    <definedName name="OSRRefD22_8x_0" localSheetId="44">'204'!$D$57</definedName>
    <definedName name="OSRRefD22_8x_0" localSheetId="45">'205'!$D$54</definedName>
    <definedName name="OSRRefD22_8x_0" localSheetId="46">'206'!$D$54</definedName>
    <definedName name="OSRRefD22_8x_0" localSheetId="48">'300'!$D$187</definedName>
    <definedName name="OSRRefD22_8x_0" localSheetId="49">'300 &amp; 317'!$D$210</definedName>
    <definedName name="OSRRefD22_8x_0" localSheetId="50">'301'!$D$57</definedName>
    <definedName name="OSRRefD22_8x_0" localSheetId="51">'306'!$D$55</definedName>
    <definedName name="OSRRefD22_8x_0" localSheetId="53">'307'!$D$94</definedName>
    <definedName name="OSRRefD22_8x_0" localSheetId="55">'308'!$D$92</definedName>
    <definedName name="OSRRefD22_8x_0" localSheetId="66">'309'!$D$59</definedName>
    <definedName name="OSRRefD22_8x_0" localSheetId="65">'310'!$D$67</definedName>
    <definedName name="OSRRefD22_8x_0" localSheetId="76">'310 &amp; 491'!$D$77</definedName>
    <definedName name="OSRRefD22_8x_0" localSheetId="56">'311'!$D$92</definedName>
    <definedName name="OSRRefD22_8x_0" localSheetId="67">'313'!$D$62</definedName>
    <definedName name="OSRRefD22_8x_0" localSheetId="59">'315'!$D$87</definedName>
    <definedName name="OSRRefD22_8x_0" localSheetId="61">'316'!$D$66</definedName>
    <definedName name="OSRRefD22_8x_0" localSheetId="64">'317'!$D$90:$D$91</definedName>
    <definedName name="OSRRefD22_8x_0" localSheetId="68">'321'!$D$58</definedName>
    <definedName name="OSRRefD22_8x_0" localSheetId="69">'322'!$D$59</definedName>
    <definedName name="OSRRefD22_8x_0" localSheetId="72">'325'!$D$60</definedName>
    <definedName name="OSRRefD22_8x_0" localSheetId="73">'326'!$D$85</definedName>
    <definedName name="OSRRefD22_8x_0" localSheetId="52">'330'!$D$108</definedName>
    <definedName name="OSRRefD22_8x_0" localSheetId="58">'331'!$D$99</definedName>
    <definedName name="OSRRefD22_8x_0" localSheetId="60">'332'!$D$75</definedName>
    <definedName name="OSRRefD22_8x_0" localSheetId="78">'405'!$D$60</definedName>
    <definedName name="OSRRefD22_8x_0" localSheetId="79">'406'!$D$60:$D$61</definedName>
    <definedName name="OSRRefD22_8x_0" localSheetId="80">'411'!$D$56</definedName>
    <definedName name="OSRRefD22_8x_0" localSheetId="81">'412'!$D$59:$D$60</definedName>
    <definedName name="OSRRefD22_8x_0" localSheetId="82">'413'!$D$60</definedName>
    <definedName name="OSRRefD22_8x_0" localSheetId="83">'414'!$D$61</definedName>
    <definedName name="OSRRefD22_8x_0" localSheetId="84">'415'!$D$60</definedName>
    <definedName name="OSRRefD22_8x_0" localSheetId="85">'418'!$D$62:$D$63</definedName>
    <definedName name="OSRRefD22_8x_0" localSheetId="88">'424'!$D$58:$D$59</definedName>
    <definedName name="OSRRefD22_8x_0" localSheetId="89">'425'!$D$60</definedName>
    <definedName name="OSRRefD22_8x_0" localSheetId="92">'430'!$D$55</definedName>
    <definedName name="OSRRefD22_8x_0" localSheetId="93">'433'!$D$61</definedName>
    <definedName name="OSRRefD22_8x_0" localSheetId="95">'444'!$D$61</definedName>
    <definedName name="OSRRefD22_8x_0" localSheetId="97">'450'!$D$61</definedName>
    <definedName name="OSRRefD22_8x_0" localSheetId="77">'491'!$D$71</definedName>
    <definedName name="OSRRefD22_8x_0" localSheetId="91">'492'!$D$65</definedName>
    <definedName name="OSRRefD22_8x_0" localSheetId="99">'501'!$D$54</definedName>
    <definedName name="OSRRefD22_8x_0" localSheetId="39">'Div 2'!$D$55</definedName>
    <definedName name="OSRRefD22_8x_0" localSheetId="47">'Div 3'!$D$193</definedName>
    <definedName name="OSRRefD22_8x_0" localSheetId="75">'Div 4'!$D$74</definedName>
    <definedName name="OSRRefD22_8x_0" localSheetId="98">'Div 5'!$D$54</definedName>
    <definedName name="OSRRefD22_8x_0" localSheetId="63">'Div 6'!$D$90:$D$91</definedName>
    <definedName name="OSRRefD22_8x_0" localSheetId="2">Summary!$D$225</definedName>
    <definedName name="OSRRefD22_9x_0" localSheetId="41">'201'!$D$56:$D$57</definedName>
    <definedName name="OSRRefD22_9x_0" localSheetId="42">'202'!$D$57</definedName>
    <definedName name="OSRRefD22_9x_0" localSheetId="43">'203'!$D$56:$D$57</definedName>
    <definedName name="OSRRefD22_9x_0" localSheetId="44">'204'!$D$59:$D$60</definedName>
    <definedName name="OSRRefD22_9x_0" localSheetId="46">'206'!$D$56</definedName>
    <definedName name="OSRRefD22_9x_0" localSheetId="48">'300'!$D$189</definedName>
    <definedName name="OSRRefD22_9x_0" localSheetId="49">'300 &amp; 317'!$D$212</definedName>
    <definedName name="OSRRefD22_9x_0" localSheetId="50">'301'!$D$59</definedName>
    <definedName name="OSRRefD22_9x_0" localSheetId="53">'307'!$D$96:$D$97</definedName>
    <definedName name="OSRRefD22_9x_0" localSheetId="55">'308'!$D$94:$D$95</definedName>
    <definedName name="OSRRefD22_9x_0" localSheetId="66">'309'!$D$61:$D$62</definedName>
    <definedName name="OSRRefD22_9x_0" localSheetId="65">'310'!$D$69</definedName>
    <definedName name="OSRRefD22_9x_0" localSheetId="76">'310 &amp; 491'!$D$79</definedName>
    <definedName name="OSRRefD22_9x_0" localSheetId="56">'311'!$D$94:$D$95</definedName>
    <definedName name="OSRRefD22_9x_0" localSheetId="67">'313'!$D$64:$D$65</definedName>
    <definedName name="OSRRefD22_9x_0" localSheetId="59">'315'!$D$89</definedName>
    <definedName name="OSRRefD22_9x_0" localSheetId="61">'316'!$D$68</definedName>
    <definedName name="OSRRefD22_9x_0" localSheetId="64">'317'!$D$93:$D$94</definedName>
    <definedName name="OSRRefD22_9x_0" localSheetId="68">'321'!$D$60:$D$61</definedName>
    <definedName name="OSRRefD22_9x_0" localSheetId="69">'322'!$D$61:$D$62</definedName>
    <definedName name="OSRRefD22_9x_0" localSheetId="72">'325'!$D$62</definedName>
    <definedName name="OSRRefD22_9x_0" localSheetId="73">'326'!$D$87</definedName>
    <definedName name="OSRRefD22_9x_0" localSheetId="52">'330'!$D$110:$D$111</definedName>
    <definedName name="OSRRefD22_9x_0" localSheetId="58">'331'!$D$101</definedName>
    <definedName name="OSRRefD22_9x_0" localSheetId="60">'332'!$D$77</definedName>
    <definedName name="OSRRefD22_9x_0" localSheetId="78">'405'!$D$62</definedName>
    <definedName name="OSRRefD22_9x_0" localSheetId="79">'406'!$D$63:$D$65</definedName>
    <definedName name="OSRRefD22_9x_0" localSheetId="80">'411'!$D$58</definedName>
    <definedName name="OSRRefD22_9x_0" localSheetId="81">'412'!$D$62</definedName>
    <definedName name="OSRRefD22_9x_0" localSheetId="82">'413'!$D$62:$D$66</definedName>
    <definedName name="OSRRefD22_9x_0" localSheetId="83">'414'!$D$63</definedName>
    <definedName name="OSRRefD22_9x_0" localSheetId="84">'415'!$D$62</definedName>
    <definedName name="OSRRefD22_9x_0" localSheetId="85">'418'!$D$65</definedName>
    <definedName name="OSRRefD22_9x_0" localSheetId="88">'424'!$D$61</definedName>
    <definedName name="OSRRefD22_9x_0" localSheetId="89">'425'!$D$62</definedName>
    <definedName name="OSRRefD22_9x_0" localSheetId="92">'430'!$D$57</definedName>
    <definedName name="OSRRefD22_9x_0" localSheetId="93">'433'!$D$63</definedName>
    <definedName name="OSRRefD22_9x_0" localSheetId="95">'444'!$D$63</definedName>
    <definedName name="OSRRefD22_9x_0" localSheetId="97">'450'!$D$63</definedName>
    <definedName name="OSRRefD22_9x_0" localSheetId="77">'491'!$D$73:$D$74</definedName>
    <definedName name="OSRRefD22_9x_0" localSheetId="91">'492'!$D$67</definedName>
    <definedName name="OSRRefD22_9x_0" localSheetId="99">'501'!$D$56</definedName>
    <definedName name="OSRRefD22_9x_0" localSheetId="39">'Div 2'!$D$57</definedName>
    <definedName name="OSRRefD22_9x_0" localSheetId="47">'Div 3'!$D$195</definedName>
    <definedName name="OSRRefD22_9x_0" localSheetId="75">'Div 4'!$D$76</definedName>
    <definedName name="OSRRefD22_9x_0" localSheetId="98">'Div 5'!$D$56</definedName>
    <definedName name="OSRRefD22_9x_0" localSheetId="63">'Div 6'!$D$93:$D$94</definedName>
    <definedName name="OSRRefD22_9x_0" localSheetId="2">Summary!$D$227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'201'!$D$20:$D$28,'201'!$D$30:$D$39,'201'!$D$41,'201'!$D$43,'201'!$D$45,'201'!$D$47,'201'!$D$49,'201'!$D$51,'201'!$D$53:$D$54,'201'!$D$56:$D$57,'201'!$D$59,'201'!$D$61:$D$63,'201'!$D$65,'201'!$D$67,'201'!$D$69</definedName>
    <definedName name="OSRRefD22x_0" localSheetId="42">'202'!$D$20:$D$28,'202'!$D$30:$D$39,'202'!$D$41,'202'!$D$43,'202'!$D$45,'202'!$D$47,'202'!$D$49,'202'!$D$51,'202'!$D$53:$D$55,'202'!$D$57,'202'!$D$59,'202'!$D$61,'202'!$D$63:$D$64,'202'!$D$66,'202'!$D$68</definedName>
    <definedName name="OSRRefD22x_0" localSheetId="43">'203'!$D$20:$D$29,'203'!$D$31:$D$40,'203'!$D$42,'203'!$D$44,'203'!$D$46,'203'!$D$48,'203'!$D$50,'203'!$D$52,'203'!$D$54,'203'!$D$56:$D$57,'203'!$D$59:$D$60,'203'!$D$62,'203'!$D$64:$D$66,'203'!$D$68,'203'!$D$70,'203'!$D$72</definedName>
    <definedName name="OSRRefD22x_0" localSheetId="44">'204'!$D$20:$D$29,'204'!$D$31:$D$40,'204'!$D$42,'204'!$D$44,'204'!$D$46,'204'!$D$48,'204'!$D$50:$D$53,'204'!$D$55,'204'!$D$57,'204'!$D$59:$D$60,'204'!$D$62,'204'!$D$64:$D$65</definedName>
    <definedName name="OSRRefD22x_0" localSheetId="45">'205'!$D$20:$D$28,'205'!$D$30:$D$39,'205'!$D$41,'205'!$D$43,'205'!$D$45,'205'!$D$47,'205'!$D$49,'205'!$D$51:$D$52,'205'!$D$54</definedName>
    <definedName name="OSRRefD22x_0" localSheetId="46">'206'!$D$20:$D$28,'206'!$D$30:$D$39,'206'!$D$41,'206'!$D$43,'206'!$D$45,'206'!$D$47,'206'!$D$49:$D$50,'206'!$D$52,'206'!$D$54,'206'!$D$56</definedName>
    <definedName name="OSRRefD22x_0" localSheetId="48">'300'!$D$148:$D$157,'300'!$D$159:$D$168,'300'!$D$170,'300'!$D$172:$D$173,'300'!$D$175,'300'!$D$177:$D$179,'300'!$D$181:$D$182,'300'!$D$184:$D$185,'300'!$D$187,'300'!$D$189,'300'!$D$191:$D$192,'300'!$D$194,'300'!$D$196,'300'!$D$198,'300'!$D$200,'300'!$D$202,'300'!$D$204:$D$206,'300'!$D$208:$D$211,'300'!$D$213:$D$216,'300'!$D$218:$D$219,'300'!$D$221:$D$227,'300'!$D$229:$D$230,'300'!$D$232,'300'!$D$234:$D$236,'300'!$D$238</definedName>
    <definedName name="OSRRefD22x_0" localSheetId="49">'300 &amp; 317'!$D$171:$D$180,'300 &amp; 317'!$D$182:$D$191,'300 &amp; 317'!$D$193,'300 &amp; 317'!$D$195:$D$196,'300 &amp; 317'!$D$198,'300 &amp; 317'!$D$200:$D$202,'300 &amp; 317'!$D$204:$D$205,'300 &amp; 317'!$D$207:$D$208,'300 &amp; 317'!$D$210,'300 &amp; 317'!$D$212,'300 &amp; 317'!$D$214:$D$215,'300 &amp; 317'!$D$217,'300 &amp; 317'!$D$219,'300 &amp; 317'!$D$221,'300 &amp; 317'!$D$223,'300 &amp; 317'!$D$225,'300 &amp; 317'!$D$227:$D$229,'300 &amp; 317'!$D$231:$D$234,'300 &amp; 317'!$D$236:$D$239,'300 &amp; 317'!$D$241:$D$242,'300 &amp; 317'!$D$244:$D$250,'300 &amp; 317'!$D$252:$D$253,'300 &amp; 317'!$D$255,'300 &amp; 317'!$D$257:$D$259,'300 &amp; 317'!$D$261</definedName>
    <definedName name="OSRRefD22x_0" localSheetId="50">'301'!$D$20:$D$28,'301'!$D$30:$D$39,'301'!$D$41,'301'!$D$43,'301'!$D$45,'301'!$D$47:$D$49,'301'!$D$51:$D$52,'301'!$D$54:$D$55,'301'!$D$57,'301'!$D$59,'301'!$D$61,'301'!$D$63,'301'!$D$65,'301'!$D$67,'301'!$D$69,'301'!$D$71:$D$73,'301'!$D$75:$D$77,'301'!$D$79:$D$80,'301'!$D$82:$D$87,'301'!$D$89,'301'!$D$91,'301'!$D$93:$D$94,'301'!$D$96</definedName>
    <definedName name="OSRRefD22x_0" localSheetId="51">'306'!$D$20:$D$28,'306'!$D$30:$D$39,'306'!$D$41,'306'!$D$43,'306'!$D$45,'306'!$D$47,'306'!$D$49,'306'!$D$51:$D$53,'306'!$D$55</definedName>
    <definedName name="OSRRefD22x_0" localSheetId="53">'307'!$D$60:$D$68,'307'!$D$70:$D$79,'307'!$D$81,'307'!$D$83,'307'!$D$85:$D$86,'307'!$D$88,'307'!$D$90,'307'!$D$92,'307'!$D$94,'307'!$D$96:$D$97,'307'!$D$99,'307'!$D$101,'307'!$D$103</definedName>
    <definedName name="OSRRefD22x_0" localSheetId="55">'308'!$D$57:$D$66,'308'!$D$68:$D$77,'308'!$D$79,'308'!$D$81:$D$82,'308'!$D$84,'308'!$D$86,'308'!$D$88,'308'!$D$90,'308'!$D$92,'308'!$D$94:$D$95,'308'!$D$97,'308'!$D$99:$D$101,'308'!$D$103:$D$104,'308'!$D$106,'308'!$D$108</definedName>
    <definedName name="OSRRefD22x_0" localSheetId="66">'309'!$D$26:$D$34,'309'!$D$36:$D$45,'309'!$D$47,'309'!$D$49,'309'!$D$51,'309'!$D$53,'309'!$D$55,'309'!$D$57,'309'!$D$59,'309'!$D$61:$D$62,'309'!$D$64:$D$66,'309'!$D$68,'309'!$D$70</definedName>
    <definedName name="OSRRefD22x_0" localSheetId="65">'310'!$D$33:$D$41,'310'!$D$43:$D$52,'310'!$D$54,'310'!$D$56,'310'!$D$58,'310'!$D$60:$D$61,'310'!$D$63,'310'!$D$65,'310'!$D$67,'310'!$D$69,'310'!$D$71,'310'!$D$73,'310'!$D$75,'310'!$D$77,'310'!$D$79,'310'!$D$81:$D$82,'310'!$D$84,'310'!$D$86:$D$90,'310'!$D$92,'310'!$D$94:$D$100,'310'!$D$102,'310'!$D$104,'310'!$D$106</definedName>
    <definedName name="OSRRefD22x_0" localSheetId="76">'310 &amp; 491'!$D$40:$D$49,'310 &amp; 491'!$D$51:$D$60,'310 &amp; 491'!$D$62,'310 &amp; 491'!$D$64,'310 &amp; 491'!$D$66,'310 &amp; 491'!$D$68:$D$71,'310 &amp; 491'!$D$73,'310 &amp; 491'!$D$75,'310 &amp; 491'!$D$77,'310 &amp; 491'!$D$79,'310 &amp; 491'!$D$81,'310 &amp; 491'!$D$83:$D$84,'310 &amp; 491'!$D$86,'310 &amp; 491'!$D$88,'310 &amp; 491'!$D$90,'310 &amp; 491'!$D$92,'310 &amp; 491'!$D$94,'310 &amp; 491'!$D$96:$D$99,'310 &amp; 491'!$D$101:$D$103,'310 &amp; 491'!$D$105:$D$110,'310 &amp; 491'!$D$112,'310 &amp; 491'!$D$114:$D$123,'310 &amp; 491'!$D$125:$D$126,'310 &amp; 491'!$D$128,'310 &amp; 491'!$D$130:$D$132,'310 &amp; 491'!$D$134</definedName>
    <definedName name="OSRRefD22x_0" localSheetId="56">'311'!$D$57:$D$66,'311'!$D$68:$D$77,'311'!$D$79,'311'!$D$81:$D$82,'311'!$D$84,'311'!$D$86,'311'!$D$88,'311'!$D$90,'311'!$D$92,'311'!$D$94:$D$95,'311'!$D$97,'311'!$D$99:$D$101,'311'!$D$103:$D$104,'311'!$D$106,'311'!$D$108</definedName>
    <definedName name="OSRRefD22x_0" localSheetId="67">'313'!$D$29:$D$37,'313'!$D$39:$D$48,'313'!$D$50,'313'!$D$52,'313'!$D$54,'313'!$D$56,'313'!$D$58,'313'!$D$60,'313'!$D$62,'313'!$D$64:$D$65,'313'!$D$67,'313'!$D$69:$D$72,'313'!$D$74,'313'!$D$76</definedName>
    <definedName name="OSRRefD22x_0" localSheetId="54">'314'!$D$56:$D$63,'314'!$D$65:$D$74,'314'!$D$76,'314'!$D$78:$D$79,'314'!$D$81,'314'!$D$83,'314'!$D$85</definedName>
    <definedName name="OSRRefD22x_0" localSheetId="59">'315'!$D$54:$D$62,'315'!$D$64:$D$73,'315'!$D$75,'315'!$D$77,'315'!$D$79,'315'!$D$81,'315'!$D$83,'315'!$D$85,'315'!$D$87,'315'!$D$89,'315'!$D$91:$D$93,'315'!$D$95:$D$96,'315'!$D$98:$D$101,'315'!$D$103,'315'!$D$105,'315'!$D$107</definedName>
    <definedName name="OSRRefD22x_0" localSheetId="61">'316'!$D$33:$D$41,'316'!$D$43:$D$52,'316'!$D$54,'316'!$D$56,'316'!$D$58,'316'!$D$60,'316'!$D$62,'316'!$D$64,'316'!$D$66,'316'!$D$68,'316'!$D$70:$D$71,'316'!$D$73:$D$76,'316'!$D$78:$D$79</definedName>
    <definedName name="OSRRefD22x_0" localSheetId="64">'317'!$D$56:$D$65,'317'!$D$67:$D$76,'317'!$D$78,'317'!$D$80,'317'!$D$82,'317'!$D$84,'317'!$D$86,'317'!$D$88,'317'!$D$90:$D$91,'317'!$D$93:$D$94,'317'!$D$96</definedName>
    <definedName name="OSRRefD22x_0" localSheetId="62">'320'!$D$28:$D$35,'320'!$D$37:$D$46,'320'!$D$48,'320'!$D$50:$D$51,'320'!$D$53,'320'!$D$55,'320'!$D$57:$D$58,'320'!$D$60</definedName>
    <definedName name="OSRRefD22x_0" localSheetId="68">'321'!$D$26:$D$33,'321'!$D$35:$D$44,'321'!$D$46,'321'!$D$48,'321'!$D$50,'321'!$D$52,'321'!$D$54,'321'!$D$56,'321'!$D$58,'321'!$D$60:$D$61,'321'!$D$63,'321'!$D$65:$D$66,'321'!$D$68:$D$70,'321'!$D$72,'321'!$D$74</definedName>
    <definedName name="OSRRefD22x_0" localSheetId="69">'322'!$D$26:$D$34,'322'!$D$36:$D$45,'322'!$D$47,'322'!$D$49,'322'!$D$51,'322'!$D$53,'322'!$D$55,'322'!$D$57,'322'!$D$59,'322'!$D$61:$D$62,'322'!$D$64:$D$66,'322'!$D$68:$D$72,'322'!$D$74,'322'!$D$76</definedName>
    <definedName name="OSRRefD22x_0" localSheetId="72">'325'!$D$26:$D$34,'325'!$D$36:$D$45,'325'!$D$47,'325'!$D$49,'325'!$D$51,'325'!$D$53:$D$54,'325'!$D$56,'325'!$D$58,'325'!$D$60,'325'!$D$62,'325'!$D$64,'325'!$D$66:$D$67,'325'!$D$69:$D$72,'325'!$D$74,'325'!$D$76:$D$82,'325'!$D$84,'325'!$D$86,'325'!$D$88</definedName>
    <definedName name="OSRRefD22x_0" localSheetId="73">'326'!$D$51:$D$59,'326'!$D$61:$D$70,'326'!$D$72,'326'!$D$74:$D$75,'326'!$D$77,'326'!$D$79,'326'!$D$81,'326'!$D$83,'326'!$D$85,'326'!$D$87,'326'!$D$89,'326'!$D$91,'326'!$D$93,'326'!$D$95:$D$96,'326'!$D$98:$D$100,'326'!$D$102:$D$103,'326'!$D$105:$D$109,'326'!$D$111:$D$112,'326'!$D$114,'326'!$D$116,'326'!$D$118</definedName>
    <definedName name="OSRRefD22x_0" localSheetId="74">'327'!$D$24</definedName>
    <definedName name="OSRRefD22x_0" localSheetId="52">'330'!$D$74:$D$82,'330'!$D$84:$D$93,'330'!$D$95,'330'!$D$97,'330'!$D$99:$D$100,'330'!$D$102,'330'!$D$104,'330'!$D$106,'330'!$D$108,'330'!$D$110:$D$111,'330'!$D$113,'330'!$D$115,'330'!$D$117,'330'!$D$119</definedName>
    <definedName name="OSRRefD22x_0" localSheetId="58">'331'!$D$65:$D$73,'331'!$D$75:$D$84,'331'!$D$86,'331'!$D$88:$D$89,'331'!$D$91,'331'!$D$93,'331'!$D$95,'331'!$D$97,'331'!$D$99,'331'!$D$101,'331'!$D$103,'331'!$D$105,'331'!$D$107,'331'!$D$109,'331'!$D$111:$D$112,'331'!$D$114:$D$116,'331'!$D$118:$D$120,'331'!$D$122:$D$123,'331'!$D$125:$D$129,'331'!$D$131:$D$132,'331'!$D$134,'331'!$D$136,'331'!$D$138</definedName>
    <definedName name="OSRRefD22x_0" localSheetId="60">'332'!$D$41:$D$49,'332'!$D$51:$D$60,'332'!$D$62,'332'!$D$64,'332'!$D$66,'332'!$D$68,'332'!$D$70,'332'!$D$72:$D$73,'332'!$D$75,'332'!$D$77,'332'!$D$79,'332'!$D$81:$D$82,'332'!$D$84:$D$88,'332'!$D$90:$D$91</definedName>
    <definedName name="OSRRefD22x_0" localSheetId="78">'405'!$D$26:$D$34,'405'!$D$36:$D$45,'405'!$D$47,'405'!$D$49,'405'!$D$51,'405'!$D$53:$D$54,'405'!$D$56,'405'!$D$58,'405'!$D$60,'405'!$D$62,'405'!$D$64:$D$66,'405'!$D$68,'405'!$D$70:$D$72,'405'!$D$74,'405'!$D$76:$D$84,'405'!$D$86,'405'!$D$88,'405'!$D$90</definedName>
    <definedName name="OSRRefD22x_0" localSheetId="79">'406'!$D$27:$D$35,'406'!$D$37:$D$46,'406'!$D$48,'406'!$D$50,'406'!$D$52,'406'!$D$54,'406'!$D$56,'406'!$D$58,'406'!$D$60:$D$61,'406'!$D$63:$D$65,'406'!$D$67:$D$72,'406'!$D$74:$D$75,'406'!$D$77,'406'!$D$79</definedName>
    <definedName name="OSRRefD22x_0" localSheetId="80">'411'!$D$20:$D$29,'411'!$D$31:$D$40,'411'!$D$42,'411'!$D$44:$D$46,'411'!$D$48,'411'!$D$50,'411'!$D$52,'411'!$D$54,'411'!$D$56,'411'!$D$58,'411'!$D$60:$D$62,'411'!$D$64:$D$68,'411'!$D$70:$D$75,'411'!$D$77,'411'!$D$79,'411'!$D$81:$D$83,'411'!$D$85</definedName>
    <definedName name="OSRRefD22x_0" localSheetId="81">'412'!$D$26:$D$34,'412'!$D$36:$D$45,'412'!$D$47,'412'!$D$49,'412'!$D$51,'412'!$D$53,'412'!$D$55,'412'!$D$57,'412'!$D$59:$D$60,'412'!$D$62,'412'!$D$64:$D$65,'412'!$D$67:$D$72,'412'!$D$74,'412'!$D$76</definedName>
    <definedName name="OSRRefD22x_0" localSheetId="82">'413'!$D$27:$D$35,'413'!$D$37:$D$46,'413'!$D$48,'413'!$D$50,'413'!$D$52,'413'!$D$54,'413'!$D$56,'413'!$D$58,'413'!$D$60,'413'!$D$62:$D$66,'413'!$D$68:$D$69,'413'!$D$71</definedName>
    <definedName name="OSRRefD22x_0" localSheetId="83">'414'!$D$27:$D$35,'414'!$D$37:$D$46,'414'!$D$48,'414'!$D$50,'414'!$D$52,'414'!$D$54:$D$55,'414'!$D$57,'414'!$D$59,'414'!$D$61,'414'!$D$63,'414'!$D$65,'414'!$D$67,'414'!$D$69,'414'!$D$71:$D$77,'414'!$D$79,'414'!$D$81</definedName>
    <definedName name="OSRRefD22x_0" localSheetId="84">'415'!$D$26:$D$34,'415'!$D$36:$D$45,'415'!$D$47,'415'!$D$49,'415'!$D$51,'415'!$D$53:$D$54,'415'!$D$56,'415'!$D$58,'415'!$D$60,'415'!$D$62,'415'!$D$64,'415'!$D$66,'415'!$D$68:$D$72,'415'!$D$74,'415'!$D$76:$D$83,'415'!$D$85,'415'!$D$87:$D$88,'415'!$D$90</definedName>
    <definedName name="OSRRefD22x_0" localSheetId="85">'418'!$D$27:$D$35,'418'!$D$37:$D$46,'418'!$D$48,'418'!$D$50,'418'!$D$52,'418'!$D$54:$D$56,'418'!$D$58,'418'!$D$60,'418'!$D$62:$D$63,'418'!$D$65,'418'!$D$67:$D$69,'418'!$D$71,'418'!$D$73:$D$77,'418'!$D$79,'418'!$D$81,'418'!$D$83</definedName>
    <definedName name="OSRRefD22x_0" localSheetId="87">'423'!$D$21:$D$29,'423'!$D$31:$D$40,'423'!$D$42,'423'!$D$44,'423'!$D$46,'423'!$D$48</definedName>
    <definedName name="OSRRefD22x_0" localSheetId="88">'424'!$D$26:$D$33,'424'!$D$35:$D$44,'424'!$D$46,'424'!$D$48,'424'!$D$50,'424'!$D$52,'424'!$D$54,'424'!$D$56,'424'!$D$58:$D$59,'424'!$D$61,'424'!$D$63:$D$64,'424'!$D$66:$D$67</definedName>
    <definedName name="OSRRefD22x_0" localSheetId="89">'425'!$D$27:$D$35,'425'!$D$37:$D$46,'425'!$D$48,'425'!$D$50,'425'!$D$52,'425'!$D$54,'425'!$D$56,'425'!$D$58,'425'!$D$60,'425'!$D$62,'425'!$D$64:$D$65,'425'!$D$67:$D$68,'425'!$D$70:$D$73,'425'!$D$75:$D$76,'425'!$D$78</definedName>
    <definedName name="OSRRefD22x_0" localSheetId="92">'430'!$D$20:$D$28,'430'!$D$30:$D$39,'430'!$D$41,'430'!$D$43,'430'!$D$45,'430'!$D$47,'430'!$D$49,'430'!$D$51:$D$53,'430'!$D$55,'430'!$D$57,'430'!$D$59</definedName>
    <definedName name="OSRRefD22x_0" localSheetId="93">'433'!$D$27:$D$36,'433'!$D$38:$D$47,'433'!$D$49,'433'!$D$51,'433'!$D$53,'433'!$D$55,'433'!$D$57,'433'!$D$59,'433'!$D$61,'433'!$D$63,'433'!$D$65:$D$66,'433'!$D$68:$D$71,'433'!$D$73:$D$79,'433'!$D$81,'433'!$D$83,'433'!$D$85:$D$86</definedName>
    <definedName name="OSRRefD22x_0" localSheetId="94">'435'!$D$26:$D$33,'435'!$D$35:$D$44,'435'!$D$46,'435'!$D$48,'435'!$D$50,'435'!$D$52,'435'!$D$54:$D$55,'435'!$D$57</definedName>
    <definedName name="OSRRefD22x_0" localSheetId="95">'444'!$D$27:$D$36,'444'!$D$38:$D$47,'444'!$D$49,'444'!$D$51,'444'!$D$53,'444'!$D$55,'444'!$D$57,'444'!$D$59,'444'!$D$61,'444'!$D$63,'444'!$D$65,'444'!$D$67:$D$69,'444'!$D$71:$D$74,'444'!$D$76:$D$82,'444'!$D$84,'444'!$D$86,'444'!$D$88</definedName>
    <definedName name="OSRRefD22x_0" localSheetId="97">'450'!$D$26:$D$35,'450'!$D$37:$D$46,'450'!$D$48,'450'!$D$50:$D$51,'450'!$D$53,'450'!$D$55,'450'!$D$57,'450'!$D$59,'450'!$D$61,'450'!$D$63,'450'!$D$65,'450'!$D$67,'450'!$D$69:$D$71,'450'!$D$73:$D$78,'450'!$D$80,'450'!$D$82,'450'!$D$84:$D$85</definedName>
    <definedName name="OSRRefD22x_0" localSheetId="90">'455'!$D$20:$D$27,'455'!$D$29:$D$38</definedName>
    <definedName name="OSRRefD22x_0" localSheetId="77">'491'!$D$34:$D$43,'491'!$D$45:$D$54,'491'!$D$56,'491'!$D$58,'491'!$D$60,'491'!$D$62:$D$65,'491'!$D$67,'491'!$D$69,'491'!$D$71,'491'!$D$73:$D$74,'491'!$D$76,'491'!$D$78,'491'!$D$80,'491'!$D$82,'491'!$D$84:$D$87,'491'!$D$89:$D$91,'491'!$D$93:$D$97,'491'!$D$99,'491'!$D$101:$D$110,'491'!$D$112:$D$113,'491'!$D$115,'491'!$D$117:$D$119,'491'!$D$121</definedName>
    <definedName name="OSRRefD22x_0" localSheetId="91">'492'!$D$29:$D$38,'492'!$D$40:$D$49,'492'!$D$51,'492'!$D$53:$D$54,'492'!$D$56,'492'!$D$58:$D$59,'492'!$D$61,'492'!$D$63,'492'!$D$65,'492'!$D$67,'492'!$D$69,'492'!$D$71,'492'!$D$73:$D$75,'492'!$D$77:$D$80,'492'!$D$82:$D$90,'492'!$D$92,'492'!$D$94,'492'!$D$96:$D$97</definedName>
    <definedName name="OSRRefD22x_0" localSheetId="99">'501'!$D$21:$D$29,'501'!$D$31:$D$40,'501'!$D$42,'501'!$D$44,'501'!$D$46,'501'!$D$48,'501'!$D$50,'501'!$D$52,'501'!$D$54,'501'!$D$56,'501'!$D$58:$D$59,'501'!$D$61:$D$62,'501'!$D$64</definedName>
    <definedName name="OSRRefD22x_0" localSheetId="39">'Div 2'!$D$20:$D$30,'Div 2'!$D$32:$D$41,'Div 2'!$D$43,'Div 2'!$D$45,'Div 2'!$D$47,'Div 2'!$D$49,'Div 2'!$D$51,'Div 2'!$D$53,'Div 2'!$D$55,'Div 2'!$D$57,'Div 2'!$D$59,'Div 2'!$D$61,'Div 2'!$D$63:$D$65,'Div 2'!$D$67:$D$70,'Div 2'!$D$72:$D$75,'Div 2'!$D$77:$D$78,'Div 2'!$D$80:$D$81,'Div 2'!$D$83:$D$86,'Div 2'!$D$88:$D$89,'Div 2'!$D$91,'Div 2'!$D$93:$D$94</definedName>
    <definedName name="OSRRefD22x_0" localSheetId="47">'Div 3'!$D$154:$D$163,'Div 3'!$D$165:$D$174,'Div 3'!$D$176,'Div 3'!$D$178:$D$179,'Div 3'!$D$181,'Div 3'!$D$183:$D$185,'Div 3'!$D$187:$D$188,'Div 3'!$D$190:$D$191,'Div 3'!$D$193,'Div 3'!$D$195,'Div 3'!$D$197:$D$198,'Div 3'!$D$200,'Div 3'!$D$202,'Div 3'!$D$204,'Div 3'!$D$206,'Div 3'!$D$208,'Div 3'!$D$210,'Div 3'!$D$212,'Div 3'!$D$214:$D$216,'Div 3'!$D$218:$D$221,'Div 3'!$D$223:$D$228,'Div 3'!$D$230:$D$231,'Div 3'!$D$233:$D$240,'Div 3'!$D$242:$D$243,'Div 3'!$D$245,'Div 3'!$D$247:$D$249,'Div 3'!$D$251</definedName>
    <definedName name="OSRRefD22x_0" localSheetId="75">'Div 4'!$D$35:$D$44,'Div 4'!$D$46:$D$55,'Div 4'!$D$57,'Div 4'!$D$59:$D$60,'Div 4'!$D$62,'Div 4'!$D$64:$D$67,'Div 4'!$D$69:$D$70,'Div 4'!$D$72,'Div 4'!$D$74,'Div 4'!$D$76,'Div 4'!$D$78:$D$79,'Div 4'!$D$81,'Div 4'!$D$83,'Div 4'!$D$85,'Div 4'!$D$87,'Div 4'!$D$89,'Div 4'!$D$91:$D$94,'Div 4'!$D$96:$D$98,'Div 4'!$D$100:$D$104,'Div 4'!$D$106,'Div 4'!$D$108:$D$117,'Div 4'!$D$119:$D$120,'Div 4'!$D$122,'Div 4'!$D$124:$D$126,'Div 4'!$D$128</definedName>
    <definedName name="OSRRefD22x_0" localSheetId="98">'Div 5'!$D$21:$D$29,'Div 5'!$D$31:$D$40,'Div 5'!$D$42,'Div 5'!$D$44,'Div 5'!$D$46,'Div 5'!$D$48,'Div 5'!$D$50,'Div 5'!$D$52,'Div 5'!$D$54,'Div 5'!$D$56,'Div 5'!$D$58:$D$59,'Div 5'!$D$61:$D$62,'Div 5'!$D$64</definedName>
    <definedName name="OSRRefD22x_0" localSheetId="63">'Div 6'!$D$56:$D$65,'Div 6'!$D$67:$D$76,'Div 6'!$D$78,'Div 6'!$D$80,'Div 6'!$D$82,'Div 6'!$D$84,'Div 6'!$D$86,'Div 6'!$D$88,'Div 6'!$D$90:$D$91,'Div 6'!$D$93:$D$94,'Div 6'!$D$96</definedName>
    <definedName name="OSRRefD22x_0" localSheetId="2">Summary!$D$184:$D$193,Summary!$D$195:$D$204,Summary!$D$206,Summary!$D$208:$D$209,Summary!$D$211,Summary!$D$213:$D$216,Summary!$D$218:$D$219,Summary!$D$221:$D$223,Summary!$D$225,Summary!$D$227,Summary!$D$229:$D$230,Summary!$D$232:$D$233,Summary!$D$235,Summary!$D$237,Summary!$D$239,Summary!$D$241,Summary!$D$243,Summary!$D$245,Summary!$D$247:$D$250,Summary!$D$252:$D$255,Summary!$D$257:$D$262,Summary!$D$264:$D$265,Summary!$D$267:$D$276,Summary!$D$278:$D$279,Summary!$D$281,Summary!$D$283:$D$285,Summary!$D$287</definedName>
    <definedName name="OSRRefD25x_0" localSheetId="48">'300'!$D$241:$D$247</definedName>
    <definedName name="OSRRefD25x_0" localSheetId="49">'300 &amp; 317'!$D$264:$D$272</definedName>
    <definedName name="OSRRefD25x_0" localSheetId="50">'301'!$D$99:$D$101</definedName>
    <definedName name="OSRRefD25x_0" localSheetId="55">'308'!$D$111:$D$113</definedName>
    <definedName name="OSRRefD25x_0" localSheetId="76">'310 &amp; 491'!$D$137:$D$140</definedName>
    <definedName name="OSRRefD25x_0" localSheetId="56">'311'!$D$111:$D$113</definedName>
    <definedName name="OSRRefD25x_0" localSheetId="59">'315'!$D$110:$D$112</definedName>
    <definedName name="OSRRefD25x_0" localSheetId="61">'316'!$D$82:$D$83</definedName>
    <definedName name="OSRRefD25x_0" localSheetId="64">'317'!$D$99:$D$101</definedName>
    <definedName name="OSRRefD25x_0" localSheetId="62">'320'!$D$63:$D$66</definedName>
    <definedName name="OSRRefD25x_0" localSheetId="58">'331'!$D$141:$D$143</definedName>
    <definedName name="OSRRefD25x_0" localSheetId="60">'332'!$D$94:$D$99</definedName>
    <definedName name="OSRRefD25x_0" localSheetId="80">'411'!$D$88:$D$89</definedName>
    <definedName name="OSRRefD25x_0" localSheetId="82">'413'!$D$74</definedName>
    <definedName name="OSRRefD25x_0" localSheetId="87">'423'!$D$51</definedName>
    <definedName name="OSRRefD25x_0" localSheetId="88">'424'!$D$70</definedName>
    <definedName name="OSRRefD25x_0" localSheetId="89">'425'!$D$81</definedName>
    <definedName name="OSRRefD25x_0" localSheetId="90">'455'!$D$41:$D$44</definedName>
    <definedName name="OSRRefD25x_0" localSheetId="77">'491'!$D$124:$D$127</definedName>
    <definedName name="OSRRefD25x_0" localSheetId="99">'501'!$D$67</definedName>
    <definedName name="OSRRefD25x_0" localSheetId="47">'Div 3'!$D$254:$D$260</definedName>
    <definedName name="OSRRefD25x_0" localSheetId="75">'Div 4'!$D$131:$D$134</definedName>
    <definedName name="OSRRefD25x_0" localSheetId="98">'Div 5'!$D$67</definedName>
    <definedName name="OSRRefD25x_0" localSheetId="63">'Div 6'!$D$99:$D$101</definedName>
    <definedName name="OSRRefD25x_0" localSheetId="2">Summary!$D$290:$D$299</definedName>
    <definedName name="OSRRefH13x_0" localSheetId="48">'300'!$H$13:$H$92</definedName>
    <definedName name="OSRRefH13x_0" localSheetId="49">'300 &amp; 317'!$H$13:$H$110</definedName>
    <definedName name="OSRRefH13x_0" localSheetId="53">'307'!$H$13:$H$35</definedName>
    <definedName name="OSRRefH13x_0" localSheetId="55">'308'!$H$13:$H$35</definedName>
    <definedName name="OSRRefH13x_0" localSheetId="66">'309'!$H$13:$H$15</definedName>
    <definedName name="OSRRefH13x_0" localSheetId="65">'310'!$H$13:$H$22</definedName>
    <definedName name="OSRRefH13x_0" localSheetId="76">'310 &amp; 491'!$H$13:$H$29</definedName>
    <definedName name="OSRRefH13x_0" localSheetId="56">'311'!$H$13:$H$35</definedName>
    <definedName name="OSRRefH13x_0" localSheetId="67">'313'!$H$13:$H$18</definedName>
    <definedName name="OSRRefH13x_0" localSheetId="54">'314'!$H$13:$H$33</definedName>
    <definedName name="OSRRefH13x_0" localSheetId="59">'315'!$H$13:$H$31</definedName>
    <definedName name="OSRRefH13x_0" localSheetId="61">'316'!$H$13:$H$25</definedName>
    <definedName name="OSRRefH13x_0" localSheetId="64">'317'!$H$13:$H$36</definedName>
    <definedName name="OSRRefH13x_0" localSheetId="62">'320'!$H$13:$H$15</definedName>
    <definedName name="OSRRefH13x_0" localSheetId="68">'321'!$H$13:$H$15</definedName>
    <definedName name="OSRRefH13x_0" localSheetId="69">'322'!$H$13:$H$15</definedName>
    <definedName name="OSRRefH13x_0" localSheetId="71">'324'!$H$13:$H$15</definedName>
    <definedName name="OSRRefH13x_0" localSheetId="72">'325'!$H$13:$H$15</definedName>
    <definedName name="OSRRefH13x_0" localSheetId="73">'326'!$H$13:$H$30</definedName>
    <definedName name="OSRRefH13x_0" localSheetId="74">'327'!$H$13:$H$14</definedName>
    <definedName name="OSRRefH13x_0" localSheetId="52">'330'!$H$13:$H$44</definedName>
    <definedName name="OSRRefH13x_0" localSheetId="58">'331'!$H$13:$H$37</definedName>
    <definedName name="OSRRefH13x_0" localSheetId="60">'332'!$H$13:$H$28</definedName>
    <definedName name="OSRRefH13x_0" localSheetId="78">'405'!$H$13:$H$15</definedName>
    <definedName name="OSRRefH13x_0" localSheetId="79">'406'!$H$13:$H$16</definedName>
    <definedName name="OSRRefH13x_0" localSheetId="81">'412'!$H$13:$H$16</definedName>
    <definedName name="OSRRefH13x_0" localSheetId="82">'413'!$H$13:$H$16</definedName>
    <definedName name="OSRRefH13x_0" localSheetId="83">'414'!$H$13:$H$16</definedName>
    <definedName name="OSRRefH13x_0" localSheetId="84">'415'!$H$13:$H$15</definedName>
    <definedName name="OSRRefH13x_0" localSheetId="85">'418'!$H$13:$H$16</definedName>
    <definedName name="OSRRefH13x_0" localSheetId="88">'424'!$H$13:$H$15</definedName>
    <definedName name="OSRRefH13x_0" localSheetId="89">'425'!$H$13:$H$16</definedName>
    <definedName name="OSRRefH13x_0" localSheetId="93">'433'!$H$13:$H$16</definedName>
    <definedName name="OSRRefH13x_0" localSheetId="94">'435'!$H$13:$H$15</definedName>
    <definedName name="OSRRefH13x_0" localSheetId="95">'444'!$H$13:$H$16</definedName>
    <definedName name="OSRRefH13x_0" localSheetId="97">'450'!$H$13:$H$15</definedName>
    <definedName name="OSRRefH13x_0" localSheetId="77">'491'!$H$13:$H$23</definedName>
    <definedName name="OSRRefH13x_0" localSheetId="91">'492'!$H$13:$H$18</definedName>
    <definedName name="OSRRefH13x_0" localSheetId="99">'501'!$H$13</definedName>
    <definedName name="OSRRefH13x_0" localSheetId="47">'Div 3'!$H$13:$H$96</definedName>
    <definedName name="OSRRefH13x_0" localSheetId="75">'Div 4'!$H$13:$H$24</definedName>
    <definedName name="OSRRefH13x_0" localSheetId="98">'Div 5'!$H$13</definedName>
    <definedName name="OSRRefH13x_0" localSheetId="63">'Div 6'!$H$13:$H$36</definedName>
    <definedName name="OSRRefH13x_0" localSheetId="2">Summary!$H$13:$H$121</definedName>
    <definedName name="OSRRefH16x_0" localSheetId="48">'300'!$H$95:$H$142</definedName>
    <definedName name="OSRRefH16x_0" localSheetId="49">'300 &amp; 317'!$H$113:$H$165</definedName>
    <definedName name="OSRRefH16x_0" localSheetId="53">'307'!$H$38:$H$54</definedName>
    <definedName name="OSRRefH16x_0" localSheetId="55">'308'!$H$38:$H$51</definedName>
    <definedName name="OSRRefH16x_0" localSheetId="66">'309'!$H$18:$H$20</definedName>
    <definedName name="OSRRefH16x_0" localSheetId="65">'310'!$H$25:$H$27</definedName>
    <definedName name="OSRRefH16x_0" localSheetId="76">'310 &amp; 491'!$H$32:$H$34</definedName>
    <definedName name="OSRRefH16x_0" localSheetId="56">'311'!$H$38:$H$51</definedName>
    <definedName name="OSRRefH16x_0" localSheetId="67">'313'!$H$21:$H$23</definedName>
    <definedName name="OSRRefH16x_0" localSheetId="54">'314'!$H$36:$H$50</definedName>
    <definedName name="OSRRefH16x_0" localSheetId="59">'315'!$H$34:$H$48</definedName>
    <definedName name="OSRRefH16x_0" localSheetId="64">'317'!$H$39:$H$50</definedName>
    <definedName name="OSRRefH16x_0" localSheetId="62">'320'!$H$18:$H$22</definedName>
    <definedName name="OSRRefH16x_0" localSheetId="68">'321'!$H$18:$H$20</definedName>
    <definedName name="OSRRefH16x_0" localSheetId="69">'322'!$H$18:$H$20</definedName>
    <definedName name="OSRRefH16x_0" localSheetId="71">'324'!$H$18:$H$20</definedName>
    <definedName name="OSRRefH16x_0" localSheetId="72">'325'!$H$18:$H$20</definedName>
    <definedName name="OSRRefH16x_0" localSheetId="73">'326'!$H$33:$H$45</definedName>
    <definedName name="OSRRefH16x_0" localSheetId="74">'327'!$H$17:$H$18</definedName>
    <definedName name="OSRRefH16x_0" localSheetId="52">'330'!$H$47:$H$68</definedName>
    <definedName name="OSRRefH16x_0" localSheetId="58">'331'!$H$40:$H$59</definedName>
    <definedName name="OSRRefH16x_0" localSheetId="60">'332'!$H$31:$H$35</definedName>
    <definedName name="OSRRefH16x_0" localSheetId="78">'405'!$H$18:$H$20</definedName>
    <definedName name="OSRRefH16x_0" localSheetId="79">'406'!$H$19:$H$21</definedName>
    <definedName name="OSRRefH16x_0" localSheetId="81">'412'!$H$19:$H$20</definedName>
    <definedName name="OSRRefH16x_0" localSheetId="82">'413'!$H$19:$H$21</definedName>
    <definedName name="OSRRefH16x_0" localSheetId="83">'414'!$H$19:$H$21</definedName>
    <definedName name="OSRRefH16x_0" localSheetId="84">'415'!$H$18:$H$20</definedName>
    <definedName name="OSRRefH16x_0" localSheetId="85">'418'!$H$19:$H$21</definedName>
    <definedName name="OSRRefH16x_0" localSheetId="87">'423'!$H$15</definedName>
    <definedName name="OSRRefH16x_0" localSheetId="88">'424'!$H$18:$H$20</definedName>
    <definedName name="OSRRefH16x_0" localSheetId="89">'425'!$H$19:$H$21</definedName>
    <definedName name="OSRRefH16x_0" localSheetId="93">'433'!$H$19:$H$21</definedName>
    <definedName name="OSRRefH16x_0" localSheetId="94">'435'!$H$18:$H$20</definedName>
    <definedName name="OSRRefH16x_0" localSheetId="95">'444'!$H$19:$H$21</definedName>
    <definedName name="OSRRefH16x_0" localSheetId="97">'450'!$H$18:$H$20</definedName>
    <definedName name="OSRRefH16x_0" localSheetId="77">'491'!$H$26:$H$28</definedName>
    <definedName name="OSRRefH16x_0" localSheetId="91">'492'!$H$21:$H$23</definedName>
    <definedName name="OSRRefH16x_0" localSheetId="47">'Div 3'!$H$99:$H$148</definedName>
    <definedName name="OSRRefH16x_0" localSheetId="75">'Div 4'!$H$27:$H$29</definedName>
    <definedName name="OSRRefH16x_0" localSheetId="63">'Div 6'!$H$39:$H$50</definedName>
    <definedName name="OSRRefH16x_0" localSheetId="2">Summary!$H$124:$H$178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'300'!$H$148:$H$157</definedName>
    <definedName name="OSRRefH22_0x_0" localSheetId="49">'300 &amp; 317'!$H$171:$H$180</definedName>
    <definedName name="OSRRefH22_0x_0" localSheetId="50">'301'!$H$20:$H$28</definedName>
    <definedName name="OSRRefH22_0x_0" localSheetId="51">'306'!$H$20:$H$28</definedName>
    <definedName name="OSRRefH22_0x_0" localSheetId="53">'307'!$H$60:$H$68</definedName>
    <definedName name="OSRRefH22_0x_0" localSheetId="55">'308'!$H$57:$H$66</definedName>
    <definedName name="OSRRefH22_0x_0" localSheetId="66">'309'!$H$26:$H$34</definedName>
    <definedName name="OSRRefH22_0x_0" localSheetId="65">'310'!$H$33:$H$41</definedName>
    <definedName name="OSRRefH22_0x_0" localSheetId="76">'310 &amp; 491'!$H$40:$H$49</definedName>
    <definedName name="OSRRefH22_0x_0" localSheetId="56">'311'!$H$57:$H$66</definedName>
    <definedName name="OSRRefH22_0x_0" localSheetId="67">'313'!$H$29:$H$37</definedName>
    <definedName name="OSRRefH22_0x_0" localSheetId="54">'314'!$H$56:$H$63</definedName>
    <definedName name="OSRRefH22_0x_0" localSheetId="59">'315'!$H$54:$H$62</definedName>
    <definedName name="OSRRefH22_0x_0" localSheetId="61">'316'!$H$33:$H$41</definedName>
    <definedName name="OSRRefH22_0x_0" localSheetId="64">'317'!$H$56:$H$65</definedName>
    <definedName name="OSRRefH22_0x_0" localSheetId="62">'320'!$H$28:$H$35</definedName>
    <definedName name="OSRRefH22_0x_0" localSheetId="68">'321'!$H$26:$H$33</definedName>
    <definedName name="OSRRefH22_0x_0" localSheetId="69">'322'!$H$26:$H$34</definedName>
    <definedName name="OSRRefH22_0x_0" localSheetId="72">'325'!$H$26:$H$34</definedName>
    <definedName name="OSRRefH22_0x_0" localSheetId="73">'326'!$H$51:$H$59</definedName>
    <definedName name="OSRRefH22_0x_0" localSheetId="74">'327'!$H$24</definedName>
    <definedName name="OSRRefH22_0x_0" localSheetId="52">'330'!$H$74:$H$82</definedName>
    <definedName name="OSRRefH22_0x_0" localSheetId="58">'331'!$H$65:$H$73</definedName>
    <definedName name="OSRRefH22_0x_0" localSheetId="60">'332'!$H$41:$H$49</definedName>
    <definedName name="OSRRefH22_0x_0" localSheetId="78">'405'!$H$26:$H$34</definedName>
    <definedName name="OSRRefH22_0x_0" localSheetId="79">'406'!$H$27:$H$35</definedName>
    <definedName name="OSRRefH22_0x_0" localSheetId="80">'411'!$H$20:$H$29</definedName>
    <definedName name="OSRRefH22_0x_0" localSheetId="81">'412'!$H$26:$H$34</definedName>
    <definedName name="OSRRefH22_0x_0" localSheetId="82">'413'!$H$27:$H$35</definedName>
    <definedName name="OSRRefH22_0x_0" localSheetId="83">'414'!$H$27:$H$35</definedName>
    <definedName name="OSRRefH22_0x_0" localSheetId="84">'415'!$H$26:$H$34</definedName>
    <definedName name="OSRRefH22_0x_0" localSheetId="85">'418'!$H$27:$H$35</definedName>
    <definedName name="OSRRefH22_0x_0" localSheetId="87">'423'!$H$21:$H$29</definedName>
    <definedName name="OSRRefH22_0x_0" localSheetId="88">'424'!$H$26:$H$33</definedName>
    <definedName name="OSRRefH22_0x_0" localSheetId="89">'425'!$H$27:$H$35</definedName>
    <definedName name="OSRRefH22_0x_0" localSheetId="92">'430'!$H$20:$H$28</definedName>
    <definedName name="OSRRefH22_0x_0" localSheetId="93">'433'!$H$27:$H$36</definedName>
    <definedName name="OSRRefH22_0x_0" localSheetId="94">'435'!$H$26:$H$33</definedName>
    <definedName name="OSRRefH22_0x_0" localSheetId="95">'444'!$H$27:$H$36</definedName>
    <definedName name="OSRRefH22_0x_0" localSheetId="97">'450'!$H$26:$H$35</definedName>
    <definedName name="OSRRefH22_0x_0" localSheetId="90">'455'!$H$20:$H$27</definedName>
    <definedName name="OSRRefH22_0x_0" localSheetId="77">'491'!$H$34:$H$43</definedName>
    <definedName name="OSRRefH22_0x_0" localSheetId="91">'492'!$H$29:$H$38</definedName>
    <definedName name="OSRRefH22_0x_0" localSheetId="99">'501'!$H$21:$H$29</definedName>
    <definedName name="OSRRefH22_0x_0" localSheetId="39">'Div 2'!$H$20:$H$30</definedName>
    <definedName name="OSRRefH22_0x_0" localSheetId="47">'Div 3'!$H$154:$H$163</definedName>
    <definedName name="OSRRefH22_0x_0" localSheetId="75">'Div 4'!$H$35:$H$44</definedName>
    <definedName name="OSRRefH22_0x_0" localSheetId="98">'Div 5'!$H$21:$H$29</definedName>
    <definedName name="OSRRefH22_0x_0" localSheetId="63">'Div 6'!$H$56:$H$65</definedName>
    <definedName name="OSRRefH22_0x_0" localSheetId="2">Summary!$H$184:$H$193</definedName>
    <definedName name="OSRRefH22_10x_0" localSheetId="41">'201'!$H$59</definedName>
    <definedName name="OSRRefH22_10x_0" localSheetId="42">'202'!$H$59</definedName>
    <definedName name="OSRRefH22_10x_0" localSheetId="43">'203'!$H$59:$H$60</definedName>
    <definedName name="OSRRefH22_10x_0" localSheetId="44">'204'!$H$62</definedName>
    <definedName name="OSRRefH22_10x_0" localSheetId="48">'300'!$H$191:$H$192</definedName>
    <definedName name="OSRRefH22_10x_0" localSheetId="49">'300 &amp; 317'!$H$214:$H$215</definedName>
    <definedName name="OSRRefH22_10x_0" localSheetId="50">'301'!$H$61</definedName>
    <definedName name="OSRRefH22_10x_0" localSheetId="53">'307'!$H$99</definedName>
    <definedName name="OSRRefH22_10x_0" localSheetId="55">'308'!$H$97</definedName>
    <definedName name="OSRRefH22_10x_0" localSheetId="66">'309'!$H$64:$H$66</definedName>
    <definedName name="OSRRefH22_10x_0" localSheetId="65">'310'!$H$71</definedName>
    <definedName name="OSRRefH22_10x_0" localSheetId="76">'310 &amp; 491'!$H$81</definedName>
    <definedName name="OSRRefH22_10x_0" localSheetId="56">'311'!$H$97</definedName>
    <definedName name="OSRRefH22_10x_0" localSheetId="67">'313'!$H$67</definedName>
    <definedName name="OSRRefH22_10x_0" localSheetId="59">'315'!$H$91:$H$93</definedName>
    <definedName name="OSRRefH22_10x_0" localSheetId="61">'316'!$H$70:$H$71</definedName>
    <definedName name="OSRRefH22_10x_0" localSheetId="64">'317'!$H$96</definedName>
    <definedName name="OSRRefH22_10x_0" localSheetId="68">'321'!$H$63</definedName>
    <definedName name="OSRRefH22_10x_0" localSheetId="69">'322'!$H$64:$H$66</definedName>
    <definedName name="OSRRefH22_10x_0" localSheetId="72">'325'!$H$64</definedName>
    <definedName name="OSRRefH22_10x_0" localSheetId="73">'326'!$H$89</definedName>
    <definedName name="OSRRefH22_10x_0" localSheetId="52">'330'!$H$113</definedName>
    <definedName name="OSRRefH22_10x_0" localSheetId="58">'331'!$H$103</definedName>
    <definedName name="OSRRefH22_10x_0" localSheetId="60">'332'!$H$79</definedName>
    <definedName name="OSRRefH22_10x_0" localSheetId="78">'405'!$H$64:$H$66</definedName>
    <definedName name="OSRRefH22_10x_0" localSheetId="79">'406'!$H$67:$H$72</definedName>
    <definedName name="OSRRefH22_10x_0" localSheetId="80">'411'!$H$60:$H$62</definedName>
    <definedName name="OSRRefH22_10x_0" localSheetId="81">'412'!$H$64:$H$65</definedName>
    <definedName name="OSRRefH22_10x_0" localSheetId="82">'413'!$H$68:$H$69</definedName>
    <definedName name="OSRRefH22_10x_0" localSheetId="83">'414'!$H$65</definedName>
    <definedName name="OSRRefH22_10x_0" localSheetId="84">'415'!$H$64</definedName>
    <definedName name="OSRRefH22_10x_0" localSheetId="85">'418'!$H$67:$H$69</definedName>
    <definedName name="OSRRefH22_10x_0" localSheetId="88">'424'!$H$63:$H$64</definedName>
    <definedName name="OSRRefH22_10x_0" localSheetId="89">'425'!$H$64:$H$65</definedName>
    <definedName name="OSRRefH22_10x_0" localSheetId="92">'430'!$H$59</definedName>
    <definedName name="OSRRefH22_10x_0" localSheetId="93">'433'!$H$65:$H$66</definedName>
    <definedName name="OSRRefH22_10x_0" localSheetId="95">'444'!$H$65</definedName>
    <definedName name="OSRRefH22_10x_0" localSheetId="97">'450'!$H$65</definedName>
    <definedName name="OSRRefH22_10x_0" localSheetId="77">'491'!$H$76</definedName>
    <definedName name="OSRRefH22_10x_0" localSheetId="91">'492'!$H$69</definedName>
    <definedName name="OSRRefH22_10x_0" localSheetId="99">'501'!$H$58:$H$59</definedName>
    <definedName name="OSRRefH22_10x_0" localSheetId="39">'Div 2'!$H$59</definedName>
    <definedName name="OSRRefH22_10x_0" localSheetId="47">'Div 3'!$H$197:$H$198</definedName>
    <definedName name="OSRRefH22_10x_0" localSheetId="75">'Div 4'!$H$78:$H$79</definedName>
    <definedName name="OSRRefH22_10x_0" localSheetId="98">'Div 5'!$H$58:$H$59</definedName>
    <definedName name="OSRRefH22_10x_0" localSheetId="63">'Div 6'!$H$96</definedName>
    <definedName name="OSRRefH22_10x_0" localSheetId="2">Summary!$H$229:$H$230</definedName>
    <definedName name="OSRRefH22_11x_0" localSheetId="41">'201'!$H$61:$H$63</definedName>
    <definedName name="OSRRefH22_11x_0" localSheetId="42">'202'!$H$61</definedName>
    <definedName name="OSRRefH22_11x_0" localSheetId="43">'203'!$H$62</definedName>
    <definedName name="OSRRefH22_11x_0" localSheetId="44">'204'!$H$64:$H$65</definedName>
    <definedName name="OSRRefH22_11x_0" localSheetId="48">'300'!$H$194</definedName>
    <definedName name="OSRRefH22_11x_0" localSheetId="49">'300 &amp; 317'!$H$217</definedName>
    <definedName name="OSRRefH22_11x_0" localSheetId="50">'301'!$H$63</definedName>
    <definedName name="OSRRefH22_11x_0" localSheetId="53">'307'!$H$101</definedName>
    <definedName name="OSRRefH22_11x_0" localSheetId="55">'308'!$H$99:$H$101</definedName>
    <definedName name="OSRRefH22_11x_0" localSheetId="66">'309'!$H$68</definedName>
    <definedName name="OSRRefH22_11x_0" localSheetId="65">'310'!$H$73</definedName>
    <definedName name="OSRRefH22_11x_0" localSheetId="76">'310 &amp; 491'!$H$83:$H$84</definedName>
    <definedName name="OSRRefH22_11x_0" localSheetId="56">'311'!$H$99:$H$101</definedName>
    <definedName name="OSRRefH22_11x_0" localSheetId="67">'313'!$H$69:$H$72</definedName>
    <definedName name="OSRRefH22_11x_0" localSheetId="59">'315'!$H$95:$H$96</definedName>
    <definedName name="OSRRefH22_11x_0" localSheetId="61">'316'!$H$73:$H$76</definedName>
    <definedName name="OSRRefH22_11x_0" localSheetId="68">'321'!$H$65:$H$66</definedName>
    <definedName name="OSRRefH22_11x_0" localSheetId="69">'322'!$H$68:$H$72</definedName>
    <definedName name="OSRRefH22_11x_0" localSheetId="72">'325'!$H$66:$H$67</definedName>
    <definedName name="OSRRefH22_11x_0" localSheetId="73">'326'!$H$91</definedName>
    <definedName name="OSRRefH22_11x_0" localSheetId="52">'330'!$H$115</definedName>
    <definedName name="OSRRefH22_11x_0" localSheetId="58">'331'!$H$105</definedName>
    <definedName name="OSRRefH22_11x_0" localSheetId="60">'332'!$H$81:$H$82</definedName>
    <definedName name="OSRRefH22_11x_0" localSheetId="78">'405'!$H$68</definedName>
    <definedName name="OSRRefH22_11x_0" localSheetId="79">'406'!$H$74:$H$75</definedName>
    <definedName name="OSRRefH22_11x_0" localSheetId="80">'411'!$H$64:$H$68</definedName>
    <definedName name="OSRRefH22_11x_0" localSheetId="81">'412'!$H$67:$H$72</definedName>
    <definedName name="OSRRefH22_11x_0" localSheetId="82">'413'!$H$71</definedName>
    <definedName name="OSRRefH22_11x_0" localSheetId="83">'414'!$H$67</definedName>
    <definedName name="OSRRefH22_11x_0" localSheetId="84">'415'!$H$66</definedName>
    <definedName name="OSRRefH22_11x_0" localSheetId="85">'418'!$H$71</definedName>
    <definedName name="OSRRefH22_11x_0" localSheetId="88">'424'!$H$66:$H$67</definedName>
    <definedName name="OSRRefH22_11x_0" localSheetId="89">'425'!$H$67:$H$68</definedName>
    <definedName name="OSRRefH22_11x_0" localSheetId="93">'433'!$H$68:$H$71</definedName>
    <definedName name="OSRRefH22_11x_0" localSheetId="95">'444'!$H$67:$H$69</definedName>
    <definedName name="OSRRefH22_11x_0" localSheetId="97">'450'!$H$67</definedName>
    <definedName name="OSRRefH22_11x_0" localSheetId="77">'491'!$H$78</definedName>
    <definedName name="OSRRefH22_11x_0" localSheetId="91">'492'!$H$71</definedName>
    <definedName name="OSRRefH22_11x_0" localSheetId="99">'501'!$H$61:$H$62</definedName>
    <definedName name="OSRRefH22_11x_0" localSheetId="39">'Div 2'!$H$61</definedName>
    <definedName name="OSRRefH22_11x_0" localSheetId="47">'Div 3'!$H$200</definedName>
    <definedName name="OSRRefH22_11x_0" localSheetId="75">'Div 4'!$H$81</definedName>
    <definedName name="OSRRefH22_11x_0" localSheetId="98">'Div 5'!$H$61:$H$62</definedName>
    <definedName name="OSRRefH22_11x_0" localSheetId="2">Summary!$H$232:$H$233</definedName>
    <definedName name="OSRRefH22_12x_0" localSheetId="41">'201'!$H$65</definedName>
    <definedName name="OSRRefH22_12x_0" localSheetId="42">'202'!$H$63:$H$64</definedName>
    <definedName name="OSRRefH22_12x_0" localSheetId="43">'203'!$H$64:$H$66</definedName>
    <definedName name="OSRRefH22_12x_0" localSheetId="48">'300'!$H$196</definedName>
    <definedName name="OSRRefH22_12x_0" localSheetId="49">'300 &amp; 317'!$H$219</definedName>
    <definedName name="OSRRefH22_12x_0" localSheetId="50">'301'!$H$65</definedName>
    <definedName name="OSRRefH22_12x_0" localSheetId="53">'307'!$H$103</definedName>
    <definedName name="OSRRefH22_12x_0" localSheetId="55">'308'!$H$103:$H$104</definedName>
    <definedName name="OSRRefH22_12x_0" localSheetId="66">'309'!$H$70</definedName>
    <definedName name="OSRRefH22_12x_0" localSheetId="65">'310'!$H$75</definedName>
    <definedName name="OSRRefH22_12x_0" localSheetId="76">'310 &amp; 491'!$H$86</definedName>
    <definedName name="OSRRefH22_12x_0" localSheetId="56">'311'!$H$103:$H$104</definedName>
    <definedName name="OSRRefH22_12x_0" localSheetId="67">'313'!$H$74</definedName>
    <definedName name="OSRRefH22_12x_0" localSheetId="59">'315'!$H$98:$H$101</definedName>
    <definedName name="OSRRefH22_12x_0" localSheetId="61">'316'!$H$78:$H$79</definedName>
    <definedName name="OSRRefH22_12x_0" localSheetId="68">'321'!$H$68:$H$70</definedName>
    <definedName name="OSRRefH22_12x_0" localSheetId="69">'322'!$H$74</definedName>
    <definedName name="OSRRefH22_12x_0" localSheetId="72">'325'!$H$69:$H$72</definedName>
    <definedName name="OSRRefH22_12x_0" localSheetId="73">'326'!$H$93</definedName>
    <definedName name="OSRRefH22_12x_0" localSheetId="52">'330'!$H$117</definedName>
    <definedName name="OSRRefH22_12x_0" localSheetId="58">'331'!$H$107</definedName>
    <definedName name="OSRRefH22_12x_0" localSheetId="60">'332'!$H$84:$H$88</definedName>
    <definedName name="OSRRefH22_12x_0" localSheetId="78">'405'!$H$70:$H$72</definedName>
    <definedName name="OSRRefH22_12x_0" localSheetId="79">'406'!$H$77</definedName>
    <definedName name="OSRRefH22_12x_0" localSheetId="80">'411'!$H$70:$H$75</definedName>
    <definedName name="OSRRefH22_12x_0" localSheetId="81">'412'!$H$74</definedName>
    <definedName name="OSRRefH22_12x_0" localSheetId="83">'414'!$H$69</definedName>
    <definedName name="OSRRefH22_12x_0" localSheetId="84">'415'!$H$68:$H$72</definedName>
    <definedName name="OSRRefH22_12x_0" localSheetId="85">'418'!$H$73:$H$77</definedName>
    <definedName name="OSRRefH22_12x_0" localSheetId="89">'425'!$H$70:$H$73</definedName>
    <definedName name="OSRRefH22_12x_0" localSheetId="93">'433'!$H$73:$H$79</definedName>
    <definedName name="OSRRefH22_12x_0" localSheetId="95">'444'!$H$71:$H$74</definedName>
    <definedName name="OSRRefH22_12x_0" localSheetId="97">'450'!$H$69:$H$71</definedName>
    <definedName name="OSRRefH22_12x_0" localSheetId="77">'491'!$H$80</definedName>
    <definedName name="OSRRefH22_12x_0" localSheetId="91">'492'!$H$73:$H$75</definedName>
    <definedName name="OSRRefH22_12x_0" localSheetId="99">'501'!$H$64</definedName>
    <definedName name="OSRRefH22_12x_0" localSheetId="39">'Div 2'!$H$63:$H$65</definedName>
    <definedName name="OSRRefH22_12x_0" localSheetId="47">'Div 3'!$H$202</definedName>
    <definedName name="OSRRefH22_12x_0" localSheetId="75">'Div 4'!$H$83</definedName>
    <definedName name="OSRRefH22_12x_0" localSheetId="98">'Div 5'!$H$64</definedName>
    <definedName name="OSRRefH22_12x_0" localSheetId="2">Summary!$H$235</definedName>
    <definedName name="OSRRefH22_13x_0" localSheetId="41">'201'!$H$67</definedName>
    <definedName name="OSRRefH22_13x_0" localSheetId="42">'202'!$H$66</definedName>
    <definedName name="OSRRefH22_13x_0" localSheetId="43">'203'!$H$68</definedName>
    <definedName name="OSRRefH22_13x_0" localSheetId="48">'300'!$H$198</definedName>
    <definedName name="OSRRefH22_13x_0" localSheetId="49">'300 &amp; 317'!$H$221</definedName>
    <definedName name="OSRRefH22_13x_0" localSheetId="50">'301'!$H$67</definedName>
    <definedName name="OSRRefH22_13x_0" localSheetId="55">'308'!$H$106</definedName>
    <definedName name="OSRRefH22_13x_0" localSheetId="65">'310'!$H$77</definedName>
    <definedName name="OSRRefH22_13x_0" localSheetId="76">'310 &amp; 491'!$H$88</definedName>
    <definedName name="OSRRefH22_13x_0" localSheetId="56">'311'!$H$106</definedName>
    <definedName name="OSRRefH22_13x_0" localSheetId="67">'313'!$H$76</definedName>
    <definedName name="OSRRefH22_13x_0" localSheetId="59">'315'!$H$103</definedName>
    <definedName name="OSRRefH22_13x_0" localSheetId="68">'321'!$H$72</definedName>
    <definedName name="OSRRefH22_13x_0" localSheetId="69">'322'!$H$76</definedName>
    <definedName name="OSRRefH22_13x_0" localSheetId="72">'325'!$H$74</definedName>
    <definedName name="OSRRefH22_13x_0" localSheetId="73">'326'!$H$95:$H$96</definedName>
    <definedName name="OSRRefH22_13x_0" localSheetId="52">'330'!$H$119</definedName>
    <definedName name="OSRRefH22_13x_0" localSheetId="58">'331'!$H$109</definedName>
    <definedName name="OSRRefH22_13x_0" localSheetId="60">'332'!$H$90:$H$91</definedName>
    <definedName name="OSRRefH22_13x_0" localSheetId="78">'405'!$H$74</definedName>
    <definedName name="OSRRefH22_13x_0" localSheetId="79">'406'!$H$79</definedName>
    <definedName name="OSRRefH22_13x_0" localSheetId="80">'411'!$H$77</definedName>
    <definedName name="OSRRefH22_13x_0" localSheetId="81">'412'!$H$76</definedName>
    <definedName name="OSRRefH22_13x_0" localSheetId="83">'414'!$H$71:$H$77</definedName>
    <definedName name="OSRRefH22_13x_0" localSheetId="84">'415'!$H$74</definedName>
    <definedName name="OSRRefH22_13x_0" localSheetId="85">'418'!$H$79</definedName>
    <definedName name="OSRRefH22_13x_0" localSheetId="89">'425'!$H$75:$H$76</definedName>
    <definedName name="OSRRefH22_13x_0" localSheetId="93">'433'!$H$81</definedName>
    <definedName name="OSRRefH22_13x_0" localSheetId="95">'444'!$H$76:$H$82</definedName>
    <definedName name="OSRRefH22_13x_0" localSheetId="97">'450'!$H$73:$H$78</definedName>
    <definedName name="OSRRefH22_13x_0" localSheetId="77">'491'!$H$82</definedName>
    <definedName name="OSRRefH22_13x_0" localSheetId="91">'492'!$H$77:$H$80</definedName>
    <definedName name="OSRRefH22_13x_0" localSheetId="39">'Div 2'!$H$67:$H$70</definedName>
    <definedName name="OSRRefH22_13x_0" localSheetId="47">'Div 3'!$H$204</definedName>
    <definedName name="OSRRefH22_13x_0" localSheetId="75">'Div 4'!$H$85</definedName>
    <definedName name="OSRRefH22_13x_0" localSheetId="2">Summary!$H$237</definedName>
    <definedName name="OSRRefH22_14x_0" localSheetId="41">'201'!$H$69</definedName>
    <definedName name="OSRRefH22_14x_0" localSheetId="42">'202'!$H$68</definedName>
    <definedName name="OSRRefH22_14x_0" localSheetId="43">'203'!$H$70</definedName>
    <definedName name="OSRRefH22_14x_0" localSheetId="48">'300'!$H$200</definedName>
    <definedName name="OSRRefH22_14x_0" localSheetId="49">'300 &amp; 317'!$H$223</definedName>
    <definedName name="OSRRefH22_14x_0" localSheetId="50">'301'!$H$69</definedName>
    <definedName name="OSRRefH22_14x_0" localSheetId="55">'308'!$H$108</definedName>
    <definedName name="OSRRefH22_14x_0" localSheetId="65">'310'!$H$79</definedName>
    <definedName name="OSRRefH22_14x_0" localSheetId="76">'310 &amp; 491'!$H$90</definedName>
    <definedName name="OSRRefH22_14x_0" localSheetId="56">'311'!$H$108</definedName>
    <definedName name="OSRRefH22_14x_0" localSheetId="59">'315'!$H$105</definedName>
    <definedName name="OSRRefH22_14x_0" localSheetId="68">'321'!$H$74</definedName>
    <definedName name="OSRRefH22_14x_0" localSheetId="72">'325'!$H$76:$H$82</definedName>
    <definedName name="OSRRefH22_14x_0" localSheetId="73">'326'!$H$98:$H$100</definedName>
    <definedName name="OSRRefH22_14x_0" localSheetId="58">'331'!$H$111:$H$112</definedName>
    <definedName name="OSRRefH22_14x_0" localSheetId="78">'405'!$H$76:$H$84</definedName>
    <definedName name="OSRRefH22_14x_0" localSheetId="80">'411'!$H$79</definedName>
    <definedName name="OSRRefH22_14x_0" localSheetId="83">'414'!$H$79</definedName>
    <definedName name="OSRRefH22_14x_0" localSheetId="84">'415'!$H$76:$H$83</definedName>
    <definedName name="OSRRefH22_14x_0" localSheetId="85">'418'!$H$81</definedName>
    <definedName name="OSRRefH22_14x_0" localSheetId="89">'425'!$H$78</definedName>
    <definedName name="OSRRefH22_14x_0" localSheetId="93">'433'!$H$83</definedName>
    <definedName name="OSRRefH22_14x_0" localSheetId="95">'444'!$H$84</definedName>
    <definedName name="OSRRefH22_14x_0" localSheetId="97">'450'!$H$80</definedName>
    <definedName name="OSRRefH22_14x_0" localSheetId="77">'491'!$H$84:$H$87</definedName>
    <definedName name="OSRRefH22_14x_0" localSheetId="91">'492'!$H$82:$H$90</definedName>
    <definedName name="OSRRefH22_14x_0" localSheetId="39">'Div 2'!$H$72:$H$75</definedName>
    <definedName name="OSRRefH22_14x_0" localSheetId="47">'Div 3'!$H$206</definedName>
    <definedName name="OSRRefH22_14x_0" localSheetId="75">'Div 4'!$H$87</definedName>
    <definedName name="OSRRefH22_14x_0" localSheetId="2">Summary!$H$239</definedName>
    <definedName name="OSRRefH22_15x_0" localSheetId="43">'203'!$H$72</definedName>
    <definedName name="OSRRefH22_15x_0" localSheetId="48">'300'!$H$202</definedName>
    <definedName name="OSRRefH22_15x_0" localSheetId="49">'300 &amp; 317'!$H$225</definedName>
    <definedName name="OSRRefH22_15x_0" localSheetId="50">'301'!$H$71:$H$73</definedName>
    <definedName name="OSRRefH22_15x_0" localSheetId="65">'310'!$H$81:$H$82</definedName>
    <definedName name="OSRRefH22_15x_0" localSheetId="76">'310 &amp; 491'!$H$92</definedName>
    <definedName name="OSRRefH22_15x_0" localSheetId="59">'315'!$H$107</definedName>
    <definedName name="OSRRefH22_15x_0" localSheetId="72">'325'!$H$84</definedName>
    <definedName name="OSRRefH22_15x_0" localSheetId="73">'326'!$H$102:$H$103</definedName>
    <definedName name="OSRRefH22_15x_0" localSheetId="58">'331'!$H$114:$H$116</definedName>
    <definedName name="OSRRefH22_15x_0" localSheetId="78">'405'!$H$86</definedName>
    <definedName name="OSRRefH22_15x_0" localSheetId="80">'411'!$H$81:$H$83</definedName>
    <definedName name="OSRRefH22_15x_0" localSheetId="83">'414'!$H$81</definedName>
    <definedName name="OSRRefH22_15x_0" localSheetId="84">'415'!$H$85</definedName>
    <definedName name="OSRRefH22_15x_0" localSheetId="85">'418'!$H$83</definedName>
    <definedName name="OSRRefH22_15x_0" localSheetId="93">'433'!$H$85:$H$86</definedName>
    <definedName name="OSRRefH22_15x_0" localSheetId="95">'444'!$H$86</definedName>
    <definedName name="OSRRefH22_15x_0" localSheetId="97">'450'!$H$82</definedName>
    <definedName name="OSRRefH22_15x_0" localSheetId="77">'491'!$H$89:$H$91</definedName>
    <definedName name="OSRRefH22_15x_0" localSheetId="91">'492'!$H$92</definedName>
    <definedName name="OSRRefH22_15x_0" localSheetId="39">'Div 2'!$H$77:$H$78</definedName>
    <definedName name="OSRRefH22_15x_0" localSheetId="47">'Div 3'!$H$208</definedName>
    <definedName name="OSRRefH22_15x_0" localSheetId="75">'Div 4'!$H$89</definedName>
    <definedName name="OSRRefH22_15x_0" localSheetId="2">Summary!$H$241</definedName>
    <definedName name="OSRRefH22_16x_0" localSheetId="48">'300'!$H$204:$H$206</definedName>
    <definedName name="OSRRefH22_16x_0" localSheetId="49">'300 &amp; 317'!$H$227:$H$229</definedName>
    <definedName name="OSRRefH22_16x_0" localSheetId="50">'301'!$H$75:$H$77</definedName>
    <definedName name="OSRRefH22_16x_0" localSheetId="65">'310'!$H$84</definedName>
    <definedName name="OSRRefH22_16x_0" localSheetId="76">'310 &amp; 491'!$H$94</definedName>
    <definedName name="OSRRefH22_16x_0" localSheetId="72">'325'!$H$86</definedName>
    <definedName name="OSRRefH22_16x_0" localSheetId="73">'326'!$H$105:$H$109</definedName>
    <definedName name="OSRRefH22_16x_0" localSheetId="58">'331'!$H$118:$H$120</definedName>
    <definedName name="OSRRefH22_16x_0" localSheetId="78">'405'!$H$88</definedName>
    <definedName name="OSRRefH22_16x_0" localSheetId="80">'411'!$H$85</definedName>
    <definedName name="OSRRefH22_16x_0" localSheetId="84">'415'!$H$87:$H$88</definedName>
    <definedName name="OSRRefH22_16x_0" localSheetId="95">'444'!$H$88</definedName>
    <definedName name="OSRRefH22_16x_0" localSheetId="97">'450'!$H$84:$H$85</definedName>
    <definedName name="OSRRefH22_16x_0" localSheetId="77">'491'!$H$93:$H$97</definedName>
    <definedName name="OSRRefH22_16x_0" localSheetId="91">'492'!$H$94</definedName>
    <definedName name="OSRRefH22_16x_0" localSheetId="39">'Div 2'!$H$80:$H$81</definedName>
    <definedName name="OSRRefH22_16x_0" localSheetId="47">'Div 3'!$H$210</definedName>
    <definedName name="OSRRefH22_16x_0" localSheetId="75">'Div 4'!$H$91:$H$94</definedName>
    <definedName name="OSRRefH22_16x_0" localSheetId="2">Summary!$H$243</definedName>
    <definedName name="OSRRefH22_17x_0" localSheetId="48">'300'!$H$208:$H$211</definedName>
    <definedName name="OSRRefH22_17x_0" localSheetId="49">'300 &amp; 317'!$H$231:$H$234</definedName>
    <definedName name="OSRRefH22_17x_0" localSheetId="50">'301'!$H$79:$H$80</definedName>
    <definedName name="OSRRefH22_17x_0" localSheetId="65">'310'!$H$86:$H$90</definedName>
    <definedName name="OSRRefH22_17x_0" localSheetId="76">'310 &amp; 491'!$H$96:$H$99</definedName>
    <definedName name="OSRRefH22_17x_0" localSheetId="72">'325'!$H$88</definedName>
    <definedName name="OSRRefH22_17x_0" localSheetId="73">'326'!$H$111:$H$112</definedName>
    <definedName name="OSRRefH22_17x_0" localSheetId="58">'331'!$H$122:$H$123</definedName>
    <definedName name="OSRRefH22_17x_0" localSheetId="78">'405'!$H$90</definedName>
    <definedName name="OSRRefH22_17x_0" localSheetId="84">'415'!$H$90</definedName>
    <definedName name="OSRRefH22_17x_0" localSheetId="77">'491'!$H$99</definedName>
    <definedName name="OSRRefH22_17x_0" localSheetId="91">'492'!$H$96:$H$97</definedName>
    <definedName name="OSRRefH22_17x_0" localSheetId="39">'Div 2'!$H$83:$H$86</definedName>
    <definedName name="OSRRefH22_17x_0" localSheetId="47">'Div 3'!$H$212</definedName>
    <definedName name="OSRRefH22_17x_0" localSheetId="75">'Div 4'!$H$96:$H$98</definedName>
    <definedName name="OSRRefH22_17x_0" localSheetId="2">Summary!$H$245</definedName>
    <definedName name="OSRRefH22_18x_0" localSheetId="48">'300'!$H$213:$H$216</definedName>
    <definedName name="OSRRefH22_18x_0" localSheetId="49">'300 &amp; 317'!$H$236:$H$239</definedName>
    <definedName name="OSRRefH22_18x_0" localSheetId="50">'301'!$H$82:$H$87</definedName>
    <definedName name="OSRRefH22_18x_0" localSheetId="65">'310'!$H$92</definedName>
    <definedName name="OSRRefH22_18x_0" localSheetId="76">'310 &amp; 491'!$H$101:$H$103</definedName>
    <definedName name="OSRRefH22_18x_0" localSheetId="73">'326'!$H$114</definedName>
    <definedName name="OSRRefH22_18x_0" localSheetId="58">'331'!$H$125:$H$129</definedName>
    <definedName name="OSRRefH22_18x_0" localSheetId="77">'491'!$H$101:$H$110</definedName>
    <definedName name="OSRRefH22_18x_0" localSheetId="39">'Div 2'!$H$88:$H$89</definedName>
    <definedName name="OSRRefH22_18x_0" localSheetId="47">'Div 3'!$H$214:$H$216</definedName>
    <definedName name="OSRRefH22_18x_0" localSheetId="75">'Div 4'!$H$100:$H$104</definedName>
    <definedName name="OSRRefH22_18x_0" localSheetId="2">Summary!$H$247:$H$250</definedName>
    <definedName name="OSRRefH22_19x_0" localSheetId="48">'300'!$H$218:$H$219</definedName>
    <definedName name="OSRRefH22_19x_0" localSheetId="49">'300 &amp; 317'!$H$241:$H$242</definedName>
    <definedName name="OSRRefH22_19x_0" localSheetId="50">'301'!$H$89</definedName>
    <definedName name="OSRRefH22_19x_0" localSheetId="65">'310'!$H$94:$H$100</definedName>
    <definedName name="OSRRefH22_19x_0" localSheetId="76">'310 &amp; 491'!$H$105:$H$110</definedName>
    <definedName name="OSRRefH22_19x_0" localSheetId="73">'326'!$H$116</definedName>
    <definedName name="OSRRefH22_19x_0" localSheetId="58">'331'!$H$131:$H$132</definedName>
    <definedName name="OSRRefH22_19x_0" localSheetId="77">'491'!$H$112:$H$113</definedName>
    <definedName name="OSRRefH22_19x_0" localSheetId="39">'Div 2'!$H$91</definedName>
    <definedName name="OSRRefH22_19x_0" localSheetId="47">'Div 3'!$H$218:$H$221</definedName>
    <definedName name="OSRRefH22_19x_0" localSheetId="75">'Div 4'!$H$106</definedName>
    <definedName name="OSRRefH22_19x_0" localSheetId="2">Summary!$H$252:$H$255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'300'!$H$159:$H$168</definedName>
    <definedName name="OSRRefH22_1x_0" localSheetId="49">'300 &amp; 317'!$H$182:$H$191</definedName>
    <definedName name="OSRRefH22_1x_0" localSheetId="50">'301'!$H$30:$H$39</definedName>
    <definedName name="OSRRefH22_1x_0" localSheetId="51">'306'!$H$30:$H$39</definedName>
    <definedName name="OSRRefH22_1x_0" localSheetId="53">'307'!$H$70:$H$79</definedName>
    <definedName name="OSRRefH22_1x_0" localSheetId="55">'308'!$H$68:$H$77</definedName>
    <definedName name="OSRRefH22_1x_0" localSheetId="66">'309'!$H$36:$H$45</definedName>
    <definedName name="OSRRefH22_1x_0" localSheetId="65">'310'!$H$43:$H$52</definedName>
    <definedName name="OSRRefH22_1x_0" localSheetId="76">'310 &amp; 491'!$H$51:$H$60</definedName>
    <definedName name="OSRRefH22_1x_0" localSheetId="56">'311'!$H$68:$H$77</definedName>
    <definedName name="OSRRefH22_1x_0" localSheetId="67">'313'!$H$39:$H$48</definedName>
    <definedName name="OSRRefH22_1x_0" localSheetId="54">'314'!$H$65:$H$74</definedName>
    <definedName name="OSRRefH22_1x_0" localSheetId="59">'315'!$H$64:$H$73</definedName>
    <definedName name="OSRRefH22_1x_0" localSheetId="61">'316'!$H$43:$H$52</definedName>
    <definedName name="OSRRefH22_1x_0" localSheetId="64">'317'!$H$67:$H$76</definedName>
    <definedName name="OSRRefH22_1x_0" localSheetId="62">'320'!$H$37:$H$46</definedName>
    <definedName name="OSRRefH22_1x_0" localSheetId="68">'321'!$H$35:$H$44</definedName>
    <definedName name="OSRRefH22_1x_0" localSheetId="69">'322'!$H$36:$H$45</definedName>
    <definedName name="OSRRefH22_1x_0" localSheetId="72">'325'!$H$36:$H$45</definedName>
    <definedName name="OSRRefH22_1x_0" localSheetId="73">'326'!$H$61:$H$70</definedName>
    <definedName name="OSRRefH22_1x_0" localSheetId="52">'330'!$H$84:$H$93</definedName>
    <definedName name="OSRRefH22_1x_0" localSheetId="58">'331'!$H$75:$H$84</definedName>
    <definedName name="OSRRefH22_1x_0" localSheetId="60">'332'!$H$51:$H$60</definedName>
    <definedName name="OSRRefH22_1x_0" localSheetId="78">'405'!$H$36:$H$45</definedName>
    <definedName name="OSRRefH22_1x_0" localSheetId="79">'406'!$H$37:$H$46</definedName>
    <definedName name="OSRRefH22_1x_0" localSheetId="80">'411'!$H$31:$H$40</definedName>
    <definedName name="OSRRefH22_1x_0" localSheetId="81">'412'!$H$36:$H$45</definedName>
    <definedName name="OSRRefH22_1x_0" localSheetId="82">'413'!$H$37:$H$46</definedName>
    <definedName name="OSRRefH22_1x_0" localSheetId="83">'414'!$H$37:$H$46</definedName>
    <definedName name="OSRRefH22_1x_0" localSheetId="84">'415'!$H$36:$H$45</definedName>
    <definedName name="OSRRefH22_1x_0" localSheetId="85">'418'!$H$37:$H$46</definedName>
    <definedName name="OSRRefH22_1x_0" localSheetId="87">'423'!$H$31:$H$40</definedName>
    <definedName name="OSRRefH22_1x_0" localSheetId="88">'424'!$H$35:$H$44</definedName>
    <definedName name="OSRRefH22_1x_0" localSheetId="89">'425'!$H$37:$H$46</definedName>
    <definedName name="OSRRefH22_1x_0" localSheetId="92">'430'!$H$30:$H$39</definedName>
    <definedName name="OSRRefH22_1x_0" localSheetId="93">'433'!$H$38:$H$47</definedName>
    <definedName name="OSRRefH22_1x_0" localSheetId="94">'435'!$H$35:$H$44</definedName>
    <definedName name="OSRRefH22_1x_0" localSheetId="95">'444'!$H$38:$H$47</definedName>
    <definedName name="OSRRefH22_1x_0" localSheetId="97">'450'!$H$37:$H$46</definedName>
    <definedName name="OSRRefH22_1x_0" localSheetId="90">'455'!$H$29:$H$38</definedName>
    <definedName name="OSRRefH22_1x_0" localSheetId="77">'491'!$H$45:$H$54</definedName>
    <definedName name="OSRRefH22_1x_0" localSheetId="91">'492'!$H$40:$H$49</definedName>
    <definedName name="OSRRefH22_1x_0" localSheetId="99">'501'!$H$31:$H$40</definedName>
    <definedName name="OSRRefH22_1x_0" localSheetId="39">'Div 2'!$H$32:$H$41</definedName>
    <definedName name="OSRRefH22_1x_0" localSheetId="47">'Div 3'!$H$165:$H$174</definedName>
    <definedName name="OSRRefH22_1x_0" localSheetId="75">'Div 4'!$H$46:$H$55</definedName>
    <definedName name="OSRRefH22_1x_0" localSheetId="98">'Div 5'!$H$31:$H$40</definedName>
    <definedName name="OSRRefH22_1x_0" localSheetId="63">'Div 6'!$H$67:$H$76</definedName>
    <definedName name="OSRRefH22_1x_0" localSheetId="2">Summary!$H$195:$H$204</definedName>
    <definedName name="OSRRefH22_20x_0" localSheetId="48">'300'!$H$221:$H$227</definedName>
    <definedName name="OSRRefH22_20x_0" localSheetId="49">'300 &amp; 317'!$H$244:$H$250</definedName>
    <definedName name="OSRRefH22_20x_0" localSheetId="50">'301'!$H$91</definedName>
    <definedName name="OSRRefH22_20x_0" localSheetId="65">'310'!$H$102</definedName>
    <definedName name="OSRRefH22_20x_0" localSheetId="76">'310 &amp; 491'!$H$112</definedName>
    <definedName name="OSRRefH22_20x_0" localSheetId="73">'326'!$H$118</definedName>
    <definedName name="OSRRefH22_20x_0" localSheetId="58">'331'!$H$134</definedName>
    <definedName name="OSRRefH22_20x_0" localSheetId="77">'491'!$H$115</definedName>
    <definedName name="OSRRefH22_20x_0" localSheetId="39">'Div 2'!$H$93:$H$94</definedName>
    <definedName name="OSRRefH22_20x_0" localSheetId="47">'Div 3'!$H$223:$H$228</definedName>
    <definedName name="OSRRefH22_20x_0" localSheetId="75">'Div 4'!$H$108:$H$117</definedName>
    <definedName name="OSRRefH22_20x_0" localSheetId="2">Summary!$H$257:$H$262</definedName>
    <definedName name="OSRRefH22_21x_0" localSheetId="48">'300'!$H$229:$H$230</definedName>
    <definedName name="OSRRefH22_21x_0" localSheetId="49">'300 &amp; 317'!$H$252:$H$253</definedName>
    <definedName name="OSRRefH22_21x_0" localSheetId="50">'301'!$H$93:$H$94</definedName>
    <definedName name="OSRRefH22_21x_0" localSheetId="65">'310'!$H$104</definedName>
    <definedName name="OSRRefH22_21x_0" localSheetId="76">'310 &amp; 491'!$H$114:$H$123</definedName>
    <definedName name="OSRRefH22_21x_0" localSheetId="58">'331'!$H$136</definedName>
    <definedName name="OSRRefH22_21x_0" localSheetId="77">'491'!$H$117:$H$119</definedName>
    <definedName name="OSRRefH22_21x_0" localSheetId="47">'Div 3'!$H$230:$H$231</definedName>
    <definedName name="OSRRefH22_21x_0" localSheetId="75">'Div 4'!$H$119:$H$120</definedName>
    <definedName name="OSRRefH22_21x_0" localSheetId="2">Summary!$H$264:$H$265</definedName>
    <definedName name="OSRRefH22_22x_0" localSheetId="48">'300'!$H$232</definedName>
    <definedName name="OSRRefH22_22x_0" localSheetId="49">'300 &amp; 317'!$H$255</definedName>
    <definedName name="OSRRefH22_22x_0" localSheetId="50">'301'!$H$96</definedName>
    <definedName name="OSRRefH22_22x_0" localSheetId="65">'310'!$H$106</definedName>
    <definedName name="OSRRefH22_22x_0" localSheetId="76">'310 &amp; 491'!$H$125:$H$126</definedName>
    <definedName name="OSRRefH22_22x_0" localSheetId="58">'331'!$H$138</definedName>
    <definedName name="OSRRefH22_22x_0" localSheetId="77">'491'!$H$121</definedName>
    <definedName name="OSRRefH22_22x_0" localSheetId="47">'Div 3'!$H$233:$H$240</definedName>
    <definedName name="OSRRefH22_22x_0" localSheetId="75">'Div 4'!$H$122</definedName>
    <definedName name="OSRRefH22_22x_0" localSheetId="2">Summary!$H$267:$H$276</definedName>
    <definedName name="OSRRefH22_23x_0" localSheetId="48">'300'!$H$234:$H$236</definedName>
    <definedName name="OSRRefH22_23x_0" localSheetId="49">'300 &amp; 317'!$H$257:$H$259</definedName>
    <definedName name="OSRRefH22_23x_0" localSheetId="76">'310 &amp; 491'!$H$128</definedName>
    <definedName name="OSRRefH22_23x_0" localSheetId="47">'Div 3'!$H$242:$H$243</definedName>
    <definedName name="OSRRefH22_23x_0" localSheetId="75">'Div 4'!$H$124:$H$126</definedName>
    <definedName name="OSRRefH22_23x_0" localSheetId="2">Summary!$H$278:$H$279</definedName>
    <definedName name="OSRRefH22_24x_0" localSheetId="48">'300'!$H$238</definedName>
    <definedName name="OSRRefH22_24x_0" localSheetId="49">'300 &amp; 317'!$H$261</definedName>
    <definedName name="OSRRefH22_24x_0" localSheetId="76">'310 &amp; 491'!$H$130:$H$132</definedName>
    <definedName name="OSRRefH22_24x_0" localSheetId="47">'Div 3'!$H$245</definedName>
    <definedName name="OSRRefH22_24x_0" localSheetId="75">'Div 4'!$H$128</definedName>
    <definedName name="OSRRefH22_24x_0" localSheetId="2">Summary!$H$281</definedName>
    <definedName name="OSRRefH22_25x_0" localSheetId="76">'310 &amp; 491'!$H$134</definedName>
    <definedName name="OSRRefH22_25x_0" localSheetId="47">'Div 3'!$H$247:$H$249</definedName>
    <definedName name="OSRRefH22_25x_0" localSheetId="2">Summary!$H$283:$H$285</definedName>
    <definedName name="OSRRefH22_26x_0" localSheetId="47">'Div 3'!$H$251</definedName>
    <definedName name="OSRRefH22_26x_0" localSheetId="2">Summary!$H$287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'300'!$H$170</definedName>
    <definedName name="OSRRefH22_2x_0" localSheetId="49">'300 &amp; 317'!$H$193</definedName>
    <definedName name="OSRRefH22_2x_0" localSheetId="50">'301'!$H$41</definedName>
    <definedName name="OSRRefH22_2x_0" localSheetId="51">'306'!$H$41</definedName>
    <definedName name="OSRRefH22_2x_0" localSheetId="53">'307'!$H$81</definedName>
    <definedName name="OSRRefH22_2x_0" localSheetId="55">'308'!$H$79</definedName>
    <definedName name="OSRRefH22_2x_0" localSheetId="66">'309'!$H$47</definedName>
    <definedName name="OSRRefH22_2x_0" localSheetId="65">'310'!$H$54</definedName>
    <definedName name="OSRRefH22_2x_0" localSheetId="76">'310 &amp; 491'!$H$62</definedName>
    <definedName name="OSRRefH22_2x_0" localSheetId="56">'311'!$H$79</definedName>
    <definedName name="OSRRefH22_2x_0" localSheetId="67">'313'!$H$50</definedName>
    <definedName name="OSRRefH22_2x_0" localSheetId="54">'314'!$H$76</definedName>
    <definedName name="OSRRefH22_2x_0" localSheetId="59">'315'!$H$75</definedName>
    <definedName name="OSRRefH22_2x_0" localSheetId="61">'316'!$H$54</definedName>
    <definedName name="OSRRefH22_2x_0" localSheetId="64">'317'!$H$78</definedName>
    <definedName name="OSRRefH22_2x_0" localSheetId="62">'320'!$H$48</definedName>
    <definedName name="OSRRefH22_2x_0" localSheetId="68">'321'!$H$46</definedName>
    <definedName name="OSRRefH22_2x_0" localSheetId="69">'322'!$H$47</definedName>
    <definedName name="OSRRefH22_2x_0" localSheetId="72">'325'!$H$47</definedName>
    <definedName name="OSRRefH22_2x_0" localSheetId="73">'326'!$H$72</definedName>
    <definedName name="OSRRefH22_2x_0" localSheetId="52">'330'!$H$95</definedName>
    <definedName name="OSRRefH22_2x_0" localSheetId="58">'331'!$H$86</definedName>
    <definedName name="OSRRefH22_2x_0" localSheetId="60">'332'!$H$62</definedName>
    <definedName name="OSRRefH22_2x_0" localSheetId="78">'405'!$H$47</definedName>
    <definedName name="OSRRefH22_2x_0" localSheetId="79">'406'!$H$48</definedName>
    <definedName name="OSRRefH22_2x_0" localSheetId="80">'411'!$H$42</definedName>
    <definedName name="OSRRefH22_2x_0" localSheetId="81">'412'!$H$47</definedName>
    <definedName name="OSRRefH22_2x_0" localSheetId="82">'413'!$H$48</definedName>
    <definedName name="OSRRefH22_2x_0" localSheetId="83">'414'!$H$48</definedName>
    <definedName name="OSRRefH22_2x_0" localSheetId="84">'415'!$H$47</definedName>
    <definedName name="OSRRefH22_2x_0" localSheetId="85">'418'!$H$48</definedName>
    <definedName name="OSRRefH22_2x_0" localSheetId="87">'423'!$H$42</definedName>
    <definedName name="OSRRefH22_2x_0" localSheetId="88">'424'!$H$46</definedName>
    <definedName name="OSRRefH22_2x_0" localSheetId="89">'425'!$H$48</definedName>
    <definedName name="OSRRefH22_2x_0" localSheetId="92">'430'!$H$41</definedName>
    <definedName name="OSRRefH22_2x_0" localSheetId="93">'433'!$H$49</definedName>
    <definedName name="OSRRefH22_2x_0" localSheetId="94">'435'!$H$46</definedName>
    <definedName name="OSRRefH22_2x_0" localSheetId="95">'444'!$H$49</definedName>
    <definedName name="OSRRefH22_2x_0" localSheetId="97">'450'!$H$48</definedName>
    <definedName name="OSRRefH22_2x_0" localSheetId="77">'491'!$H$56</definedName>
    <definedName name="OSRRefH22_2x_0" localSheetId="91">'492'!$H$51</definedName>
    <definedName name="OSRRefH22_2x_0" localSheetId="99">'501'!$H$42</definedName>
    <definedName name="OSRRefH22_2x_0" localSheetId="39">'Div 2'!$H$43</definedName>
    <definedName name="OSRRefH22_2x_0" localSheetId="47">'Div 3'!$H$176</definedName>
    <definedName name="OSRRefH22_2x_0" localSheetId="75">'Div 4'!$H$57</definedName>
    <definedName name="OSRRefH22_2x_0" localSheetId="98">'Div 5'!$H$42</definedName>
    <definedName name="OSRRefH22_2x_0" localSheetId="63">'Div 6'!$H$78</definedName>
    <definedName name="OSRRefH22_2x_0" localSheetId="2">Summary!$H$206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'204'!$H$44</definedName>
    <definedName name="OSRRefH22_3x_0" localSheetId="45">'205'!$H$43</definedName>
    <definedName name="OSRRefH22_3x_0" localSheetId="46">'206'!$H$43</definedName>
    <definedName name="OSRRefH22_3x_0" localSheetId="48">'300'!$H$172:$H$173</definedName>
    <definedName name="OSRRefH22_3x_0" localSheetId="49">'300 &amp; 317'!$H$195:$H$196</definedName>
    <definedName name="OSRRefH22_3x_0" localSheetId="50">'301'!$H$43</definedName>
    <definedName name="OSRRefH22_3x_0" localSheetId="51">'306'!$H$43</definedName>
    <definedName name="OSRRefH22_3x_0" localSheetId="53">'307'!$H$83</definedName>
    <definedName name="OSRRefH22_3x_0" localSheetId="55">'308'!$H$81:$H$82</definedName>
    <definedName name="OSRRefH22_3x_0" localSheetId="66">'309'!$H$49</definedName>
    <definedName name="OSRRefH22_3x_0" localSheetId="65">'310'!$H$56</definedName>
    <definedName name="OSRRefH22_3x_0" localSheetId="76">'310 &amp; 491'!$H$64</definedName>
    <definedName name="OSRRefH22_3x_0" localSheetId="56">'311'!$H$81:$H$82</definedName>
    <definedName name="OSRRefH22_3x_0" localSheetId="67">'313'!$H$52</definedName>
    <definedName name="OSRRefH22_3x_0" localSheetId="54">'314'!$H$78:$H$79</definedName>
    <definedName name="OSRRefH22_3x_0" localSheetId="59">'315'!$H$77</definedName>
    <definedName name="OSRRefH22_3x_0" localSheetId="61">'316'!$H$56</definedName>
    <definedName name="OSRRefH22_3x_0" localSheetId="64">'317'!$H$80</definedName>
    <definedName name="OSRRefH22_3x_0" localSheetId="62">'320'!$H$50:$H$51</definedName>
    <definedName name="OSRRefH22_3x_0" localSheetId="68">'321'!$H$48</definedName>
    <definedName name="OSRRefH22_3x_0" localSheetId="69">'322'!$H$49</definedName>
    <definedName name="OSRRefH22_3x_0" localSheetId="72">'325'!$H$49</definedName>
    <definedName name="OSRRefH22_3x_0" localSheetId="73">'326'!$H$74:$H$75</definedName>
    <definedName name="OSRRefH22_3x_0" localSheetId="52">'330'!$H$97</definedName>
    <definedName name="OSRRefH22_3x_0" localSheetId="58">'331'!$H$88:$H$89</definedName>
    <definedName name="OSRRefH22_3x_0" localSheetId="60">'332'!$H$64</definedName>
    <definedName name="OSRRefH22_3x_0" localSheetId="78">'405'!$H$49</definedName>
    <definedName name="OSRRefH22_3x_0" localSheetId="79">'406'!$H$50</definedName>
    <definedName name="OSRRefH22_3x_0" localSheetId="80">'411'!$H$44:$H$46</definedName>
    <definedName name="OSRRefH22_3x_0" localSheetId="81">'412'!$H$49</definedName>
    <definedName name="OSRRefH22_3x_0" localSheetId="82">'413'!$H$50</definedName>
    <definedName name="OSRRefH22_3x_0" localSheetId="83">'414'!$H$50</definedName>
    <definedName name="OSRRefH22_3x_0" localSheetId="84">'415'!$H$49</definedName>
    <definedName name="OSRRefH22_3x_0" localSheetId="85">'418'!$H$50</definedName>
    <definedName name="OSRRefH22_3x_0" localSheetId="87">'423'!$H$44</definedName>
    <definedName name="OSRRefH22_3x_0" localSheetId="88">'424'!$H$48</definedName>
    <definedName name="OSRRefH22_3x_0" localSheetId="89">'425'!$H$50</definedName>
    <definedName name="OSRRefH22_3x_0" localSheetId="92">'430'!$H$43</definedName>
    <definedName name="OSRRefH22_3x_0" localSheetId="93">'433'!$H$51</definedName>
    <definedName name="OSRRefH22_3x_0" localSheetId="94">'435'!$H$48</definedName>
    <definedName name="OSRRefH22_3x_0" localSheetId="95">'444'!$H$51</definedName>
    <definedName name="OSRRefH22_3x_0" localSheetId="97">'450'!$H$50:$H$51</definedName>
    <definedName name="OSRRefH22_3x_0" localSheetId="77">'491'!$H$58</definedName>
    <definedName name="OSRRefH22_3x_0" localSheetId="91">'492'!$H$53:$H$54</definedName>
    <definedName name="OSRRefH22_3x_0" localSheetId="99">'501'!$H$44</definedName>
    <definedName name="OSRRefH22_3x_0" localSheetId="39">'Div 2'!$H$45</definedName>
    <definedName name="OSRRefH22_3x_0" localSheetId="47">'Div 3'!$H$178:$H$179</definedName>
    <definedName name="OSRRefH22_3x_0" localSheetId="75">'Div 4'!$H$59:$H$60</definedName>
    <definedName name="OSRRefH22_3x_0" localSheetId="98">'Div 5'!$H$44</definedName>
    <definedName name="OSRRefH22_3x_0" localSheetId="63">'Div 6'!$H$80</definedName>
    <definedName name="OSRRefH22_3x_0" localSheetId="2">Summary!$H$208:$H$209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</definedName>
    <definedName name="OSRRefH22_4x_0" localSheetId="46">'206'!$H$45</definedName>
    <definedName name="OSRRefH22_4x_0" localSheetId="48">'300'!$H$175</definedName>
    <definedName name="OSRRefH22_4x_0" localSheetId="49">'300 &amp; 317'!$H$198</definedName>
    <definedName name="OSRRefH22_4x_0" localSheetId="50">'301'!$H$45</definedName>
    <definedName name="OSRRefH22_4x_0" localSheetId="51">'306'!$H$45</definedName>
    <definedName name="OSRRefH22_4x_0" localSheetId="53">'307'!$H$85:$H$86</definedName>
    <definedName name="OSRRefH22_4x_0" localSheetId="55">'308'!$H$84</definedName>
    <definedName name="OSRRefH22_4x_0" localSheetId="66">'309'!$H$51</definedName>
    <definedName name="OSRRefH22_4x_0" localSheetId="65">'310'!$H$58</definedName>
    <definedName name="OSRRefH22_4x_0" localSheetId="76">'310 &amp; 491'!$H$66</definedName>
    <definedName name="OSRRefH22_4x_0" localSheetId="56">'311'!$H$84</definedName>
    <definedName name="OSRRefH22_4x_0" localSheetId="67">'313'!$H$54</definedName>
    <definedName name="OSRRefH22_4x_0" localSheetId="54">'314'!$H$81</definedName>
    <definedName name="OSRRefH22_4x_0" localSheetId="59">'315'!$H$79</definedName>
    <definedName name="OSRRefH22_4x_0" localSheetId="61">'316'!$H$58</definedName>
    <definedName name="OSRRefH22_4x_0" localSheetId="64">'317'!$H$82</definedName>
    <definedName name="OSRRefH22_4x_0" localSheetId="62">'320'!$H$53</definedName>
    <definedName name="OSRRefH22_4x_0" localSheetId="68">'321'!$H$50</definedName>
    <definedName name="OSRRefH22_4x_0" localSheetId="69">'322'!$H$51</definedName>
    <definedName name="OSRRefH22_4x_0" localSheetId="72">'325'!$H$51</definedName>
    <definedName name="OSRRefH22_4x_0" localSheetId="73">'326'!$H$77</definedName>
    <definedName name="OSRRefH22_4x_0" localSheetId="52">'330'!$H$99:$H$100</definedName>
    <definedName name="OSRRefH22_4x_0" localSheetId="58">'331'!$H$91</definedName>
    <definedName name="OSRRefH22_4x_0" localSheetId="60">'332'!$H$66</definedName>
    <definedName name="OSRRefH22_4x_0" localSheetId="78">'405'!$H$51</definedName>
    <definedName name="OSRRefH22_4x_0" localSheetId="79">'406'!$H$52</definedName>
    <definedName name="OSRRefH22_4x_0" localSheetId="80">'411'!$H$48</definedName>
    <definedName name="OSRRefH22_4x_0" localSheetId="81">'412'!$H$51</definedName>
    <definedName name="OSRRefH22_4x_0" localSheetId="82">'413'!$H$52</definedName>
    <definedName name="OSRRefH22_4x_0" localSheetId="83">'414'!$H$52</definedName>
    <definedName name="OSRRefH22_4x_0" localSheetId="84">'415'!$H$51</definedName>
    <definedName name="OSRRefH22_4x_0" localSheetId="85">'418'!$H$52</definedName>
    <definedName name="OSRRefH22_4x_0" localSheetId="87">'423'!$H$46</definedName>
    <definedName name="OSRRefH22_4x_0" localSheetId="88">'424'!$H$50</definedName>
    <definedName name="OSRRefH22_4x_0" localSheetId="89">'425'!$H$52</definedName>
    <definedName name="OSRRefH22_4x_0" localSheetId="92">'430'!$H$45</definedName>
    <definedName name="OSRRefH22_4x_0" localSheetId="93">'433'!$H$53</definedName>
    <definedName name="OSRRefH22_4x_0" localSheetId="94">'435'!$H$50</definedName>
    <definedName name="OSRRefH22_4x_0" localSheetId="95">'444'!$H$53</definedName>
    <definedName name="OSRRefH22_4x_0" localSheetId="97">'450'!$H$53</definedName>
    <definedName name="OSRRefH22_4x_0" localSheetId="77">'491'!$H$60</definedName>
    <definedName name="OSRRefH22_4x_0" localSheetId="91">'492'!$H$56</definedName>
    <definedName name="OSRRefH22_4x_0" localSheetId="99">'501'!$H$46</definedName>
    <definedName name="OSRRefH22_4x_0" localSheetId="39">'Div 2'!$H$47</definedName>
    <definedName name="OSRRefH22_4x_0" localSheetId="47">'Div 3'!$H$181</definedName>
    <definedName name="OSRRefH22_4x_0" localSheetId="75">'Div 4'!$H$62</definedName>
    <definedName name="OSRRefH22_4x_0" localSheetId="98">'Div 5'!$H$46</definedName>
    <definedName name="OSRRefH22_4x_0" localSheetId="63">'Div 6'!$H$82</definedName>
    <definedName name="OSRRefH22_4x_0" localSheetId="2">Summary!$H$211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'204'!$H$48</definedName>
    <definedName name="OSRRefH22_5x_0" localSheetId="45">'205'!$H$47</definedName>
    <definedName name="OSRRefH22_5x_0" localSheetId="46">'206'!$H$47</definedName>
    <definedName name="OSRRefH22_5x_0" localSheetId="48">'300'!$H$177:$H$179</definedName>
    <definedName name="OSRRefH22_5x_0" localSheetId="49">'300 &amp; 317'!$H$200:$H$202</definedName>
    <definedName name="OSRRefH22_5x_0" localSheetId="50">'301'!$H$47:$H$49</definedName>
    <definedName name="OSRRefH22_5x_0" localSheetId="51">'306'!$H$47</definedName>
    <definedName name="OSRRefH22_5x_0" localSheetId="53">'307'!$H$88</definedName>
    <definedName name="OSRRefH22_5x_0" localSheetId="55">'308'!$H$86</definedName>
    <definedName name="OSRRefH22_5x_0" localSheetId="66">'309'!$H$53</definedName>
    <definedName name="OSRRefH22_5x_0" localSheetId="65">'310'!$H$60:$H$61</definedName>
    <definedName name="OSRRefH22_5x_0" localSheetId="76">'310 &amp; 491'!$H$68:$H$71</definedName>
    <definedName name="OSRRefH22_5x_0" localSheetId="56">'311'!$H$86</definedName>
    <definedName name="OSRRefH22_5x_0" localSheetId="67">'313'!$H$56</definedName>
    <definedName name="OSRRefH22_5x_0" localSheetId="54">'314'!$H$83</definedName>
    <definedName name="OSRRefH22_5x_0" localSheetId="59">'315'!$H$81</definedName>
    <definedName name="OSRRefH22_5x_0" localSheetId="61">'316'!$H$60</definedName>
    <definedName name="OSRRefH22_5x_0" localSheetId="64">'317'!$H$84</definedName>
    <definedName name="OSRRefH22_5x_0" localSheetId="62">'320'!$H$55</definedName>
    <definedName name="OSRRefH22_5x_0" localSheetId="68">'321'!$H$52</definedName>
    <definedName name="OSRRefH22_5x_0" localSheetId="69">'322'!$H$53</definedName>
    <definedName name="OSRRefH22_5x_0" localSheetId="72">'325'!$H$53:$H$54</definedName>
    <definedName name="OSRRefH22_5x_0" localSheetId="73">'326'!$H$79</definedName>
    <definedName name="OSRRefH22_5x_0" localSheetId="52">'330'!$H$102</definedName>
    <definedName name="OSRRefH22_5x_0" localSheetId="58">'331'!$H$93</definedName>
    <definedName name="OSRRefH22_5x_0" localSheetId="60">'332'!$H$68</definedName>
    <definedName name="OSRRefH22_5x_0" localSheetId="78">'405'!$H$53:$H$54</definedName>
    <definedName name="OSRRefH22_5x_0" localSheetId="79">'406'!$H$54</definedName>
    <definedName name="OSRRefH22_5x_0" localSheetId="80">'411'!$H$50</definedName>
    <definedName name="OSRRefH22_5x_0" localSheetId="81">'412'!$H$53</definedName>
    <definedName name="OSRRefH22_5x_0" localSheetId="82">'413'!$H$54</definedName>
    <definedName name="OSRRefH22_5x_0" localSheetId="83">'414'!$H$54:$H$55</definedName>
    <definedName name="OSRRefH22_5x_0" localSheetId="84">'415'!$H$53:$H$54</definedName>
    <definedName name="OSRRefH22_5x_0" localSheetId="85">'418'!$H$54:$H$56</definedName>
    <definedName name="OSRRefH22_5x_0" localSheetId="87">'423'!$H$48</definedName>
    <definedName name="OSRRefH22_5x_0" localSheetId="88">'424'!$H$52</definedName>
    <definedName name="OSRRefH22_5x_0" localSheetId="89">'425'!$H$54</definedName>
    <definedName name="OSRRefH22_5x_0" localSheetId="92">'430'!$H$47</definedName>
    <definedName name="OSRRefH22_5x_0" localSheetId="93">'433'!$H$55</definedName>
    <definedName name="OSRRefH22_5x_0" localSheetId="94">'435'!$H$52</definedName>
    <definedName name="OSRRefH22_5x_0" localSheetId="95">'444'!$H$55</definedName>
    <definedName name="OSRRefH22_5x_0" localSheetId="97">'450'!$H$55</definedName>
    <definedName name="OSRRefH22_5x_0" localSheetId="77">'491'!$H$62:$H$65</definedName>
    <definedName name="OSRRefH22_5x_0" localSheetId="91">'492'!$H$58:$H$59</definedName>
    <definedName name="OSRRefH22_5x_0" localSheetId="99">'501'!$H$48</definedName>
    <definedName name="OSRRefH22_5x_0" localSheetId="39">'Div 2'!$H$49</definedName>
    <definedName name="OSRRefH22_5x_0" localSheetId="47">'Div 3'!$H$183:$H$185</definedName>
    <definedName name="OSRRefH22_5x_0" localSheetId="75">'Div 4'!$H$64:$H$67</definedName>
    <definedName name="OSRRefH22_5x_0" localSheetId="98">'Div 5'!$H$48</definedName>
    <definedName name="OSRRefH22_5x_0" localSheetId="63">'Div 6'!$H$84</definedName>
    <definedName name="OSRRefH22_5x_0" localSheetId="2">Summary!$H$213:$H$216</definedName>
    <definedName name="OSRRefH22_6x_0" localSheetId="41">'201'!$H$49</definedName>
    <definedName name="OSRRefH22_6x_0" localSheetId="42">'202'!$H$49</definedName>
    <definedName name="OSRRefH22_6x_0" localSheetId="43">'203'!$H$50</definedName>
    <definedName name="OSRRefH22_6x_0" localSheetId="44">'204'!$H$50:$H$53</definedName>
    <definedName name="OSRRefH22_6x_0" localSheetId="45">'205'!$H$49</definedName>
    <definedName name="OSRRefH22_6x_0" localSheetId="46">'206'!$H$49:$H$50</definedName>
    <definedName name="OSRRefH22_6x_0" localSheetId="48">'300'!$H$181:$H$182</definedName>
    <definedName name="OSRRefH22_6x_0" localSheetId="49">'300 &amp; 317'!$H$204:$H$205</definedName>
    <definedName name="OSRRefH22_6x_0" localSheetId="50">'301'!$H$51:$H$52</definedName>
    <definedName name="OSRRefH22_6x_0" localSheetId="51">'306'!$H$49</definedName>
    <definedName name="OSRRefH22_6x_0" localSheetId="53">'307'!$H$90</definedName>
    <definedName name="OSRRefH22_6x_0" localSheetId="55">'308'!$H$88</definedName>
    <definedName name="OSRRefH22_6x_0" localSheetId="66">'309'!$H$55</definedName>
    <definedName name="OSRRefH22_6x_0" localSheetId="65">'310'!$H$63</definedName>
    <definedName name="OSRRefH22_6x_0" localSheetId="76">'310 &amp; 491'!$H$73</definedName>
    <definedName name="OSRRefH22_6x_0" localSheetId="56">'311'!$H$88</definedName>
    <definedName name="OSRRefH22_6x_0" localSheetId="67">'313'!$H$58</definedName>
    <definedName name="OSRRefH22_6x_0" localSheetId="54">'314'!$H$85</definedName>
    <definedName name="OSRRefH22_6x_0" localSheetId="59">'315'!$H$83</definedName>
    <definedName name="OSRRefH22_6x_0" localSheetId="61">'316'!$H$62</definedName>
    <definedName name="OSRRefH22_6x_0" localSheetId="64">'317'!$H$86</definedName>
    <definedName name="OSRRefH22_6x_0" localSheetId="62">'320'!$H$57:$H$58</definedName>
    <definedName name="OSRRefH22_6x_0" localSheetId="68">'321'!$H$54</definedName>
    <definedName name="OSRRefH22_6x_0" localSheetId="69">'322'!$H$55</definedName>
    <definedName name="OSRRefH22_6x_0" localSheetId="72">'325'!$H$56</definedName>
    <definedName name="OSRRefH22_6x_0" localSheetId="73">'326'!$H$81</definedName>
    <definedName name="OSRRefH22_6x_0" localSheetId="52">'330'!$H$104</definedName>
    <definedName name="OSRRefH22_6x_0" localSheetId="58">'331'!$H$95</definedName>
    <definedName name="OSRRefH22_6x_0" localSheetId="60">'332'!$H$70</definedName>
    <definedName name="OSRRefH22_6x_0" localSheetId="78">'405'!$H$56</definedName>
    <definedName name="OSRRefH22_6x_0" localSheetId="79">'406'!$H$56</definedName>
    <definedName name="OSRRefH22_6x_0" localSheetId="80">'411'!$H$52</definedName>
    <definedName name="OSRRefH22_6x_0" localSheetId="81">'412'!$H$55</definedName>
    <definedName name="OSRRefH22_6x_0" localSheetId="82">'413'!$H$56</definedName>
    <definedName name="OSRRefH22_6x_0" localSheetId="83">'414'!$H$57</definedName>
    <definedName name="OSRRefH22_6x_0" localSheetId="84">'415'!$H$56</definedName>
    <definedName name="OSRRefH22_6x_0" localSheetId="85">'418'!$H$58</definedName>
    <definedName name="OSRRefH22_6x_0" localSheetId="88">'424'!$H$54</definedName>
    <definedName name="OSRRefH22_6x_0" localSheetId="89">'425'!$H$56</definedName>
    <definedName name="OSRRefH22_6x_0" localSheetId="92">'430'!$H$49</definedName>
    <definedName name="OSRRefH22_6x_0" localSheetId="93">'433'!$H$57</definedName>
    <definedName name="OSRRefH22_6x_0" localSheetId="94">'435'!$H$54:$H$55</definedName>
    <definedName name="OSRRefH22_6x_0" localSheetId="95">'444'!$H$57</definedName>
    <definedName name="OSRRefH22_6x_0" localSheetId="97">'450'!$H$57</definedName>
    <definedName name="OSRRefH22_6x_0" localSheetId="77">'491'!$H$67</definedName>
    <definedName name="OSRRefH22_6x_0" localSheetId="91">'492'!$H$61</definedName>
    <definedName name="OSRRefH22_6x_0" localSheetId="99">'501'!$H$50</definedName>
    <definedName name="OSRRefH22_6x_0" localSheetId="39">'Div 2'!$H$51</definedName>
    <definedName name="OSRRefH22_6x_0" localSheetId="47">'Div 3'!$H$187:$H$188</definedName>
    <definedName name="OSRRefH22_6x_0" localSheetId="75">'Div 4'!$H$69:$H$70</definedName>
    <definedName name="OSRRefH22_6x_0" localSheetId="98">'Div 5'!$H$50</definedName>
    <definedName name="OSRRefH22_6x_0" localSheetId="63">'Div 6'!$H$86</definedName>
    <definedName name="OSRRefH22_6x_0" localSheetId="2">Summary!$H$218:$H$219</definedName>
    <definedName name="OSRRefH22_7x_0" localSheetId="41">'201'!$H$51</definedName>
    <definedName name="OSRRefH22_7x_0" localSheetId="42">'202'!$H$51</definedName>
    <definedName name="OSRRefH22_7x_0" localSheetId="43">'203'!$H$52</definedName>
    <definedName name="OSRRefH22_7x_0" localSheetId="44">'204'!$H$55</definedName>
    <definedName name="OSRRefH22_7x_0" localSheetId="45">'205'!$H$51:$H$52</definedName>
    <definedName name="OSRRefH22_7x_0" localSheetId="46">'206'!$H$52</definedName>
    <definedName name="OSRRefH22_7x_0" localSheetId="48">'300'!$H$184:$H$185</definedName>
    <definedName name="OSRRefH22_7x_0" localSheetId="49">'300 &amp; 317'!$H$207:$H$208</definedName>
    <definedName name="OSRRefH22_7x_0" localSheetId="50">'301'!$H$54:$H$55</definedName>
    <definedName name="OSRRefH22_7x_0" localSheetId="51">'306'!$H$51:$H$53</definedName>
    <definedName name="OSRRefH22_7x_0" localSheetId="53">'307'!$H$92</definedName>
    <definedName name="OSRRefH22_7x_0" localSheetId="55">'308'!$H$90</definedName>
    <definedName name="OSRRefH22_7x_0" localSheetId="66">'309'!$H$57</definedName>
    <definedName name="OSRRefH22_7x_0" localSheetId="65">'310'!$H$65</definedName>
    <definedName name="OSRRefH22_7x_0" localSheetId="76">'310 &amp; 491'!$H$75</definedName>
    <definedName name="OSRRefH22_7x_0" localSheetId="56">'311'!$H$90</definedName>
    <definedName name="OSRRefH22_7x_0" localSheetId="67">'313'!$H$60</definedName>
    <definedName name="OSRRefH22_7x_0" localSheetId="59">'315'!$H$85</definedName>
    <definedName name="OSRRefH22_7x_0" localSheetId="61">'316'!$H$64</definedName>
    <definedName name="OSRRefH22_7x_0" localSheetId="64">'317'!$H$88</definedName>
    <definedName name="OSRRefH22_7x_0" localSheetId="62">'320'!$H$60</definedName>
    <definedName name="OSRRefH22_7x_0" localSheetId="68">'321'!$H$56</definedName>
    <definedName name="OSRRefH22_7x_0" localSheetId="69">'322'!$H$57</definedName>
    <definedName name="OSRRefH22_7x_0" localSheetId="72">'325'!$H$58</definedName>
    <definedName name="OSRRefH22_7x_0" localSheetId="73">'326'!$H$83</definedName>
    <definedName name="OSRRefH22_7x_0" localSheetId="52">'330'!$H$106</definedName>
    <definedName name="OSRRefH22_7x_0" localSheetId="58">'331'!$H$97</definedName>
    <definedName name="OSRRefH22_7x_0" localSheetId="60">'332'!$H$72:$H$73</definedName>
    <definedName name="OSRRefH22_7x_0" localSheetId="78">'405'!$H$58</definedName>
    <definedName name="OSRRefH22_7x_0" localSheetId="79">'406'!$H$58</definedName>
    <definedName name="OSRRefH22_7x_0" localSheetId="80">'411'!$H$54</definedName>
    <definedName name="OSRRefH22_7x_0" localSheetId="81">'412'!$H$57</definedName>
    <definedName name="OSRRefH22_7x_0" localSheetId="82">'413'!$H$58</definedName>
    <definedName name="OSRRefH22_7x_0" localSheetId="83">'414'!$H$59</definedName>
    <definedName name="OSRRefH22_7x_0" localSheetId="84">'415'!$H$58</definedName>
    <definedName name="OSRRefH22_7x_0" localSheetId="85">'418'!$H$60</definedName>
    <definedName name="OSRRefH22_7x_0" localSheetId="88">'424'!$H$56</definedName>
    <definedName name="OSRRefH22_7x_0" localSheetId="89">'425'!$H$58</definedName>
    <definedName name="OSRRefH22_7x_0" localSheetId="92">'430'!$H$51:$H$53</definedName>
    <definedName name="OSRRefH22_7x_0" localSheetId="93">'433'!$H$59</definedName>
    <definedName name="OSRRefH22_7x_0" localSheetId="94">'435'!$H$57</definedName>
    <definedName name="OSRRefH22_7x_0" localSheetId="95">'444'!$H$59</definedName>
    <definedName name="OSRRefH22_7x_0" localSheetId="97">'450'!$H$59</definedName>
    <definedName name="OSRRefH22_7x_0" localSheetId="77">'491'!$H$69</definedName>
    <definedName name="OSRRefH22_7x_0" localSheetId="91">'492'!$H$63</definedName>
    <definedName name="OSRRefH22_7x_0" localSheetId="99">'501'!$H$52</definedName>
    <definedName name="OSRRefH22_7x_0" localSheetId="39">'Div 2'!$H$53</definedName>
    <definedName name="OSRRefH22_7x_0" localSheetId="47">'Div 3'!$H$190:$H$191</definedName>
    <definedName name="OSRRefH22_7x_0" localSheetId="75">'Div 4'!$H$72</definedName>
    <definedName name="OSRRefH22_7x_0" localSheetId="98">'Div 5'!$H$52</definedName>
    <definedName name="OSRRefH22_7x_0" localSheetId="63">'Div 6'!$H$88</definedName>
    <definedName name="OSRRefH22_7x_0" localSheetId="2">Summary!$H$221:$H$223</definedName>
    <definedName name="OSRRefH22_8x_0" localSheetId="41">'201'!$H$53:$H$54</definedName>
    <definedName name="OSRRefH22_8x_0" localSheetId="42">'202'!$H$53:$H$55</definedName>
    <definedName name="OSRRefH22_8x_0" localSheetId="43">'203'!$H$54</definedName>
    <definedName name="OSRRefH22_8x_0" localSheetId="44">'204'!$H$57</definedName>
    <definedName name="OSRRefH22_8x_0" localSheetId="45">'205'!$H$54</definedName>
    <definedName name="OSRRefH22_8x_0" localSheetId="46">'206'!$H$54</definedName>
    <definedName name="OSRRefH22_8x_0" localSheetId="48">'300'!$H$187</definedName>
    <definedName name="OSRRefH22_8x_0" localSheetId="49">'300 &amp; 317'!$H$210</definedName>
    <definedName name="OSRRefH22_8x_0" localSheetId="50">'301'!$H$57</definedName>
    <definedName name="OSRRefH22_8x_0" localSheetId="51">'306'!$H$55</definedName>
    <definedName name="OSRRefH22_8x_0" localSheetId="53">'307'!$H$94</definedName>
    <definedName name="OSRRefH22_8x_0" localSheetId="55">'308'!$H$92</definedName>
    <definedName name="OSRRefH22_8x_0" localSheetId="66">'309'!$H$59</definedName>
    <definedName name="OSRRefH22_8x_0" localSheetId="65">'310'!$H$67</definedName>
    <definedName name="OSRRefH22_8x_0" localSheetId="76">'310 &amp; 491'!$H$77</definedName>
    <definedName name="OSRRefH22_8x_0" localSheetId="56">'311'!$H$92</definedName>
    <definedName name="OSRRefH22_8x_0" localSheetId="67">'313'!$H$62</definedName>
    <definedName name="OSRRefH22_8x_0" localSheetId="59">'315'!$H$87</definedName>
    <definedName name="OSRRefH22_8x_0" localSheetId="61">'316'!$H$66</definedName>
    <definedName name="OSRRefH22_8x_0" localSheetId="64">'317'!$H$90:$H$91</definedName>
    <definedName name="OSRRefH22_8x_0" localSheetId="68">'321'!$H$58</definedName>
    <definedName name="OSRRefH22_8x_0" localSheetId="69">'322'!$H$59</definedName>
    <definedName name="OSRRefH22_8x_0" localSheetId="72">'325'!$H$60</definedName>
    <definedName name="OSRRefH22_8x_0" localSheetId="73">'326'!$H$85</definedName>
    <definedName name="OSRRefH22_8x_0" localSheetId="52">'330'!$H$108</definedName>
    <definedName name="OSRRefH22_8x_0" localSheetId="58">'331'!$H$99</definedName>
    <definedName name="OSRRefH22_8x_0" localSheetId="60">'332'!$H$75</definedName>
    <definedName name="OSRRefH22_8x_0" localSheetId="78">'405'!$H$60</definedName>
    <definedName name="OSRRefH22_8x_0" localSheetId="79">'406'!$H$60:$H$61</definedName>
    <definedName name="OSRRefH22_8x_0" localSheetId="80">'411'!$H$56</definedName>
    <definedName name="OSRRefH22_8x_0" localSheetId="81">'412'!$H$59:$H$60</definedName>
    <definedName name="OSRRefH22_8x_0" localSheetId="82">'413'!$H$60</definedName>
    <definedName name="OSRRefH22_8x_0" localSheetId="83">'414'!$H$61</definedName>
    <definedName name="OSRRefH22_8x_0" localSheetId="84">'415'!$H$60</definedName>
    <definedName name="OSRRefH22_8x_0" localSheetId="85">'418'!$H$62:$H$63</definedName>
    <definedName name="OSRRefH22_8x_0" localSheetId="88">'424'!$H$58:$H$59</definedName>
    <definedName name="OSRRefH22_8x_0" localSheetId="89">'425'!$H$60</definedName>
    <definedName name="OSRRefH22_8x_0" localSheetId="92">'430'!$H$55</definedName>
    <definedName name="OSRRefH22_8x_0" localSheetId="93">'433'!$H$61</definedName>
    <definedName name="OSRRefH22_8x_0" localSheetId="95">'444'!$H$61</definedName>
    <definedName name="OSRRefH22_8x_0" localSheetId="97">'450'!$H$61</definedName>
    <definedName name="OSRRefH22_8x_0" localSheetId="77">'491'!$H$71</definedName>
    <definedName name="OSRRefH22_8x_0" localSheetId="91">'492'!$H$65</definedName>
    <definedName name="OSRRefH22_8x_0" localSheetId="99">'501'!$H$54</definedName>
    <definedName name="OSRRefH22_8x_0" localSheetId="39">'Div 2'!$H$55</definedName>
    <definedName name="OSRRefH22_8x_0" localSheetId="47">'Div 3'!$H$193</definedName>
    <definedName name="OSRRefH22_8x_0" localSheetId="75">'Div 4'!$H$74</definedName>
    <definedName name="OSRRefH22_8x_0" localSheetId="98">'Div 5'!$H$54</definedName>
    <definedName name="OSRRefH22_8x_0" localSheetId="63">'Div 6'!$H$90:$H$91</definedName>
    <definedName name="OSRRefH22_8x_0" localSheetId="2">Summary!$H$225</definedName>
    <definedName name="OSRRefH22_9x_0" localSheetId="41">'201'!$H$56:$H$57</definedName>
    <definedName name="OSRRefH22_9x_0" localSheetId="42">'202'!$H$57</definedName>
    <definedName name="OSRRefH22_9x_0" localSheetId="43">'203'!$H$56:$H$57</definedName>
    <definedName name="OSRRefH22_9x_0" localSheetId="44">'204'!$H$59:$H$60</definedName>
    <definedName name="OSRRefH22_9x_0" localSheetId="46">'206'!$H$56</definedName>
    <definedName name="OSRRefH22_9x_0" localSheetId="48">'300'!$H$189</definedName>
    <definedName name="OSRRefH22_9x_0" localSheetId="49">'300 &amp; 317'!$H$212</definedName>
    <definedName name="OSRRefH22_9x_0" localSheetId="50">'301'!$H$59</definedName>
    <definedName name="OSRRefH22_9x_0" localSheetId="53">'307'!$H$96:$H$97</definedName>
    <definedName name="OSRRefH22_9x_0" localSheetId="55">'308'!$H$94:$H$95</definedName>
    <definedName name="OSRRefH22_9x_0" localSheetId="66">'309'!$H$61:$H$62</definedName>
    <definedName name="OSRRefH22_9x_0" localSheetId="65">'310'!$H$69</definedName>
    <definedName name="OSRRefH22_9x_0" localSheetId="76">'310 &amp; 491'!$H$79</definedName>
    <definedName name="OSRRefH22_9x_0" localSheetId="56">'311'!$H$94:$H$95</definedName>
    <definedName name="OSRRefH22_9x_0" localSheetId="67">'313'!$H$64:$H$65</definedName>
    <definedName name="OSRRefH22_9x_0" localSheetId="59">'315'!$H$89</definedName>
    <definedName name="OSRRefH22_9x_0" localSheetId="61">'316'!$H$68</definedName>
    <definedName name="OSRRefH22_9x_0" localSheetId="64">'317'!$H$93:$H$94</definedName>
    <definedName name="OSRRefH22_9x_0" localSheetId="68">'321'!$H$60:$H$61</definedName>
    <definedName name="OSRRefH22_9x_0" localSheetId="69">'322'!$H$61:$H$62</definedName>
    <definedName name="OSRRefH22_9x_0" localSheetId="72">'325'!$H$62</definedName>
    <definedName name="OSRRefH22_9x_0" localSheetId="73">'326'!$H$87</definedName>
    <definedName name="OSRRefH22_9x_0" localSheetId="52">'330'!$H$110:$H$111</definedName>
    <definedName name="OSRRefH22_9x_0" localSheetId="58">'331'!$H$101</definedName>
    <definedName name="OSRRefH22_9x_0" localSheetId="60">'332'!$H$77</definedName>
    <definedName name="OSRRefH22_9x_0" localSheetId="78">'405'!$H$62</definedName>
    <definedName name="OSRRefH22_9x_0" localSheetId="79">'406'!$H$63:$H$65</definedName>
    <definedName name="OSRRefH22_9x_0" localSheetId="80">'411'!$H$58</definedName>
    <definedName name="OSRRefH22_9x_0" localSheetId="81">'412'!$H$62</definedName>
    <definedName name="OSRRefH22_9x_0" localSheetId="82">'413'!$H$62:$H$66</definedName>
    <definedName name="OSRRefH22_9x_0" localSheetId="83">'414'!$H$63</definedName>
    <definedName name="OSRRefH22_9x_0" localSheetId="84">'415'!$H$62</definedName>
    <definedName name="OSRRefH22_9x_0" localSheetId="85">'418'!$H$65</definedName>
    <definedName name="OSRRefH22_9x_0" localSheetId="88">'424'!$H$61</definedName>
    <definedName name="OSRRefH22_9x_0" localSheetId="89">'425'!$H$62</definedName>
    <definedName name="OSRRefH22_9x_0" localSheetId="92">'430'!$H$57</definedName>
    <definedName name="OSRRefH22_9x_0" localSheetId="93">'433'!$H$63</definedName>
    <definedName name="OSRRefH22_9x_0" localSheetId="95">'444'!$H$63</definedName>
    <definedName name="OSRRefH22_9x_0" localSheetId="97">'450'!$H$63</definedName>
    <definedName name="OSRRefH22_9x_0" localSheetId="77">'491'!$H$73:$H$74</definedName>
    <definedName name="OSRRefH22_9x_0" localSheetId="91">'492'!$H$67</definedName>
    <definedName name="OSRRefH22_9x_0" localSheetId="99">'501'!$H$56</definedName>
    <definedName name="OSRRefH22_9x_0" localSheetId="39">'Div 2'!$H$57</definedName>
    <definedName name="OSRRefH22_9x_0" localSheetId="47">'Div 3'!$H$195</definedName>
    <definedName name="OSRRefH22_9x_0" localSheetId="75">'Div 4'!$H$76</definedName>
    <definedName name="OSRRefH22_9x_0" localSheetId="98">'Div 5'!$H$56</definedName>
    <definedName name="OSRRefH22_9x_0" localSheetId="63">'Div 6'!$H$93:$H$94</definedName>
    <definedName name="OSRRefH22_9x_0" localSheetId="2">Summary!$H$227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'201'!$H$20:$H$28,'201'!$H$30:$H$39,'201'!$H$41,'201'!$H$43,'201'!$H$45,'201'!$H$47,'201'!$H$49,'201'!$H$51,'201'!$H$53:$H$54,'201'!$H$56:$H$57,'201'!$H$59,'201'!$H$61:$H$63,'201'!$H$65,'201'!$H$67,'201'!$H$69</definedName>
    <definedName name="OSRRefH22x_0" localSheetId="42">'202'!$H$20:$H$28,'202'!$H$30:$H$39,'202'!$H$41,'202'!$H$43,'202'!$H$45,'202'!$H$47,'202'!$H$49,'202'!$H$51,'202'!$H$53:$H$55,'202'!$H$57,'202'!$H$59,'202'!$H$61,'202'!$H$63:$H$64,'202'!$H$66,'202'!$H$68</definedName>
    <definedName name="OSRRefH22x_0" localSheetId="43">'203'!$H$20:$H$29,'203'!$H$31:$H$40,'203'!$H$42,'203'!$H$44,'203'!$H$46,'203'!$H$48,'203'!$H$50,'203'!$H$52,'203'!$H$54,'203'!$H$56:$H$57,'203'!$H$59:$H$60,'203'!$H$62,'203'!$H$64:$H$66,'203'!$H$68,'203'!$H$70,'203'!$H$72</definedName>
    <definedName name="OSRRefH22x_0" localSheetId="44">'204'!$H$20:$H$29,'204'!$H$31:$H$40,'204'!$H$42,'204'!$H$44,'204'!$H$46,'204'!$H$48,'204'!$H$50:$H$53,'204'!$H$55,'204'!$H$57,'204'!$H$59:$H$60,'204'!$H$62,'204'!$H$64:$H$65</definedName>
    <definedName name="OSRRefH22x_0" localSheetId="45">'205'!$H$20:$H$28,'205'!$H$30:$H$39,'205'!$H$41,'205'!$H$43,'205'!$H$45,'205'!$H$47,'205'!$H$49,'205'!$H$51:$H$52,'205'!$H$54</definedName>
    <definedName name="OSRRefH22x_0" localSheetId="46">'206'!$H$20:$H$28,'206'!$H$30:$H$39,'206'!$H$41,'206'!$H$43,'206'!$H$45,'206'!$H$47,'206'!$H$49:$H$50,'206'!$H$52,'206'!$H$54,'206'!$H$56</definedName>
    <definedName name="OSRRefH22x_0" localSheetId="48">'300'!$H$148:$H$157,'300'!$H$159:$H$168,'300'!$H$170,'300'!$H$172:$H$173,'300'!$H$175,'300'!$H$177:$H$179,'300'!$H$181:$H$182,'300'!$H$184:$H$185,'300'!$H$187,'300'!$H$189,'300'!$H$191:$H$192,'300'!$H$194,'300'!$H$196,'300'!$H$198,'300'!$H$200,'300'!$H$202,'300'!$H$204:$H$206,'300'!$H$208:$H$211,'300'!$H$213:$H$216,'300'!$H$218:$H$219,'300'!$H$221:$H$227,'300'!$H$229:$H$230,'300'!$H$232,'300'!$H$234:$H$236,'300'!$H$238</definedName>
    <definedName name="OSRRefH22x_0" localSheetId="49">'300 &amp; 317'!$H$171:$H$180,'300 &amp; 317'!$H$182:$H$191,'300 &amp; 317'!$H$193,'300 &amp; 317'!$H$195:$H$196,'300 &amp; 317'!$H$198,'300 &amp; 317'!$H$200:$H$202,'300 &amp; 317'!$H$204:$H$205,'300 &amp; 317'!$H$207:$H$208,'300 &amp; 317'!$H$210,'300 &amp; 317'!$H$212,'300 &amp; 317'!$H$214:$H$215,'300 &amp; 317'!$H$217,'300 &amp; 317'!$H$219,'300 &amp; 317'!$H$221,'300 &amp; 317'!$H$223,'300 &amp; 317'!$H$225,'300 &amp; 317'!$H$227:$H$229,'300 &amp; 317'!$H$231:$H$234,'300 &amp; 317'!$H$236:$H$239,'300 &amp; 317'!$H$241:$H$242,'300 &amp; 317'!$H$244:$H$250,'300 &amp; 317'!$H$252:$H$253,'300 &amp; 317'!$H$255,'300 &amp; 317'!$H$257:$H$259,'300 &amp; 317'!$H$261</definedName>
    <definedName name="OSRRefH22x_0" localSheetId="50">'301'!$H$20:$H$28,'301'!$H$30:$H$39,'301'!$H$41,'301'!$H$43,'301'!$H$45,'301'!$H$47:$H$49,'301'!$H$51:$H$52,'301'!$H$54:$H$55,'301'!$H$57,'301'!$H$59,'301'!$H$61,'301'!$H$63,'301'!$H$65,'301'!$H$67,'301'!$H$69,'301'!$H$71:$H$73,'301'!$H$75:$H$77,'301'!$H$79:$H$80,'301'!$H$82:$H$87,'301'!$H$89,'301'!$H$91,'301'!$H$93:$H$94,'301'!$H$96</definedName>
    <definedName name="OSRRefH22x_0" localSheetId="51">'306'!$H$20:$H$28,'306'!$H$30:$H$39,'306'!$H$41,'306'!$H$43,'306'!$H$45,'306'!$H$47,'306'!$H$49,'306'!$H$51:$H$53,'306'!$H$55</definedName>
    <definedName name="OSRRefH22x_0" localSheetId="53">'307'!$H$60:$H$68,'307'!$H$70:$H$79,'307'!$H$81,'307'!$H$83,'307'!$H$85:$H$86,'307'!$H$88,'307'!$H$90,'307'!$H$92,'307'!$H$94,'307'!$H$96:$H$97,'307'!$H$99,'307'!$H$101,'307'!$H$103</definedName>
    <definedName name="OSRRefH22x_0" localSheetId="55">'308'!$H$57:$H$66,'308'!$H$68:$H$77,'308'!$H$79,'308'!$H$81:$H$82,'308'!$H$84,'308'!$H$86,'308'!$H$88,'308'!$H$90,'308'!$H$92,'308'!$H$94:$H$95,'308'!$H$97,'308'!$H$99:$H$101,'308'!$H$103:$H$104,'308'!$H$106,'308'!$H$108</definedName>
    <definedName name="OSRRefH22x_0" localSheetId="66">'309'!$H$26:$H$34,'309'!$H$36:$H$45,'309'!$H$47,'309'!$H$49,'309'!$H$51,'309'!$H$53,'309'!$H$55,'309'!$H$57,'309'!$H$59,'309'!$H$61:$H$62,'309'!$H$64:$H$66,'309'!$H$68,'309'!$H$70</definedName>
    <definedName name="OSRRefH22x_0" localSheetId="65">'310'!$H$33:$H$41,'310'!$H$43:$H$52,'310'!$H$54,'310'!$H$56,'310'!$H$58,'310'!$H$60:$H$61,'310'!$H$63,'310'!$H$65,'310'!$H$67,'310'!$H$69,'310'!$H$71,'310'!$H$73,'310'!$H$75,'310'!$H$77,'310'!$H$79,'310'!$H$81:$H$82,'310'!$H$84,'310'!$H$86:$H$90,'310'!$H$92,'310'!$H$94:$H$100,'310'!$H$102,'310'!$H$104,'310'!$H$106</definedName>
    <definedName name="OSRRefH22x_0" localSheetId="76">'310 &amp; 491'!$H$40:$H$49,'310 &amp; 491'!$H$51:$H$60,'310 &amp; 491'!$H$62,'310 &amp; 491'!$H$64,'310 &amp; 491'!$H$66,'310 &amp; 491'!$H$68:$H$71,'310 &amp; 491'!$H$73,'310 &amp; 491'!$H$75,'310 &amp; 491'!$H$77,'310 &amp; 491'!$H$79,'310 &amp; 491'!$H$81,'310 &amp; 491'!$H$83:$H$84,'310 &amp; 491'!$H$86,'310 &amp; 491'!$H$88,'310 &amp; 491'!$H$90,'310 &amp; 491'!$H$92,'310 &amp; 491'!$H$94,'310 &amp; 491'!$H$96:$H$99,'310 &amp; 491'!$H$101:$H$103,'310 &amp; 491'!$H$105:$H$110,'310 &amp; 491'!$H$112,'310 &amp; 491'!$H$114:$H$123,'310 &amp; 491'!$H$125:$H$126,'310 &amp; 491'!$H$128,'310 &amp; 491'!$H$130:$H$132,'310 &amp; 491'!$H$134</definedName>
    <definedName name="OSRRefH22x_0" localSheetId="56">'311'!$H$57:$H$66,'311'!$H$68:$H$77,'311'!$H$79,'311'!$H$81:$H$82,'311'!$H$84,'311'!$H$86,'311'!$H$88,'311'!$H$90,'311'!$H$92,'311'!$H$94:$H$95,'311'!$H$97,'311'!$H$99:$H$101,'311'!$H$103:$H$104,'311'!$H$106,'311'!$H$108</definedName>
    <definedName name="OSRRefH22x_0" localSheetId="67">'313'!$H$29:$H$37,'313'!$H$39:$H$48,'313'!$H$50,'313'!$H$52,'313'!$H$54,'313'!$H$56,'313'!$H$58,'313'!$H$60,'313'!$H$62,'313'!$H$64:$H$65,'313'!$H$67,'313'!$H$69:$H$72,'313'!$H$74,'313'!$H$76</definedName>
    <definedName name="OSRRefH22x_0" localSheetId="54">'314'!$H$56:$H$63,'314'!$H$65:$H$74,'314'!$H$76,'314'!$H$78:$H$79,'314'!$H$81,'314'!$H$83,'314'!$H$85</definedName>
    <definedName name="OSRRefH22x_0" localSheetId="59">'315'!$H$54:$H$62,'315'!$H$64:$H$73,'315'!$H$75,'315'!$H$77,'315'!$H$79,'315'!$H$81,'315'!$H$83,'315'!$H$85,'315'!$H$87,'315'!$H$89,'315'!$H$91:$H$93,'315'!$H$95:$H$96,'315'!$H$98:$H$101,'315'!$H$103,'315'!$H$105,'315'!$H$107</definedName>
    <definedName name="OSRRefH22x_0" localSheetId="61">'316'!$H$33:$H$41,'316'!$H$43:$H$52,'316'!$H$54,'316'!$H$56,'316'!$H$58,'316'!$H$60,'316'!$H$62,'316'!$H$64,'316'!$H$66,'316'!$H$68,'316'!$H$70:$H$71,'316'!$H$73:$H$76,'316'!$H$78:$H$79</definedName>
    <definedName name="OSRRefH22x_0" localSheetId="64">'317'!$H$56:$H$65,'317'!$H$67:$H$76,'317'!$H$78,'317'!$H$80,'317'!$H$82,'317'!$H$84,'317'!$H$86,'317'!$H$88,'317'!$H$90:$H$91,'317'!$H$93:$H$94,'317'!$H$96</definedName>
    <definedName name="OSRRefH22x_0" localSheetId="62">'320'!$H$28:$H$35,'320'!$H$37:$H$46,'320'!$H$48,'320'!$H$50:$H$51,'320'!$H$53,'320'!$H$55,'320'!$H$57:$H$58,'320'!$H$60</definedName>
    <definedName name="OSRRefH22x_0" localSheetId="68">'321'!$H$26:$H$33,'321'!$H$35:$H$44,'321'!$H$46,'321'!$H$48,'321'!$H$50,'321'!$H$52,'321'!$H$54,'321'!$H$56,'321'!$H$58,'321'!$H$60:$H$61,'321'!$H$63,'321'!$H$65:$H$66,'321'!$H$68:$H$70,'321'!$H$72,'321'!$H$74</definedName>
    <definedName name="OSRRefH22x_0" localSheetId="69">'322'!$H$26:$H$34,'322'!$H$36:$H$45,'322'!$H$47,'322'!$H$49,'322'!$H$51,'322'!$H$53,'322'!$H$55,'322'!$H$57,'322'!$H$59,'322'!$H$61:$H$62,'322'!$H$64:$H$66,'322'!$H$68:$H$72,'322'!$H$74,'322'!$H$76</definedName>
    <definedName name="OSRRefH22x_0" localSheetId="72">'325'!$H$26:$H$34,'325'!$H$36:$H$45,'325'!$H$47,'325'!$H$49,'325'!$H$51,'325'!$H$53:$H$54,'325'!$H$56,'325'!$H$58,'325'!$H$60,'325'!$H$62,'325'!$H$64,'325'!$H$66:$H$67,'325'!$H$69:$H$72,'325'!$H$74,'325'!$H$76:$H$82,'325'!$H$84,'325'!$H$86,'325'!$H$88</definedName>
    <definedName name="OSRRefH22x_0" localSheetId="73">'326'!$H$51:$H$59,'326'!$H$61:$H$70,'326'!$H$72,'326'!$H$74:$H$75,'326'!$H$77,'326'!$H$79,'326'!$H$81,'326'!$H$83,'326'!$H$85,'326'!$H$87,'326'!$H$89,'326'!$H$91,'326'!$H$93,'326'!$H$95:$H$96,'326'!$H$98:$H$100,'326'!$H$102:$H$103,'326'!$H$105:$H$109,'326'!$H$111:$H$112,'326'!$H$114,'326'!$H$116,'326'!$H$118</definedName>
    <definedName name="OSRRefH22x_0" localSheetId="74">'327'!$H$24</definedName>
    <definedName name="OSRRefH22x_0" localSheetId="52">'330'!$H$74:$H$82,'330'!$H$84:$H$93,'330'!$H$95,'330'!$H$97,'330'!$H$99:$H$100,'330'!$H$102,'330'!$H$104,'330'!$H$106,'330'!$H$108,'330'!$H$110:$H$111,'330'!$H$113,'330'!$H$115,'330'!$H$117,'330'!$H$119</definedName>
    <definedName name="OSRRefH22x_0" localSheetId="58">'331'!$H$65:$H$73,'331'!$H$75:$H$84,'331'!$H$86,'331'!$H$88:$H$89,'331'!$H$91,'331'!$H$93,'331'!$H$95,'331'!$H$97,'331'!$H$99,'331'!$H$101,'331'!$H$103,'331'!$H$105,'331'!$H$107,'331'!$H$109,'331'!$H$111:$H$112,'331'!$H$114:$H$116,'331'!$H$118:$H$120,'331'!$H$122:$H$123,'331'!$H$125:$H$129,'331'!$H$131:$H$132,'331'!$H$134,'331'!$H$136,'331'!$H$138</definedName>
    <definedName name="OSRRefH22x_0" localSheetId="60">'332'!$H$41:$H$49,'332'!$H$51:$H$60,'332'!$H$62,'332'!$H$64,'332'!$H$66,'332'!$H$68,'332'!$H$70,'332'!$H$72:$H$73,'332'!$H$75,'332'!$H$77,'332'!$H$79,'332'!$H$81:$H$82,'332'!$H$84:$H$88,'332'!$H$90:$H$91</definedName>
    <definedName name="OSRRefH22x_0" localSheetId="78">'405'!$H$26:$H$34,'405'!$H$36:$H$45,'405'!$H$47,'405'!$H$49,'405'!$H$51,'405'!$H$53:$H$54,'405'!$H$56,'405'!$H$58,'405'!$H$60,'405'!$H$62,'405'!$H$64:$H$66,'405'!$H$68,'405'!$H$70:$H$72,'405'!$H$74,'405'!$H$76:$H$84,'405'!$H$86,'405'!$H$88,'405'!$H$90</definedName>
    <definedName name="OSRRefH22x_0" localSheetId="79">'406'!$H$27:$H$35,'406'!$H$37:$H$46,'406'!$H$48,'406'!$H$50,'406'!$H$52,'406'!$H$54,'406'!$H$56,'406'!$H$58,'406'!$H$60:$H$61,'406'!$H$63:$H$65,'406'!$H$67:$H$72,'406'!$H$74:$H$75,'406'!$H$77,'406'!$H$79</definedName>
    <definedName name="OSRRefH22x_0" localSheetId="80">'411'!$H$20:$H$29,'411'!$H$31:$H$40,'411'!$H$42,'411'!$H$44:$H$46,'411'!$H$48,'411'!$H$50,'411'!$H$52,'411'!$H$54,'411'!$H$56,'411'!$H$58,'411'!$H$60:$H$62,'411'!$H$64:$H$68,'411'!$H$70:$H$75,'411'!$H$77,'411'!$H$79,'411'!$H$81:$H$83,'411'!$H$85</definedName>
    <definedName name="OSRRefH22x_0" localSheetId="81">'412'!$H$26:$H$34,'412'!$H$36:$H$45,'412'!$H$47,'412'!$H$49,'412'!$H$51,'412'!$H$53,'412'!$H$55,'412'!$H$57,'412'!$H$59:$H$60,'412'!$H$62,'412'!$H$64:$H$65,'412'!$H$67:$H$72,'412'!$H$74,'412'!$H$76</definedName>
    <definedName name="OSRRefH22x_0" localSheetId="82">'413'!$H$27:$H$35,'413'!$H$37:$H$46,'413'!$H$48,'413'!$H$50,'413'!$H$52,'413'!$H$54,'413'!$H$56,'413'!$H$58,'413'!$H$60,'413'!$H$62:$H$66,'413'!$H$68:$H$69,'413'!$H$71</definedName>
    <definedName name="OSRRefH22x_0" localSheetId="83">'414'!$H$27:$H$35,'414'!$H$37:$H$46,'414'!$H$48,'414'!$H$50,'414'!$H$52,'414'!$H$54:$H$55,'414'!$H$57,'414'!$H$59,'414'!$H$61,'414'!$H$63,'414'!$H$65,'414'!$H$67,'414'!$H$69,'414'!$H$71:$H$77,'414'!$H$79,'414'!$H$81</definedName>
    <definedName name="OSRRefH22x_0" localSheetId="84">'415'!$H$26:$H$34,'415'!$H$36:$H$45,'415'!$H$47,'415'!$H$49,'415'!$H$51,'415'!$H$53:$H$54,'415'!$H$56,'415'!$H$58,'415'!$H$60,'415'!$H$62,'415'!$H$64,'415'!$H$66,'415'!$H$68:$H$72,'415'!$H$74,'415'!$H$76:$H$83,'415'!$H$85,'415'!$H$87:$H$88,'415'!$H$90</definedName>
    <definedName name="OSRRefH22x_0" localSheetId="85">'418'!$H$27:$H$35,'418'!$H$37:$H$46,'418'!$H$48,'418'!$H$50,'418'!$H$52,'418'!$H$54:$H$56,'418'!$H$58,'418'!$H$60,'418'!$H$62:$H$63,'418'!$H$65,'418'!$H$67:$H$69,'418'!$H$71,'418'!$H$73:$H$77,'418'!$H$79,'418'!$H$81,'418'!$H$83</definedName>
    <definedName name="OSRRefH22x_0" localSheetId="87">'423'!$H$21:$H$29,'423'!$H$31:$H$40,'423'!$H$42,'423'!$H$44,'423'!$H$46,'423'!$H$48</definedName>
    <definedName name="OSRRefH22x_0" localSheetId="88">'424'!$H$26:$H$33,'424'!$H$35:$H$44,'424'!$H$46,'424'!$H$48,'424'!$H$50,'424'!$H$52,'424'!$H$54,'424'!$H$56,'424'!$H$58:$H$59,'424'!$H$61,'424'!$H$63:$H$64,'424'!$H$66:$H$67</definedName>
    <definedName name="OSRRefH22x_0" localSheetId="89">'425'!$H$27:$H$35,'425'!$H$37:$H$46,'425'!$H$48,'425'!$H$50,'425'!$H$52,'425'!$H$54,'425'!$H$56,'425'!$H$58,'425'!$H$60,'425'!$H$62,'425'!$H$64:$H$65,'425'!$H$67:$H$68,'425'!$H$70:$H$73,'425'!$H$75:$H$76,'425'!$H$78</definedName>
    <definedName name="OSRRefH22x_0" localSheetId="92">'430'!$H$20:$H$28,'430'!$H$30:$H$39,'430'!$H$41,'430'!$H$43,'430'!$H$45,'430'!$H$47,'430'!$H$49,'430'!$H$51:$H$53,'430'!$H$55,'430'!$H$57,'430'!$H$59</definedName>
    <definedName name="OSRRefH22x_0" localSheetId="93">'433'!$H$27:$H$36,'433'!$H$38:$H$47,'433'!$H$49,'433'!$H$51,'433'!$H$53,'433'!$H$55,'433'!$H$57,'433'!$H$59,'433'!$H$61,'433'!$H$63,'433'!$H$65:$H$66,'433'!$H$68:$H$71,'433'!$H$73:$H$79,'433'!$H$81,'433'!$H$83,'433'!$H$85:$H$86</definedName>
    <definedName name="OSRRefH22x_0" localSheetId="94">'435'!$H$26:$H$33,'435'!$H$35:$H$44,'435'!$H$46,'435'!$H$48,'435'!$H$50,'435'!$H$52,'435'!$H$54:$H$55,'435'!$H$57</definedName>
    <definedName name="OSRRefH22x_0" localSheetId="95">'444'!$H$27:$H$36,'444'!$H$38:$H$47,'444'!$H$49,'444'!$H$51,'444'!$H$53,'444'!$H$55,'444'!$H$57,'444'!$H$59,'444'!$H$61,'444'!$H$63,'444'!$H$65,'444'!$H$67:$H$69,'444'!$H$71:$H$74,'444'!$H$76:$H$82,'444'!$H$84,'444'!$H$86,'444'!$H$88</definedName>
    <definedName name="OSRRefH22x_0" localSheetId="97">'450'!$H$26:$H$35,'450'!$H$37:$H$46,'450'!$H$48,'450'!$H$50:$H$51,'450'!$H$53,'450'!$H$55,'450'!$H$57,'450'!$H$59,'450'!$H$61,'450'!$H$63,'450'!$H$65,'450'!$H$67,'450'!$H$69:$H$71,'450'!$H$73:$H$78,'450'!$H$80,'450'!$H$82,'450'!$H$84:$H$85</definedName>
    <definedName name="OSRRefH22x_0" localSheetId="90">'455'!$H$20:$H$27,'455'!$H$29:$H$38</definedName>
    <definedName name="OSRRefH22x_0" localSheetId="77">'491'!$H$34:$H$43,'491'!$H$45:$H$54,'491'!$H$56,'491'!$H$58,'491'!$H$60,'491'!$H$62:$H$65,'491'!$H$67,'491'!$H$69,'491'!$H$71,'491'!$H$73:$H$74,'491'!$H$76,'491'!$H$78,'491'!$H$80,'491'!$H$82,'491'!$H$84:$H$87,'491'!$H$89:$H$91,'491'!$H$93:$H$97,'491'!$H$99,'491'!$H$101:$H$110,'491'!$H$112:$H$113,'491'!$H$115,'491'!$H$117:$H$119,'491'!$H$121</definedName>
    <definedName name="OSRRefH22x_0" localSheetId="91">'492'!$H$29:$H$38,'492'!$H$40:$H$49,'492'!$H$51,'492'!$H$53:$H$54,'492'!$H$56,'492'!$H$58:$H$59,'492'!$H$61,'492'!$H$63,'492'!$H$65,'492'!$H$67,'492'!$H$69,'492'!$H$71,'492'!$H$73:$H$75,'492'!$H$77:$H$80,'492'!$H$82:$H$90,'492'!$H$92,'492'!$H$94,'492'!$H$96:$H$97</definedName>
    <definedName name="OSRRefH22x_0" localSheetId="99">'501'!$H$21:$H$29,'501'!$H$31:$H$40,'501'!$H$42,'501'!$H$44,'501'!$H$46,'501'!$H$48,'501'!$H$50,'501'!$H$52,'501'!$H$54,'501'!$H$56,'501'!$H$58:$H$59,'501'!$H$61:$H$62,'501'!$H$64</definedName>
    <definedName name="OSRRefH22x_0" localSheetId="39">'Div 2'!$H$20:$H$30,'Div 2'!$H$32:$H$41,'Div 2'!$H$43,'Div 2'!$H$45,'Div 2'!$H$47,'Div 2'!$H$49,'Div 2'!$H$51,'Div 2'!$H$53,'Div 2'!$H$55,'Div 2'!$H$57,'Div 2'!$H$59,'Div 2'!$H$61,'Div 2'!$H$63:$H$65,'Div 2'!$H$67:$H$70,'Div 2'!$H$72:$H$75,'Div 2'!$H$77:$H$78,'Div 2'!$H$80:$H$81,'Div 2'!$H$83:$H$86,'Div 2'!$H$88:$H$89,'Div 2'!$H$91,'Div 2'!$H$93:$H$94</definedName>
    <definedName name="OSRRefH22x_0" localSheetId="47">'Div 3'!$H$154:$H$163,'Div 3'!$H$165:$H$174,'Div 3'!$H$176,'Div 3'!$H$178:$H$179,'Div 3'!$H$181,'Div 3'!$H$183:$H$185,'Div 3'!$H$187:$H$188,'Div 3'!$H$190:$H$191,'Div 3'!$H$193,'Div 3'!$H$195,'Div 3'!$H$197:$H$198,'Div 3'!$H$200,'Div 3'!$H$202,'Div 3'!$H$204,'Div 3'!$H$206,'Div 3'!$H$208,'Div 3'!$H$210,'Div 3'!$H$212,'Div 3'!$H$214:$H$216,'Div 3'!$H$218:$H$221,'Div 3'!$H$223:$H$228,'Div 3'!$H$230:$H$231,'Div 3'!$H$233:$H$240,'Div 3'!$H$242:$H$243,'Div 3'!$H$245,'Div 3'!$H$247:$H$249,'Div 3'!$H$251</definedName>
    <definedName name="OSRRefH22x_0" localSheetId="75">'Div 4'!$H$35:$H$44,'Div 4'!$H$46:$H$55,'Div 4'!$H$57,'Div 4'!$H$59:$H$60,'Div 4'!$H$62,'Div 4'!$H$64:$H$67,'Div 4'!$H$69:$H$70,'Div 4'!$H$72,'Div 4'!$H$74,'Div 4'!$H$76,'Div 4'!$H$78:$H$79,'Div 4'!$H$81,'Div 4'!$H$83,'Div 4'!$H$85,'Div 4'!$H$87,'Div 4'!$H$89,'Div 4'!$H$91:$H$94,'Div 4'!$H$96:$H$98,'Div 4'!$H$100:$H$104,'Div 4'!$H$106,'Div 4'!$H$108:$H$117,'Div 4'!$H$119:$H$120,'Div 4'!$H$122,'Div 4'!$H$124:$H$126,'Div 4'!$H$128</definedName>
    <definedName name="OSRRefH22x_0" localSheetId="98">'Div 5'!$H$21:$H$29,'Div 5'!$H$31:$H$40,'Div 5'!$H$42,'Div 5'!$H$44,'Div 5'!$H$46,'Div 5'!$H$48,'Div 5'!$H$50,'Div 5'!$H$52,'Div 5'!$H$54,'Div 5'!$H$56,'Div 5'!$H$58:$H$59,'Div 5'!$H$61:$H$62,'Div 5'!$H$64</definedName>
    <definedName name="OSRRefH22x_0" localSheetId="63">'Div 6'!$H$56:$H$65,'Div 6'!$H$67:$H$76,'Div 6'!$H$78,'Div 6'!$H$80,'Div 6'!$H$82,'Div 6'!$H$84,'Div 6'!$H$86,'Div 6'!$H$88,'Div 6'!$H$90:$H$91,'Div 6'!$H$93:$H$94,'Div 6'!$H$96</definedName>
    <definedName name="OSRRefH22x_0" localSheetId="2">Summary!$H$184:$H$193,Summary!$H$195:$H$204,Summary!$H$206,Summary!$H$208:$H$209,Summary!$H$211,Summary!$H$213:$H$216,Summary!$H$218:$H$219,Summary!$H$221:$H$223,Summary!$H$225,Summary!$H$227,Summary!$H$229:$H$230,Summary!$H$232:$H$233,Summary!$H$235,Summary!$H$237,Summary!$H$239,Summary!$H$241,Summary!$H$243,Summary!$H$245,Summary!$H$247:$H$250,Summary!$H$252:$H$255,Summary!$H$257:$H$262,Summary!$H$264:$H$265,Summary!$H$267:$H$276,Summary!$H$278:$H$279,Summary!$H$281,Summary!$H$283:$H$285,Summary!$H$287</definedName>
    <definedName name="OSRRefH25x_0" localSheetId="48">'300'!$H$241:$H$247</definedName>
    <definedName name="OSRRefH25x_0" localSheetId="49">'300 &amp; 317'!$H$264:$H$272</definedName>
    <definedName name="OSRRefH25x_0" localSheetId="50">'301'!$H$99:$H$101</definedName>
    <definedName name="OSRRefH25x_0" localSheetId="55">'308'!$H$111:$H$113</definedName>
    <definedName name="OSRRefH25x_0" localSheetId="76">'310 &amp; 491'!$H$137:$H$140</definedName>
    <definedName name="OSRRefH25x_0" localSheetId="56">'311'!$H$111:$H$113</definedName>
    <definedName name="OSRRefH25x_0" localSheetId="59">'315'!$H$110:$H$112</definedName>
    <definedName name="OSRRefH25x_0" localSheetId="61">'316'!$H$82:$H$83</definedName>
    <definedName name="OSRRefH25x_0" localSheetId="64">'317'!$H$99:$H$101</definedName>
    <definedName name="OSRRefH25x_0" localSheetId="62">'320'!$H$63:$H$66</definedName>
    <definedName name="OSRRefH25x_0" localSheetId="58">'331'!$H$141:$H$143</definedName>
    <definedName name="OSRRefH25x_0" localSheetId="60">'332'!$H$94:$H$99</definedName>
    <definedName name="OSRRefH25x_0" localSheetId="80">'411'!$H$88:$H$89</definedName>
    <definedName name="OSRRefH25x_0" localSheetId="82">'413'!$H$74</definedName>
    <definedName name="OSRRefH25x_0" localSheetId="87">'423'!$H$51</definedName>
    <definedName name="OSRRefH25x_0" localSheetId="88">'424'!$H$70</definedName>
    <definedName name="OSRRefH25x_0" localSheetId="89">'425'!$H$81</definedName>
    <definedName name="OSRRefH25x_0" localSheetId="90">'455'!$H$41:$H$44</definedName>
    <definedName name="OSRRefH25x_0" localSheetId="77">'491'!$H$124:$H$127</definedName>
    <definedName name="OSRRefH25x_0" localSheetId="99">'501'!$H$67</definedName>
    <definedName name="OSRRefH25x_0" localSheetId="47">'Div 3'!$H$254:$H$260</definedName>
    <definedName name="OSRRefH25x_0" localSheetId="75">'Div 4'!$H$131:$H$134</definedName>
    <definedName name="OSRRefH25x_0" localSheetId="98">'Div 5'!$H$67</definedName>
    <definedName name="OSRRefH25x_0" localSheetId="63">'Div 6'!$H$99:$H$101</definedName>
    <definedName name="OSRRefH25x_0" localSheetId="2">Summary!$H$290:$H$299</definedName>
    <definedName name="OSRRefP13x_0" localSheetId="48">'300'!$P$13:$P$92</definedName>
    <definedName name="OSRRefP13x_0" localSheetId="49">'300 &amp; 317'!$P$13:$P$110</definedName>
    <definedName name="OSRRefP13x_0" localSheetId="53">'307'!$P$13:$P$35</definedName>
    <definedName name="OSRRefP13x_0" localSheetId="55">'308'!$P$13:$P$35</definedName>
    <definedName name="OSRRefP13x_0" localSheetId="66">'309'!$P$13:$P$15</definedName>
    <definedName name="OSRRefP13x_0" localSheetId="65">'310'!$P$13:$P$22</definedName>
    <definedName name="OSRRefP13x_0" localSheetId="76">'310 &amp; 491'!$P$13:$P$29</definedName>
    <definedName name="OSRRefP13x_0" localSheetId="56">'311'!$P$13:$P$35</definedName>
    <definedName name="OSRRefP13x_0" localSheetId="67">'313'!$P$13:$P$18</definedName>
    <definedName name="OSRRefP13x_0" localSheetId="54">'314'!$P$13:$P$33</definedName>
    <definedName name="OSRRefP13x_0" localSheetId="59">'315'!$P$13:$P$31</definedName>
    <definedName name="OSRRefP13x_0" localSheetId="61">'316'!$P$13:$P$25</definedName>
    <definedName name="OSRRefP13x_0" localSheetId="64">'317'!$P$13:$P$36</definedName>
    <definedName name="OSRRefP13x_0" localSheetId="62">'320'!$P$13:$P$15</definedName>
    <definedName name="OSRRefP13x_0" localSheetId="68">'321'!$P$13:$P$15</definedName>
    <definedName name="OSRRefP13x_0" localSheetId="69">'322'!$P$13:$P$15</definedName>
    <definedName name="OSRRefP13x_0" localSheetId="71">'324'!$P$13:$P$15</definedName>
    <definedName name="OSRRefP13x_0" localSheetId="72">'325'!$P$13:$P$15</definedName>
    <definedName name="OSRRefP13x_0" localSheetId="73">'326'!$P$13:$P$30</definedName>
    <definedName name="OSRRefP13x_0" localSheetId="74">'327'!$P$13:$P$14</definedName>
    <definedName name="OSRRefP13x_0" localSheetId="52">'330'!$P$13:$P$44</definedName>
    <definedName name="OSRRefP13x_0" localSheetId="58">'331'!$P$13:$P$37</definedName>
    <definedName name="OSRRefP13x_0" localSheetId="60">'332'!$P$13:$P$28</definedName>
    <definedName name="OSRRefP13x_0" localSheetId="78">'405'!$P$13:$P$15</definedName>
    <definedName name="OSRRefP13x_0" localSheetId="79">'406'!$P$13:$P$16</definedName>
    <definedName name="OSRRefP13x_0" localSheetId="81">'412'!$P$13:$P$16</definedName>
    <definedName name="OSRRefP13x_0" localSheetId="82">'413'!$P$13:$P$16</definedName>
    <definedName name="OSRRefP13x_0" localSheetId="83">'414'!$P$13:$P$16</definedName>
    <definedName name="OSRRefP13x_0" localSheetId="84">'415'!$P$13:$P$15</definedName>
    <definedName name="OSRRefP13x_0" localSheetId="85">'418'!$P$13:$P$16</definedName>
    <definedName name="OSRRefP13x_0" localSheetId="88">'424'!$P$13:$P$15</definedName>
    <definedName name="OSRRefP13x_0" localSheetId="89">'425'!$P$13:$P$16</definedName>
    <definedName name="OSRRefP13x_0" localSheetId="93">'433'!$P$13:$P$16</definedName>
    <definedName name="OSRRefP13x_0" localSheetId="94">'435'!$P$13:$P$15</definedName>
    <definedName name="OSRRefP13x_0" localSheetId="95">'444'!$P$13:$P$16</definedName>
    <definedName name="OSRRefP13x_0" localSheetId="97">'450'!$P$13:$P$15</definedName>
    <definedName name="OSRRefP13x_0" localSheetId="77">'491'!$P$13:$P$23</definedName>
    <definedName name="OSRRefP13x_0" localSheetId="91">'492'!$P$13:$P$18</definedName>
    <definedName name="OSRRefP13x_0" localSheetId="99">'501'!$P$13</definedName>
    <definedName name="OSRRefP13x_0" localSheetId="47">'Div 3'!$P$13:$P$96</definedName>
    <definedName name="OSRRefP13x_0" localSheetId="75">'Div 4'!$P$13:$P$24</definedName>
    <definedName name="OSRRefP13x_0" localSheetId="98">'Div 5'!$P$13</definedName>
    <definedName name="OSRRefP13x_0" localSheetId="63">'Div 6'!$P$13:$P$36</definedName>
    <definedName name="OSRRefP13x_0" localSheetId="2">Summary!$P$13:$P$121</definedName>
    <definedName name="OSRRefP16x_0" localSheetId="48">'300'!$P$95:$P$142</definedName>
    <definedName name="OSRRefP16x_0" localSheetId="49">'300 &amp; 317'!$P$113:$P$165</definedName>
    <definedName name="OSRRefP16x_0" localSheetId="53">'307'!$P$38:$P$54</definedName>
    <definedName name="OSRRefP16x_0" localSheetId="55">'308'!$P$38:$P$51</definedName>
    <definedName name="OSRRefP16x_0" localSheetId="66">'309'!$P$18:$P$20</definedName>
    <definedName name="OSRRefP16x_0" localSheetId="65">'310'!$P$25:$P$27</definedName>
    <definedName name="OSRRefP16x_0" localSheetId="76">'310 &amp; 491'!$P$32:$P$34</definedName>
    <definedName name="OSRRefP16x_0" localSheetId="56">'311'!$P$38:$P$51</definedName>
    <definedName name="OSRRefP16x_0" localSheetId="67">'313'!$P$21:$P$23</definedName>
    <definedName name="OSRRefP16x_0" localSheetId="54">'314'!$P$36:$P$50</definedName>
    <definedName name="OSRRefP16x_0" localSheetId="59">'315'!$P$34:$P$48</definedName>
    <definedName name="OSRRefP16x_0" localSheetId="64">'317'!$P$39:$P$50</definedName>
    <definedName name="OSRRefP16x_0" localSheetId="62">'320'!$P$18:$P$22</definedName>
    <definedName name="OSRRefP16x_0" localSheetId="68">'321'!$P$18:$P$20</definedName>
    <definedName name="OSRRefP16x_0" localSheetId="69">'322'!$P$18:$P$20</definedName>
    <definedName name="OSRRefP16x_0" localSheetId="71">'324'!$P$18:$P$20</definedName>
    <definedName name="OSRRefP16x_0" localSheetId="72">'325'!$P$18:$P$20</definedName>
    <definedName name="OSRRefP16x_0" localSheetId="73">'326'!$P$33:$P$45</definedName>
    <definedName name="OSRRefP16x_0" localSheetId="74">'327'!$P$17:$P$18</definedName>
    <definedName name="OSRRefP16x_0" localSheetId="52">'330'!$P$47:$P$68</definedName>
    <definedName name="OSRRefP16x_0" localSheetId="58">'331'!$P$40:$P$59</definedName>
    <definedName name="OSRRefP16x_0" localSheetId="60">'332'!$P$31:$P$35</definedName>
    <definedName name="OSRRefP16x_0" localSheetId="78">'405'!$P$18:$P$20</definedName>
    <definedName name="OSRRefP16x_0" localSheetId="79">'406'!$P$19:$P$21</definedName>
    <definedName name="OSRRefP16x_0" localSheetId="81">'412'!$P$19:$P$20</definedName>
    <definedName name="OSRRefP16x_0" localSheetId="82">'413'!$P$19:$P$21</definedName>
    <definedName name="OSRRefP16x_0" localSheetId="83">'414'!$P$19:$P$21</definedName>
    <definedName name="OSRRefP16x_0" localSheetId="84">'415'!$P$18:$P$20</definedName>
    <definedName name="OSRRefP16x_0" localSheetId="85">'418'!$P$19:$P$21</definedName>
    <definedName name="OSRRefP16x_0" localSheetId="87">'423'!$P$15</definedName>
    <definedName name="OSRRefP16x_0" localSheetId="88">'424'!$P$18:$P$20</definedName>
    <definedName name="OSRRefP16x_0" localSheetId="89">'425'!$P$19:$P$21</definedName>
    <definedName name="OSRRefP16x_0" localSheetId="93">'433'!$P$19:$P$21</definedName>
    <definedName name="OSRRefP16x_0" localSheetId="94">'435'!$P$18:$P$20</definedName>
    <definedName name="OSRRefP16x_0" localSheetId="95">'444'!$P$19:$P$21</definedName>
    <definedName name="OSRRefP16x_0" localSheetId="97">'450'!$P$18:$P$20</definedName>
    <definedName name="OSRRefP16x_0" localSheetId="77">'491'!$P$26:$P$28</definedName>
    <definedName name="OSRRefP16x_0" localSheetId="91">'492'!$P$21:$P$23</definedName>
    <definedName name="OSRRefP16x_0" localSheetId="47">'Div 3'!$P$99:$P$148</definedName>
    <definedName name="OSRRefP16x_0" localSheetId="75">'Div 4'!$P$27:$P$29</definedName>
    <definedName name="OSRRefP16x_0" localSheetId="63">'Div 6'!$P$39:$P$50</definedName>
    <definedName name="OSRRefP16x_0" localSheetId="2">Summary!$P$124:$P$178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'300'!$P$148:$P$157</definedName>
    <definedName name="OSRRefP22_0x_0" localSheetId="49">'300 &amp; 317'!$P$171:$P$180</definedName>
    <definedName name="OSRRefP22_0x_0" localSheetId="50">'301'!$P$20:$P$28</definedName>
    <definedName name="OSRRefP22_0x_0" localSheetId="51">'306'!$P$20:$P$28</definedName>
    <definedName name="OSRRefP22_0x_0" localSheetId="53">'307'!$P$60:$P$68</definedName>
    <definedName name="OSRRefP22_0x_0" localSheetId="55">'308'!$P$57:$P$66</definedName>
    <definedName name="OSRRefP22_0x_0" localSheetId="66">'309'!$P$26:$P$34</definedName>
    <definedName name="OSRRefP22_0x_0" localSheetId="65">'310'!$P$33:$P$41</definedName>
    <definedName name="OSRRefP22_0x_0" localSheetId="76">'310 &amp; 491'!$P$40:$P$49</definedName>
    <definedName name="OSRRefP22_0x_0" localSheetId="56">'311'!$P$57:$P$66</definedName>
    <definedName name="OSRRefP22_0x_0" localSheetId="67">'313'!$P$29:$P$37</definedName>
    <definedName name="OSRRefP22_0x_0" localSheetId="54">'314'!$P$56:$P$63</definedName>
    <definedName name="OSRRefP22_0x_0" localSheetId="59">'315'!$P$54:$P$62</definedName>
    <definedName name="OSRRefP22_0x_0" localSheetId="61">'316'!$P$33:$P$41</definedName>
    <definedName name="OSRRefP22_0x_0" localSheetId="64">'317'!$P$56:$P$65</definedName>
    <definedName name="OSRRefP22_0x_0" localSheetId="62">'320'!$P$28:$P$35</definedName>
    <definedName name="OSRRefP22_0x_0" localSheetId="68">'321'!$P$26:$P$33</definedName>
    <definedName name="OSRRefP22_0x_0" localSheetId="69">'322'!$P$26:$P$34</definedName>
    <definedName name="OSRRefP22_0x_0" localSheetId="72">'325'!$P$26:$P$34</definedName>
    <definedName name="OSRRefP22_0x_0" localSheetId="73">'326'!$P$51:$P$59</definedName>
    <definedName name="OSRRefP22_0x_0" localSheetId="74">'327'!$P$24</definedName>
    <definedName name="OSRRefP22_0x_0" localSheetId="52">'330'!$P$74:$P$82</definedName>
    <definedName name="OSRRefP22_0x_0" localSheetId="58">'331'!$P$65:$P$73</definedName>
    <definedName name="OSRRefP22_0x_0" localSheetId="60">'332'!$P$41:$P$49</definedName>
    <definedName name="OSRRefP22_0x_0" localSheetId="78">'405'!$P$26:$P$34</definedName>
    <definedName name="OSRRefP22_0x_0" localSheetId="79">'406'!$P$27:$P$35</definedName>
    <definedName name="OSRRefP22_0x_0" localSheetId="80">'411'!$P$20:$P$29</definedName>
    <definedName name="OSRRefP22_0x_0" localSheetId="81">'412'!$P$26:$P$34</definedName>
    <definedName name="OSRRefP22_0x_0" localSheetId="82">'413'!$P$27:$P$35</definedName>
    <definedName name="OSRRefP22_0x_0" localSheetId="83">'414'!$P$27:$P$35</definedName>
    <definedName name="OSRRefP22_0x_0" localSheetId="84">'415'!$P$26:$P$34</definedName>
    <definedName name="OSRRefP22_0x_0" localSheetId="85">'418'!$P$27:$P$35</definedName>
    <definedName name="OSRRefP22_0x_0" localSheetId="87">'423'!$P$21:$P$29</definedName>
    <definedName name="OSRRefP22_0x_0" localSheetId="88">'424'!$P$26:$P$33</definedName>
    <definedName name="OSRRefP22_0x_0" localSheetId="89">'425'!$P$27:$P$35</definedName>
    <definedName name="OSRRefP22_0x_0" localSheetId="92">'430'!$P$20:$P$28</definedName>
    <definedName name="OSRRefP22_0x_0" localSheetId="93">'433'!$P$27:$P$36</definedName>
    <definedName name="OSRRefP22_0x_0" localSheetId="94">'435'!$P$26:$P$33</definedName>
    <definedName name="OSRRefP22_0x_0" localSheetId="95">'444'!$P$27:$P$36</definedName>
    <definedName name="OSRRefP22_0x_0" localSheetId="97">'450'!$P$26:$P$35</definedName>
    <definedName name="OSRRefP22_0x_0" localSheetId="90">'455'!$P$20:$P$27</definedName>
    <definedName name="OSRRefP22_0x_0" localSheetId="77">'491'!$P$34:$P$43</definedName>
    <definedName name="OSRRefP22_0x_0" localSheetId="91">'492'!$P$29:$P$38</definedName>
    <definedName name="OSRRefP22_0x_0" localSheetId="99">'501'!$P$21:$P$29</definedName>
    <definedName name="OSRRefP22_0x_0" localSheetId="39">'Div 2'!$P$20:$P$30</definedName>
    <definedName name="OSRRefP22_0x_0" localSheetId="47">'Div 3'!$P$154:$P$163</definedName>
    <definedName name="OSRRefP22_0x_0" localSheetId="75">'Div 4'!$P$35:$P$44</definedName>
    <definedName name="OSRRefP22_0x_0" localSheetId="98">'Div 5'!$P$21:$P$29</definedName>
    <definedName name="OSRRefP22_0x_0" localSheetId="63">'Div 6'!$P$56:$P$65</definedName>
    <definedName name="OSRRefP22_0x_0" localSheetId="2">Summary!$P$184:$P$193</definedName>
    <definedName name="OSRRefP22_10x_0" localSheetId="41">'201'!$P$59</definedName>
    <definedName name="OSRRefP22_10x_0" localSheetId="42">'202'!$P$59</definedName>
    <definedName name="OSRRefP22_10x_0" localSheetId="43">'203'!$P$59:$P$60</definedName>
    <definedName name="OSRRefP22_10x_0" localSheetId="44">'204'!$P$62</definedName>
    <definedName name="OSRRefP22_10x_0" localSheetId="48">'300'!$P$191:$P$192</definedName>
    <definedName name="OSRRefP22_10x_0" localSheetId="49">'300 &amp; 317'!$P$214:$P$215</definedName>
    <definedName name="OSRRefP22_10x_0" localSheetId="50">'301'!$P$61</definedName>
    <definedName name="OSRRefP22_10x_0" localSheetId="53">'307'!$P$99</definedName>
    <definedName name="OSRRefP22_10x_0" localSheetId="55">'308'!$P$97</definedName>
    <definedName name="OSRRefP22_10x_0" localSheetId="66">'309'!$P$64:$P$66</definedName>
    <definedName name="OSRRefP22_10x_0" localSheetId="65">'310'!$P$71</definedName>
    <definedName name="OSRRefP22_10x_0" localSheetId="76">'310 &amp; 491'!$P$81</definedName>
    <definedName name="OSRRefP22_10x_0" localSheetId="56">'311'!$P$97</definedName>
    <definedName name="OSRRefP22_10x_0" localSheetId="67">'313'!$P$67</definedName>
    <definedName name="OSRRefP22_10x_0" localSheetId="59">'315'!$P$91:$P$93</definedName>
    <definedName name="OSRRefP22_10x_0" localSheetId="61">'316'!$P$70:$P$71</definedName>
    <definedName name="OSRRefP22_10x_0" localSheetId="64">'317'!$P$96</definedName>
    <definedName name="OSRRefP22_10x_0" localSheetId="68">'321'!$P$63</definedName>
    <definedName name="OSRRefP22_10x_0" localSheetId="69">'322'!$P$64:$P$66</definedName>
    <definedName name="OSRRefP22_10x_0" localSheetId="72">'325'!$P$64</definedName>
    <definedName name="OSRRefP22_10x_0" localSheetId="73">'326'!$P$89</definedName>
    <definedName name="OSRRefP22_10x_0" localSheetId="52">'330'!$P$113</definedName>
    <definedName name="OSRRefP22_10x_0" localSheetId="58">'331'!$P$103</definedName>
    <definedName name="OSRRefP22_10x_0" localSheetId="60">'332'!$P$79</definedName>
    <definedName name="OSRRefP22_10x_0" localSheetId="78">'405'!$P$64:$P$66</definedName>
    <definedName name="OSRRefP22_10x_0" localSheetId="79">'406'!$P$67:$P$72</definedName>
    <definedName name="OSRRefP22_10x_0" localSheetId="80">'411'!$P$60:$P$62</definedName>
    <definedName name="OSRRefP22_10x_0" localSheetId="81">'412'!$P$64:$P$65</definedName>
    <definedName name="OSRRefP22_10x_0" localSheetId="82">'413'!$P$68:$P$69</definedName>
    <definedName name="OSRRefP22_10x_0" localSheetId="83">'414'!$P$65</definedName>
    <definedName name="OSRRefP22_10x_0" localSheetId="84">'415'!$P$64</definedName>
    <definedName name="OSRRefP22_10x_0" localSheetId="85">'418'!$P$67:$P$69</definedName>
    <definedName name="OSRRefP22_10x_0" localSheetId="88">'424'!$P$63:$P$64</definedName>
    <definedName name="OSRRefP22_10x_0" localSheetId="89">'425'!$P$64:$P$65</definedName>
    <definedName name="OSRRefP22_10x_0" localSheetId="92">'430'!$P$59</definedName>
    <definedName name="OSRRefP22_10x_0" localSheetId="93">'433'!$P$65:$P$66</definedName>
    <definedName name="OSRRefP22_10x_0" localSheetId="95">'444'!$P$65</definedName>
    <definedName name="OSRRefP22_10x_0" localSheetId="97">'450'!$P$65</definedName>
    <definedName name="OSRRefP22_10x_0" localSheetId="77">'491'!$P$76</definedName>
    <definedName name="OSRRefP22_10x_0" localSheetId="91">'492'!$P$69</definedName>
    <definedName name="OSRRefP22_10x_0" localSheetId="99">'501'!$P$58:$P$59</definedName>
    <definedName name="OSRRefP22_10x_0" localSheetId="39">'Div 2'!$P$59</definedName>
    <definedName name="OSRRefP22_10x_0" localSheetId="47">'Div 3'!$P$197:$P$198</definedName>
    <definedName name="OSRRefP22_10x_0" localSheetId="75">'Div 4'!$P$78:$P$79</definedName>
    <definedName name="OSRRefP22_10x_0" localSheetId="98">'Div 5'!$P$58:$P$59</definedName>
    <definedName name="OSRRefP22_10x_0" localSheetId="63">'Div 6'!$P$96</definedName>
    <definedName name="OSRRefP22_10x_0" localSheetId="2">Summary!$P$229:$P$230</definedName>
    <definedName name="OSRRefP22_11x_0" localSheetId="41">'201'!$P$61:$P$63</definedName>
    <definedName name="OSRRefP22_11x_0" localSheetId="42">'202'!$P$61</definedName>
    <definedName name="OSRRefP22_11x_0" localSheetId="43">'203'!$P$62</definedName>
    <definedName name="OSRRefP22_11x_0" localSheetId="44">'204'!$P$64:$P$65</definedName>
    <definedName name="OSRRefP22_11x_0" localSheetId="48">'300'!$P$194</definedName>
    <definedName name="OSRRefP22_11x_0" localSheetId="49">'300 &amp; 317'!$P$217</definedName>
    <definedName name="OSRRefP22_11x_0" localSheetId="50">'301'!$P$63</definedName>
    <definedName name="OSRRefP22_11x_0" localSheetId="53">'307'!$P$101</definedName>
    <definedName name="OSRRefP22_11x_0" localSheetId="55">'308'!$P$99:$P$101</definedName>
    <definedName name="OSRRefP22_11x_0" localSheetId="66">'309'!$P$68</definedName>
    <definedName name="OSRRefP22_11x_0" localSheetId="65">'310'!$P$73</definedName>
    <definedName name="OSRRefP22_11x_0" localSheetId="76">'310 &amp; 491'!$P$83:$P$84</definedName>
    <definedName name="OSRRefP22_11x_0" localSheetId="56">'311'!$P$99:$P$101</definedName>
    <definedName name="OSRRefP22_11x_0" localSheetId="67">'313'!$P$69:$P$72</definedName>
    <definedName name="OSRRefP22_11x_0" localSheetId="59">'315'!$P$95:$P$96</definedName>
    <definedName name="OSRRefP22_11x_0" localSheetId="61">'316'!$P$73:$P$76</definedName>
    <definedName name="OSRRefP22_11x_0" localSheetId="68">'321'!$P$65:$P$66</definedName>
    <definedName name="OSRRefP22_11x_0" localSheetId="69">'322'!$P$68:$P$72</definedName>
    <definedName name="OSRRefP22_11x_0" localSheetId="72">'325'!$P$66:$P$67</definedName>
    <definedName name="OSRRefP22_11x_0" localSheetId="73">'326'!$P$91</definedName>
    <definedName name="OSRRefP22_11x_0" localSheetId="52">'330'!$P$115</definedName>
    <definedName name="OSRRefP22_11x_0" localSheetId="58">'331'!$P$105</definedName>
    <definedName name="OSRRefP22_11x_0" localSheetId="60">'332'!$P$81:$P$82</definedName>
    <definedName name="OSRRefP22_11x_0" localSheetId="78">'405'!$P$68</definedName>
    <definedName name="OSRRefP22_11x_0" localSheetId="79">'406'!$P$74:$P$75</definedName>
    <definedName name="OSRRefP22_11x_0" localSheetId="80">'411'!$P$64:$P$68</definedName>
    <definedName name="OSRRefP22_11x_0" localSheetId="81">'412'!$P$67:$P$72</definedName>
    <definedName name="OSRRefP22_11x_0" localSheetId="82">'413'!$P$71</definedName>
    <definedName name="OSRRefP22_11x_0" localSheetId="83">'414'!$P$67</definedName>
    <definedName name="OSRRefP22_11x_0" localSheetId="84">'415'!$P$66</definedName>
    <definedName name="OSRRefP22_11x_0" localSheetId="85">'418'!$P$71</definedName>
    <definedName name="OSRRefP22_11x_0" localSheetId="88">'424'!$P$66:$P$67</definedName>
    <definedName name="OSRRefP22_11x_0" localSheetId="89">'425'!$P$67:$P$68</definedName>
    <definedName name="OSRRefP22_11x_0" localSheetId="93">'433'!$P$68:$P$71</definedName>
    <definedName name="OSRRefP22_11x_0" localSheetId="95">'444'!$P$67:$P$69</definedName>
    <definedName name="OSRRefP22_11x_0" localSheetId="97">'450'!$P$67</definedName>
    <definedName name="OSRRefP22_11x_0" localSheetId="77">'491'!$P$78</definedName>
    <definedName name="OSRRefP22_11x_0" localSheetId="91">'492'!$P$71</definedName>
    <definedName name="OSRRefP22_11x_0" localSheetId="99">'501'!$P$61:$P$62</definedName>
    <definedName name="OSRRefP22_11x_0" localSheetId="39">'Div 2'!$P$61</definedName>
    <definedName name="OSRRefP22_11x_0" localSheetId="47">'Div 3'!$P$200</definedName>
    <definedName name="OSRRefP22_11x_0" localSheetId="75">'Div 4'!$P$81</definedName>
    <definedName name="OSRRefP22_11x_0" localSheetId="98">'Div 5'!$P$61:$P$62</definedName>
    <definedName name="OSRRefP22_11x_0" localSheetId="2">Summary!$P$232:$P$233</definedName>
    <definedName name="OSRRefP22_12x_0" localSheetId="41">'201'!$P$65</definedName>
    <definedName name="OSRRefP22_12x_0" localSheetId="42">'202'!$P$63:$P$64</definedName>
    <definedName name="OSRRefP22_12x_0" localSheetId="43">'203'!$P$64:$P$66</definedName>
    <definedName name="OSRRefP22_12x_0" localSheetId="48">'300'!$P$196</definedName>
    <definedName name="OSRRefP22_12x_0" localSheetId="49">'300 &amp; 317'!$P$219</definedName>
    <definedName name="OSRRefP22_12x_0" localSheetId="50">'301'!$P$65</definedName>
    <definedName name="OSRRefP22_12x_0" localSheetId="53">'307'!$P$103</definedName>
    <definedName name="OSRRefP22_12x_0" localSheetId="55">'308'!$P$103:$P$104</definedName>
    <definedName name="OSRRefP22_12x_0" localSheetId="66">'309'!$P$70</definedName>
    <definedName name="OSRRefP22_12x_0" localSheetId="65">'310'!$P$75</definedName>
    <definedName name="OSRRefP22_12x_0" localSheetId="76">'310 &amp; 491'!$P$86</definedName>
    <definedName name="OSRRefP22_12x_0" localSheetId="56">'311'!$P$103:$P$104</definedName>
    <definedName name="OSRRefP22_12x_0" localSheetId="67">'313'!$P$74</definedName>
    <definedName name="OSRRefP22_12x_0" localSheetId="59">'315'!$P$98:$P$101</definedName>
    <definedName name="OSRRefP22_12x_0" localSheetId="61">'316'!$P$78:$P$79</definedName>
    <definedName name="OSRRefP22_12x_0" localSheetId="68">'321'!$P$68:$P$70</definedName>
    <definedName name="OSRRefP22_12x_0" localSheetId="69">'322'!$P$74</definedName>
    <definedName name="OSRRefP22_12x_0" localSheetId="72">'325'!$P$69:$P$72</definedName>
    <definedName name="OSRRefP22_12x_0" localSheetId="73">'326'!$P$93</definedName>
    <definedName name="OSRRefP22_12x_0" localSheetId="52">'330'!$P$117</definedName>
    <definedName name="OSRRefP22_12x_0" localSheetId="58">'331'!$P$107</definedName>
    <definedName name="OSRRefP22_12x_0" localSheetId="60">'332'!$P$84:$P$88</definedName>
    <definedName name="OSRRefP22_12x_0" localSheetId="78">'405'!$P$70:$P$72</definedName>
    <definedName name="OSRRefP22_12x_0" localSheetId="79">'406'!$P$77</definedName>
    <definedName name="OSRRefP22_12x_0" localSheetId="80">'411'!$P$70:$P$75</definedName>
    <definedName name="OSRRefP22_12x_0" localSheetId="81">'412'!$P$74</definedName>
    <definedName name="OSRRefP22_12x_0" localSheetId="83">'414'!$P$69</definedName>
    <definedName name="OSRRefP22_12x_0" localSheetId="84">'415'!$P$68:$P$72</definedName>
    <definedName name="OSRRefP22_12x_0" localSheetId="85">'418'!$P$73:$P$77</definedName>
    <definedName name="OSRRefP22_12x_0" localSheetId="89">'425'!$P$70:$P$73</definedName>
    <definedName name="OSRRefP22_12x_0" localSheetId="93">'433'!$P$73:$P$79</definedName>
    <definedName name="OSRRefP22_12x_0" localSheetId="95">'444'!$P$71:$P$74</definedName>
    <definedName name="OSRRefP22_12x_0" localSheetId="97">'450'!$P$69:$P$71</definedName>
    <definedName name="OSRRefP22_12x_0" localSheetId="77">'491'!$P$80</definedName>
    <definedName name="OSRRefP22_12x_0" localSheetId="91">'492'!$P$73:$P$75</definedName>
    <definedName name="OSRRefP22_12x_0" localSheetId="99">'501'!$P$64</definedName>
    <definedName name="OSRRefP22_12x_0" localSheetId="39">'Div 2'!$P$63:$P$65</definedName>
    <definedName name="OSRRefP22_12x_0" localSheetId="47">'Div 3'!$P$202</definedName>
    <definedName name="OSRRefP22_12x_0" localSheetId="75">'Div 4'!$P$83</definedName>
    <definedName name="OSRRefP22_12x_0" localSheetId="98">'Div 5'!$P$64</definedName>
    <definedName name="OSRRefP22_12x_0" localSheetId="2">Summary!$P$235</definedName>
    <definedName name="OSRRefP22_13x_0" localSheetId="41">'201'!$P$67</definedName>
    <definedName name="OSRRefP22_13x_0" localSheetId="42">'202'!$P$66</definedName>
    <definedName name="OSRRefP22_13x_0" localSheetId="43">'203'!$P$68</definedName>
    <definedName name="OSRRefP22_13x_0" localSheetId="48">'300'!$P$198</definedName>
    <definedName name="OSRRefP22_13x_0" localSheetId="49">'300 &amp; 317'!$P$221</definedName>
    <definedName name="OSRRefP22_13x_0" localSheetId="50">'301'!$P$67</definedName>
    <definedName name="OSRRefP22_13x_0" localSheetId="55">'308'!$P$106</definedName>
    <definedName name="OSRRefP22_13x_0" localSheetId="65">'310'!$P$77</definedName>
    <definedName name="OSRRefP22_13x_0" localSheetId="76">'310 &amp; 491'!$P$88</definedName>
    <definedName name="OSRRefP22_13x_0" localSheetId="56">'311'!$P$106</definedName>
    <definedName name="OSRRefP22_13x_0" localSheetId="67">'313'!$P$76</definedName>
    <definedName name="OSRRefP22_13x_0" localSheetId="59">'315'!$P$103</definedName>
    <definedName name="OSRRefP22_13x_0" localSheetId="68">'321'!$P$72</definedName>
    <definedName name="OSRRefP22_13x_0" localSheetId="69">'322'!$P$76</definedName>
    <definedName name="OSRRefP22_13x_0" localSheetId="72">'325'!$P$74</definedName>
    <definedName name="OSRRefP22_13x_0" localSheetId="73">'326'!$P$95:$P$96</definedName>
    <definedName name="OSRRefP22_13x_0" localSheetId="52">'330'!$P$119</definedName>
    <definedName name="OSRRefP22_13x_0" localSheetId="58">'331'!$P$109</definedName>
    <definedName name="OSRRefP22_13x_0" localSheetId="60">'332'!$P$90:$P$91</definedName>
    <definedName name="OSRRefP22_13x_0" localSheetId="78">'405'!$P$74</definedName>
    <definedName name="OSRRefP22_13x_0" localSheetId="79">'406'!$P$79</definedName>
    <definedName name="OSRRefP22_13x_0" localSheetId="80">'411'!$P$77</definedName>
    <definedName name="OSRRefP22_13x_0" localSheetId="81">'412'!$P$76</definedName>
    <definedName name="OSRRefP22_13x_0" localSheetId="83">'414'!$P$71:$P$77</definedName>
    <definedName name="OSRRefP22_13x_0" localSheetId="84">'415'!$P$74</definedName>
    <definedName name="OSRRefP22_13x_0" localSheetId="85">'418'!$P$79</definedName>
    <definedName name="OSRRefP22_13x_0" localSheetId="89">'425'!$P$75:$P$76</definedName>
    <definedName name="OSRRefP22_13x_0" localSheetId="93">'433'!$P$81</definedName>
    <definedName name="OSRRefP22_13x_0" localSheetId="95">'444'!$P$76:$P$82</definedName>
    <definedName name="OSRRefP22_13x_0" localSheetId="97">'450'!$P$73:$P$78</definedName>
    <definedName name="OSRRefP22_13x_0" localSheetId="77">'491'!$P$82</definedName>
    <definedName name="OSRRefP22_13x_0" localSheetId="91">'492'!$P$77:$P$80</definedName>
    <definedName name="OSRRefP22_13x_0" localSheetId="39">'Div 2'!$P$67:$P$70</definedName>
    <definedName name="OSRRefP22_13x_0" localSheetId="47">'Div 3'!$P$204</definedName>
    <definedName name="OSRRefP22_13x_0" localSheetId="75">'Div 4'!$P$85</definedName>
    <definedName name="OSRRefP22_13x_0" localSheetId="2">Summary!$P$237</definedName>
    <definedName name="OSRRefP22_14x_0" localSheetId="41">'201'!$P$69</definedName>
    <definedName name="OSRRefP22_14x_0" localSheetId="42">'202'!$P$68</definedName>
    <definedName name="OSRRefP22_14x_0" localSheetId="43">'203'!$P$70</definedName>
    <definedName name="OSRRefP22_14x_0" localSheetId="48">'300'!$P$200</definedName>
    <definedName name="OSRRefP22_14x_0" localSheetId="49">'300 &amp; 317'!$P$223</definedName>
    <definedName name="OSRRefP22_14x_0" localSheetId="50">'301'!$P$69</definedName>
    <definedName name="OSRRefP22_14x_0" localSheetId="55">'308'!$P$108</definedName>
    <definedName name="OSRRefP22_14x_0" localSheetId="65">'310'!$P$79</definedName>
    <definedName name="OSRRefP22_14x_0" localSheetId="76">'310 &amp; 491'!$P$90</definedName>
    <definedName name="OSRRefP22_14x_0" localSheetId="56">'311'!$P$108</definedName>
    <definedName name="OSRRefP22_14x_0" localSheetId="59">'315'!$P$105</definedName>
    <definedName name="OSRRefP22_14x_0" localSheetId="68">'321'!$P$74</definedName>
    <definedName name="OSRRefP22_14x_0" localSheetId="72">'325'!$P$76:$P$82</definedName>
    <definedName name="OSRRefP22_14x_0" localSheetId="73">'326'!$P$98:$P$100</definedName>
    <definedName name="OSRRefP22_14x_0" localSheetId="58">'331'!$P$111:$P$112</definedName>
    <definedName name="OSRRefP22_14x_0" localSheetId="78">'405'!$P$76:$P$84</definedName>
    <definedName name="OSRRefP22_14x_0" localSheetId="80">'411'!$P$79</definedName>
    <definedName name="OSRRefP22_14x_0" localSheetId="83">'414'!$P$79</definedName>
    <definedName name="OSRRefP22_14x_0" localSheetId="84">'415'!$P$76:$P$83</definedName>
    <definedName name="OSRRefP22_14x_0" localSheetId="85">'418'!$P$81</definedName>
    <definedName name="OSRRefP22_14x_0" localSheetId="89">'425'!$P$78</definedName>
    <definedName name="OSRRefP22_14x_0" localSheetId="93">'433'!$P$83</definedName>
    <definedName name="OSRRefP22_14x_0" localSheetId="95">'444'!$P$84</definedName>
    <definedName name="OSRRefP22_14x_0" localSheetId="97">'450'!$P$80</definedName>
    <definedName name="OSRRefP22_14x_0" localSheetId="77">'491'!$P$84:$P$87</definedName>
    <definedName name="OSRRefP22_14x_0" localSheetId="91">'492'!$P$82:$P$90</definedName>
    <definedName name="OSRRefP22_14x_0" localSheetId="39">'Div 2'!$P$72:$P$75</definedName>
    <definedName name="OSRRefP22_14x_0" localSheetId="47">'Div 3'!$P$206</definedName>
    <definedName name="OSRRefP22_14x_0" localSheetId="75">'Div 4'!$P$87</definedName>
    <definedName name="OSRRefP22_14x_0" localSheetId="2">Summary!$P$239</definedName>
    <definedName name="OSRRefP22_15x_0" localSheetId="43">'203'!$P$72</definedName>
    <definedName name="OSRRefP22_15x_0" localSheetId="48">'300'!$P$202</definedName>
    <definedName name="OSRRefP22_15x_0" localSheetId="49">'300 &amp; 317'!$P$225</definedName>
    <definedName name="OSRRefP22_15x_0" localSheetId="50">'301'!$P$71:$P$73</definedName>
    <definedName name="OSRRefP22_15x_0" localSheetId="65">'310'!$P$81:$P$82</definedName>
    <definedName name="OSRRefP22_15x_0" localSheetId="76">'310 &amp; 491'!$P$92</definedName>
    <definedName name="OSRRefP22_15x_0" localSheetId="59">'315'!$P$107</definedName>
    <definedName name="OSRRefP22_15x_0" localSheetId="72">'325'!$P$84</definedName>
    <definedName name="OSRRefP22_15x_0" localSheetId="73">'326'!$P$102:$P$103</definedName>
    <definedName name="OSRRefP22_15x_0" localSheetId="58">'331'!$P$114:$P$116</definedName>
    <definedName name="OSRRefP22_15x_0" localSheetId="78">'405'!$P$86</definedName>
    <definedName name="OSRRefP22_15x_0" localSheetId="80">'411'!$P$81:$P$83</definedName>
    <definedName name="OSRRefP22_15x_0" localSheetId="83">'414'!$P$81</definedName>
    <definedName name="OSRRefP22_15x_0" localSheetId="84">'415'!$P$85</definedName>
    <definedName name="OSRRefP22_15x_0" localSheetId="85">'418'!$P$83</definedName>
    <definedName name="OSRRefP22_15x_0" localSheetId="93">'433'!$P$85:$P$86</definedName>
    <definedName name="OSRRefP22_15x_0" localSheetId="95">'444'!$P$86</definedName>
    <definedName name="OSRRefP22_15x_0" localSheetId="97">'450'!$P$82</definedName>
    <definedName name="OSRRefP22_15x_0" localSheetId="77">'491'!$P$89:$P$91</definedName>
    <definedName name="OSRRefP22_15x_0" localSheetId="91">'492'!$P$92</definedName>
    <definedName name="OSRRefP22_15x_0" localSheetId="39">'Div 2'!$P$77:$P$78</definedName>
    <definedName name="OSRRefP22_15x_0" localSheetId="47">'Div 3'!$P$208</definedName>
    <definedName name="OSRRefP22_15x_0" localSheetId="75">'Div 4'!$P$89</definedName>
    <definedName name="OSRRefP22_15x_0" localSheetId="2">Summary!$P$241</definedName>
    <definedName name="OSRRefP22_16x_0" localSheetId="48">'300'!$P$204:$P$206</definedName>
    <definedName name="OSRRefP22_16x_0" localSheetId="49">'300 &amp; 317'!$P$227:$P$229</definedName>
    <definedName name="OSRRefP22_16x_0" localSheetId="50">'301'!$P$75:$P$77</definedName>
    <definedName name="OSRRefP22_16x_0" localSheetId="65">'310'!$P$84</definedName>
    <definedName name="OSRRefP22_16x_0" localSheetId="76">'310 &amp; 491'!$P$94</definedName>
    <definedName name="OSRRefP22_16x_0" localSheetId="72">'325'!$P$86</definedName>
    <definedName name="OSRRefP22_16x_0" localSheetId="73">'326'!$P$105:$P$109</definedName>
    <definedName name="OSRRefP22_16x_0" localSheetId="58">'331'!$P$118:$P$120</definedName>
    <definedName name="OSRRefP22_16x_0" localSheetId="78">'405'!$P$88</definedName>
    <definedName name="OSRRefP22_16x_0" localSheetId="80">'411'!$P$85</definedName>
    <definedName name="OSRRefP22_16x_0" localSheetId="84">'415'!$P$87:$P$88</definedName>
    <definedName name="OSRRefP22_16x_0" localSheetId="95">'444'!$P$88</definedName>
    <definedName name="OSRRefP22_16x_0" localSheetId="97">'450'!$P$84:$P$85</definedName>
    <definedName name="OSRRefP22_16x_0" localSheetId="77">'491'!$P$93:$P$97</definedName>
    <definedName name="OSRRefP22_16x_0" localSheetId="91">'492'!$P$94</definedName>
    <definedName name="OSRRefP22_16x_0" localSheetId="39">'Div 2'!$P$80:$P$81</definedName>
    <definedName name="OSRRefP22_16x_0" localSheetId="47">'Div 3'!$P$210</definedName>
    <definedName name="OSRRefP22_16x_0" localSheetId="75">'Div 4'!$P$91:$P$94</definedName>
    <definedName name="OSRRefP22_16x_0" localSheetId="2">Summary!$P$243</definedName>
    <definedName name="OSRRefP22_17x_0" localSheetId="48">'300'!$P$208:$P$211</definedName>
    <definedName name="OSRRefP22_17x_0" localSheetId="49">'300 &amp; 317'!$P$231:$P$234</definedName>
    <definedName name="OSRRefP22_17x_0" localSheetId="50">'301'!$P$79:$P$80</definedName>
    <definedName name="OSRRefP22_17x_0" localSheetId="65">'310'!$P$86:$P$90</definedName>
    <definedName name="OSRRefP22_17x_0" localSheetId="76">'310 &amp; 491'!$P$96:$P$99</definedName>
    <definedName name="OSRRefP22_17x_0" localSheetId="72">'325'!$P$88</definedName>
    <definedName name="OSRRefP22_17x_0" localSheetId="73">'326'!$P$111:$P$112</definedName>
    <definedName name="OSRRefP22_17x_0" localSheetId="58">'331'!$P$122:$P$123</definedName>
    <definedName name="OSRRefP22_17x_0" localSheetId="78">'405'!$P$90</definedName>
    <definedName name="OSRRefP22_17x_0" localSheetId="84">'415'!$P$90</definedName>
    <definedName name="OSRRefP22_17x_0" localSheetId="77">'491'!$P$99</definedName>
    <definedName name="OSRRefP22_17x_0" localSheetId="91">'492'!$P$96:$P$97</definedName>
    <definedName name="OSRRefP22_17x_0" localSheetId="39">'Div 2'!$P$83:$P$86</definedName>
    <definedName name="OSRRefP22_17x_0" localSheetId="47">'Div 3'!$P$212</definedName>
    <definedName name="OSRRefP22_17x_0" localSheetId="75">'Div 4'!$P$96:$P$98</definedName>
    <definedName name="OSRRefP22_17x_0" localSheetId="2">Summary!$P$245</definedName>
    <definedName name="OSRRefP22_18x_0" localSheetId="48">'300'!$P$213:$P$216</definedName>
    <definedName name="OSRRefP22_18x_0" localSheetId="49">'300 &amp; 317'!$P$236:$P$239</definedName>
    <definedName name="OSRRefP22_18x_0" localSheetId="50">'301'!$P$82:$P$87</definedName>
    <definedName name="OSRRefP22_18x_0" localSheetId="65">'310'!$P$92</definedName>
    <definedName name="OSRRefP22_18x_0" localSheetId="76">'310 &amp; 491'!$P$101:$P$103</definedName>
    <definedName name="OSRRefP22_18x_0" localSheetId="73">'326'!$P$114</definedName>
    <definedName name="OSRRefP22_18x_0" localSheetId="58">'331'!$P$125:$P$129</definedName>
    <definedName name="OSRRefP22_18x_0" localSheetId="77">'491'!$P$101:$P$110</definedName>
    <definedName name="OSRRefP22_18x_0" localSheetId="39">'Div 2'!$P$88:$P$89</definedName>
    <definedName name="OSRRefP22_18x_0" localSheetId="47">'Div 3'!$P$214:$P$216</definedName>
    <definedName name="OSRRefP22_18x_0" localSheetId="75">'Div 4'!$P$100:$P$104</definedName>
    <definedName name="OSRRefP22_18x_0" localSheetId="2">Summary!$P$247:$P$250</definedName>
    <definedName name="OSRRefP22_19x_0" localSheetId="48">'300'!$P$218:$P$219</definedName>
    <definedName name="OSRRefP22_19x_0" localSheetId="49">'300 &amp; 317'!$P$241:$P$242</definedName>
    <definedName name="OSRRefP22_19x_0" localSheetId="50">'301'!$P$89</definedName>
    <definedName name="OSRRefP22_19x_0" localSheetId="65">'310'!$P$94:$P$100</definedName>
    <definedName name="OSRRefP22_19x_0" localSheetId="76">'310 &amp; 491'!$P$105:$P$110</definedName>
    <definedName name="OSRRefP22_19x_0" localSheetId="73">'326'!$P$116</definedName>
    <definedName name="OSRRefP22_19x_0" localSheetId="58">'331'!$P$131:$P$132</definedName>
    <definedName name="OSRRefP22_19x_0" localSheetId="77">'491'!$P$112:$P$113</definedName>
    <definedName name="OSRRefP22_19x_0" localSheetId="39">'Div 2'!$P$91</definedName>
    <definedName name="OSRRefP22_19x_0" localSheetId="47">'Div 3'!$P$218:$P$221</definedName>
    <definedName name="OSRRefP22_19x_0" localSheetId="75">'Div 4'!$P$106</definedName>
    <definedName name="OSRRefP22_19x_0" localSheetId="2">Summary!$P$252:$P$255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'300'!$P$159:$P$168</definedName>
    <definedName name="OSRRefP22_1x_0" localSheetId="49">'300 &amp; 317'!$P$182:$P$191</definedName>
    <definedName name="OSRRefP22_1x_0" localSheetId="50">'301'!$P$30:$P$39</definedName>
    <definedName name="OSRRefP22_1x_0" localSheetId="51">'306'!$P$30:$P$39</definedName>
    <definedName name="OSRRefP22_1x_0" localSheetId="53">'307'!$P$70:$P$79</definedName>
    <definedName name="OSRRefP22_1x_0" localSheetId="55">'308'!$P$68:$P$77</definedName>
    <definedName name="OSRRefP22_1x_0" localSheetId="66">'309'!$P$36:$P$45</definedName>
    <definedName name="OSRRefP22_1x_0" localSheetId="65">'310'!$P$43:$P$52</definedName>
    <definedName name="OSRRefP22_1x_0" localSheetId="76">'310 &amp; 491'!$P$51:$P$60</definedName>
    <definedName name="OSRRefP22_1x_0" localSheetId="56">'311'!$P$68:$P$77</definedName>
    <definedName name="OSRRefP22_1x_0" localSheetId="67">'313'!$P$39:$P$48</definedName>
    <definedName name="OSRRefP22_1x_0" localSheetId="54">'314'!$P$65:$P$74</definedName>
    <definedName name="OSRRefP22_1x_0" localSheetId="59">'315'!$P$64:$P$73</definedName>
    <definedName name="OSRRefP22_1x_0" localSheetId="61">'316'!$P$43:$P$52</definedName>
    <definedName name="OSRRefP22_1x_0" localSheetId="64">'317'!$P$67:$P$76</definedName>
    <definedName name="OSRRefP22_1x_0" localSheetId="62">'320'!$P$37:$P$46</definedName>
    <definedName name="OSRRefP22_1x_0" localSheetId="68">'321'!$P$35:$P$44</definedName>
    <definedName name="OSRRefP22_1x_0" localSheetId="69">'322'!$P$36:$P$45</definedName>
    <definedName name="OSRRefP22_1x_0" localSheetId="72">'325'!$P$36:$P$45</definedName>
    <definedName name="OSRRefP22_1x_0" localSheetId="73">'326'!$P$61:$P$70</definedName>
    <definedName name="OSRRefP22_1x_0" localSheetId="52">'330'!$P$84:$P$93</definedName>
    <definedName name="OSRRefP22_1x_0" localSheetId="58">'331'!$P$75:$P$84</definedName>
    <definedName name="OSRRefP22_1x_0" localSheetId="60">'332'!$P$51:$P$60</definedName>
    <definedName name="OSRRefP22_1x_0" localSheetId="78">'405'!$P$36:$P$45</definedName>
    <definedName name="OSRRefP22_1x_0" localSheetId="79">'406'!$P$37:$P$46</definedName>
    <definedName name="OSRRefP22_1x_0" localSheetId="80">'411'!$P$31:$P$40</definedName>
    <definedName name="OSRRefP22_1x_0" localSheetId="81">'412'!$P$36:$P$45</definedName>
    <definedName name="OSRRefP22_1x_0" localSheetId="82">'413'!$P$37:$P$46</definedName>
    <definedName name="OSRRefP22_1x_0" localSheetId="83">'414'!$P$37:$P$46</definedName>
    <definedName name="OSRRefP22_1x_0" localSheetId="84">'415'!$P$36:$P$45</definedName>
    <definedName name="OSRRefP22_1x_0" localSheetId="85">'418'!$P$37:$P$46</definedName>
    <definedName name="OSRRefP22_1x_0" localSheetId="87">'423'!$P$31:$P$40</definedName>
    <definedName name="OSRRefP22_1x_0" localSheetId="88">'424'!$P$35:$P$44</definedName>
    <definedName name="OSRRefP22_1x_0" localSheetId="89">'425'!$P$37:$P$46</definedName>
    <definedName name="OSRRefP22_1x_0" localSheetId="92">'430'!$P$30:$P$39</definedName>
    <definedName name="OSRRefP22_1x_0" localSheetId="93">'433'!$P$38:$P$47</definedName>
    <definedName name="OSRRefP22_1x_0" localSheetId="94">'435'!$P$35:$P$44</definedName>
    <definedName name="OSRRefP22_1x_0" localSheetId="95">'444'!$P$38:$P$47</definedName>
    <definedName name="OSRRefP22_1x_0" localSheetId="97">'450'!$P$37:$P$46</definedName>
    <definedName name="OSRRefP22_1x_0" localSheetId="90">'455'!$P$29:$P$38</definedName>
    <definedName name="OSRRefP22_1x_0" localSheetId="77">'491'!$P$45:$P$54</definedName>
    <definedName name="OSRRefP22_1x_0" localSheetId="91">'492'!$P$40:$P$49</definedName>
    <definedName name="OSRRefP22_1x_0" localSheetId="99">'501'!$P$31:$P$40</definedName>
    <definedName name="OSRRefP22_1x_0" localSheetId="39">'Div 2'!$P$32:$P$41</definedName>
    <definedName name="OSRRefP22_1x_0" localSheetId="47">'Div 3'!$P$165:$P$174</definedName>
    <definedName name="OSRRefP22_1x_0" localSheetId="75">'Div 4'!$P$46:$P$55</definedName>
    <definedName name="OSRRefP22_1x_0" localSheetId="98">'Div 5'!$P$31:$P$40</definedName>
    <definedName name="OSRRefP22_1x_0" localSheetId="63">'Div 6'!$P$67:$P$76</definedName>
    <definedName name="OSRRefP22_1x_0" localSheetId="2">Summary!$P$195:$P$204</definedName>
    <definedName name="OSRRefP22_20x_0" localSheetId="48">'300'!$P$221:$P$227</definedName>
    <definedName name="OSRRefP22_20x_0" localSheetId="49">'300 &amp; 317'!$P$244:$P$250</definedName>
    <definedName name="OSRRefP22_20x_0" localSheetId="50">'301'!$P$91</definedName>
    <definedName name="OSRRefP22_20x_0" localSheetId="65">'310'!$P$102</definedName>
    <definedName name="OSRRefP22_20x_0" localSheetId="76">'310 &amp; 491'!$P$112</definedName>
    <definedName name="OSRRefP22_20x_0" localSheetId="73">'326'!$P$118</definedName>
    <definedName name="OSRRefP22_20x_0" localSheetId="58">'331'!$P$134</definedName>
    <definedName name="OSRRefP22_20x_0" localSheetId="77">'491'!$P$115</definedName>
    <definedName name="OSRRefP22_20x_0" localSheetId="39">'Div 2'!$P$93:$P$94</definedName>
    <definedName name="OSRRefP22_20x_0" localSheetId="47">'Div 3'!$P$223:$P$228</definedName>
    <definedName name="OSRRefP22_20x_0" localSheetId="75">'Div 4'!$P$108:$P$117</definedName>
    <definedName name="OSRRefP22_20x_0" localSheetId="2">Summary!$P$257:$P$262</definedName>
    <definedName name="OSRRefP22_21x_0" localSheetId="48">'300'!$P$229:$P$230</definedName>
    <definedName name="OSRRefP22_21x_0" localSheetId="49">'300 &amp; 317'!$P$252:$P$253</definedName>
    <definedName name="OSRRefP22_21x_0" localSheetId="50">'301'!$P$93:$P$94</definedName>
    <definedName name="OSRRefP22_21x_0" localSheetId="65">'310'!$P$104</definedName>
    <definedName name="OSRRefP22_21x_0" localSheetId="76">'310 &amp; 491'!$P$114:$P$123</definedName>
    <definedName name="OSRRefP22_21x_0" localSheetId="58">'331'!$P$136</definedName>
    <definedName name="OSRRefP22_21x_0" localSheetId="77">'491'!$P$117:$P$119</definedName>
    <definedName name="OSRRefP22_21x_0" localSheetId="47">'Div 3'!$P$230:$P$231</definedName>
    <definedName name="OSRRefP22_21x_0" localSheetId="75">'Div 4'!$P$119:$P$120</definedName>
    <definedName name="OSRRefP22_21x_0" localSheetId="2">Summary!$P$264:$P$265</definedName>
    <definedName name="OSRRefP22_22x_0" localSheetId="48">'300'!$P$232</definedName>
    <definedName name="OSRRefP22_22x_0" localSheetId="49">'300 &amp; 317'!$P$255</definedName>
    <definedName name="OSRRefP22_22x_0" localSheetId="50">'301'!$P$96</definedName>
    <definedName name="OSRRefP22_22x_0" localSheetId="65">'310'!$P$106</definedName>
    <definedName name="OSRRefP22_22x_0" localSheetId="76">'310 &amp; 491'!$P$125:$P$126</definedName>
    <definedName name="OSRRefP22_22x_0" localSheetId="58">'331'!$P$138</definedName>
    <definedName name="OSRRefP22_22x_0" localSheetId="77">'491'!$P$121</definedName>
    <definedName name="OSRRefP22_22x_0" localSheetId="47">'Div 3'!$P$233:$P$240</definedName>
    <definedName name="OSRRefP22_22x_0" localSheetId="75">'Div 4'!$P$122</definedName>
    <definedName name="OSRRefP22_22x_0" localSheetId="2">Summary!$P$267:$P$276</definedName>
    <definedName name="OSRRefP22_23x_0" localSheetId="48">'300'!$P$234:$P$236</definedName>
    <definedName name="OSRRefP22_23x_0" localSheetId="49">'300 &amp; 317'!$P$257:$P$259</definedName>
    <definedName name="OSRRefP22_23x_0" localSheetId="76">'310 &amp; 491'!$P$128</definedName>
    <definedName name="OSRRefP22_23x_0" localSheetId="47">'Div 3'!$P$242:$P$243</definedName>
    <definedName name="OSRRefP22_23x_0" localSheetId="75">'Div 4'!$P$124:$P$126</definedName>
    <definedName name="OSRRefP22_23x_0" localSheetId="2">Summary!$P$278:$P$279</definedName>
    <definedName name="OSRRefP22_24x_0" localSheetId="48">'300'!$P$238</definedName>
    <definedName name="OSRRefP22_24x_0" localSheetId="49">'300 &amp; 317'!$P$261</definedName>
    <definedName name="OSRRefP22_24x_0" localSheetId="76">'310 &amp; 491'!$P$130:$P$132</definedName>
    <definedName name="OSRRefP22_24x_0" localSheetId="47">'Div 3'!$P$245</definedName>
    <definedName name="OSRRefP22_24x_0" localSheetId="75">'Div 4'!$P$128</definedName>
    <definedName name="OSRRefP22_24x_0" localSheetId="2">Summary!$P$281</definedName>
    <definedName name="OSRRefP22_25x_0" localSheetId="76">'310 &amp; 491'!$P$134</definedName>
    <definedName name="OSRRefP22_25x_0" localSheetId="47">'Div 3'!$P$247:$P$249</definedName>
    <definedName name="OSRRefP22_25x_0" localSheetId="2">Summary!$P$283:$P$285</definedName>
    <definedName name="OSRRefP22_26x_0" localSheetId="47">'Div 3'!$P$251</definedName>
    <definedName name="OSRRefP22_26x_0" localSheetId="2">Summary!$P$287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'300'!$P$170</definedName>
    <definedName name="OSRRefP22_2x_0" localSheetId="49">'300 &amp; 317'!$P$193</definedName>
    <definedName name="OSRRefP22_2x_0" localSheetId="50">'301'!$P$41</definedName>
    <definedName name="OSRRefP22_2x_0" localSheetId="51">'306'!$P$41</definedName>
    <definedName name="OSRRefP22_2x_0" localSheetId="53">'307'!$P$81</definedName>
    <definedName name="OSRRefP22_2x_0" localSheetId="55">'308'!$P$79</definedName>
    <definedName name="OSRRefP22_2x_0" localSheetId="66">'309'!$P$47</definedName>
    <definedName name="OSRRefP22_2x_0" localSheetId="65">'310'!$P$54</definedName>
    <definedName name="OSRRefP22_2x_0" localSheetId="76">'310 &amp; 491'!$P$62</definedName>
    <definedName name="OSRRefP22_2x_0" localSheetId="56">'311'!$P$79</definedName>
    <definedName name="OSRRefP22_2x_0" localSheetId="67">'313'!$P$50</definedName>
    <definedName name="OSRRefP22_2x_0" localSheetId="54">'314'!$P$76</definedName>
    <definedName name="OSRRefP22_2x_0" localSheetId="59">'315'!$P$75</definedName>
    <definedName name="OSRRefP22_2x_0" localSheetId="61">'316'!$P$54</definedName>
    <definedName name="OSRRefP22_2x_0" localSheetId="64">'317'!$P$78</definedName>
    <definedName name="OSRRefP22_2x_0" localSheetId="62">'320'!$P$48</definedName>
    <definedName name="OSRRefP22_2x_0" localSheetId="68">'321'!$P$46</definedName>
    <definedName name="OSRRefP22_2x_0" localSheetId="69">'322'!$P$47</definedName>
    <definedName name="OSRRefP22_2x_0" localSheetId="72">'325'!$P$47</definedName>
    <definedName name="OSRRefP22_2x_0" localSheetId="73">'326'!$P$72</definedName>
    <definedName name="OSRRefP22_2x_0" localSheetId="52">'330'!$P$95</definedName>
    <definedName name="OSRRefP22_2x_0" localSheetId="58">'331'!$P$86</definedName>
    <definedName name="OSRRefP22_2x_0" localSheetId="60">'332'!$P$62</definedName>
    <definedName name="OSRRefP22_2x_0" localSheetId="78">'405'!$P$47</definedName>
    <definedName name="OSRRefP22_2x_0" localSheetId="79">'406'!$P$48</definedName>
    <definedName name="OSRRefP22_2x_0" localSheetId="80">'411'!$P$42</definedName>
    <definedName name="OSRRefP22_2x_0" localSheetId="81">'412'!$P$47</definedName>
    <definedName name="OSRRefP22_2x_0" localSheetId="82">'413'!$P$48</definedName>
    <definedName name="OSRRefP22_2x_0" localSheetId="83">'414'!$P$48</definedName>
    <definedName name="OSRRefP22_2x_0" localSheetId="84">'415'!$P$47</definedName>
    <definedName name="OSRRefP22_2x_0" localSheetId="85">'418'!$P$48</definedName>
    <definedName name="OSRRefP22_2x_0" localSheetId="87">'423'!$P$42</definedName>
    <definedName name="OSRRefP22_2x_0" localSheetId="88">'424'!$P$46</definedName>
    <definedName name="OSRRefP22_2x_0" localSheetId="89">'425'!$P$48</definedName>
    <definedName name="OSRRefP22_2x_0" localSheetId="92">'430'!$P$41</definedName>
    <definedName name="OSRRefP22_2x_0" localSheetId="93">'433'!$P$49</definedName>
    <definedName name="OSRRefP22_2x_0" localSheetId="94">'435'!$P$46</definedName>
    <definedName name="OSRRefP22_2x_0" localSheetId="95">'444'!$P$49</definedName>
    <definedName name="OSRRefP22_2x_0" localSheetId="97">'450'!$P$48</definedName>
    <definedName name="OSRRefP22_2x_0" localSheetId="77">'491'!$P$56</definedName>
    <definedName name="OSRRefP22_2x_0" localSheetId="91">'492'!$P$51</definedName>
    <definedName name="OSRRefP22_2x_0" localSheetId="99">'501'!$P$42</definedName>
    <definedName name="OSRRefP22_2x_0" localSheetId="39">'Div 2'!$P$43</definedName>
    <definedName name="OSRRefP22_2x_0" localSheetId="47">'Div 3'!$P$176</definedName>
    <definedName name="OSRRefP22_2x_0" localSheetId="75">'Div 4'!$P$57</definedName>
    <definedName name="OSRRefP22_2x_0" localSheetId="98">'Div 5'!$P$42</definedName>
    <definedName name="OSRRefP22_2x_0" localSheetId="63">'Div 6'!$P$78</definedName>
    <definedName name="OSRRefP22_2x_0" localSheetId="2">Summary!$P$206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'204'!$P$44</definedName>
    <definedName name="OSRRefP22_3x_0" localSheetId="45">'205'!$P$43</definedName>
    <definedName name="OSRRefP22_3x_0" localSheetId="46">'206'!$P$43</definedName>
    <definedName name="OSRRefP22_3x_0" localSheetId="48">'300'!$P$172:$P$173</definedName>
    <definedName name="OSRRefP22_3x_0" localSheetId="49">'300 &amp; 317'!$P$195:$P$196</definedName>
    <definedName name="OSRRefP22_3x_0" localSheetId="50">'301'!$P$43</definedName>
    <definedName name="OSRRefP22_3x_0" localSheetId="51">'306'!$P$43</definedName>
    <definedName name="OSRRefP22_3x_0" localSheetId="53">'307'!$P$83</definedName>
    <definedName name="OSRRefP22_3x_0" localSheetId="55">'308'!$P$81:$P$82</definedName>
    <definedName name="OSRRefP22_3x_0" localSheetId="66">'309'!$P$49</definedName>
    <definedName name="OSRRefP22_3x_0" localSheetId="65">'310'!$P$56</definedName>
    <definedName name="OSRRefP22_3x_0" localSheetId="76">'310 &amp; 491'!$P$64</definedName>
    <definedName name="OSRRefP22_3x_0" localSheetId="56">'311'!$P$81:$P$82</definedName>
    <definedName name="OSRRefP22_3x_0" localSheetId="67">'313'!$P$52</definedName>
    <definedName name="OSRRefP22_3x_0" localSheetId="54">'314'!$P$78:$P$79</definedName>
    <definedName name="OSRRefP22_3x_0" localSheetId="59">'315'!$P$77</definedName>
    <definedName name="OSRRefP22_3x_0" localSheetId="61">'316'!$P$56</definedName>
    <definedName name="OSRRefP22_3x_0" localSheetId="64">'317'!$P$80</definedName>
    <definedName name="OSRRefP22_3x_0" localSheetId="62">'320'!$P$50:$P$51</definedName>
    <definedName name="OSRRefP22_3x_0" localSheetId="68">'321'!$P$48</definedName>
    <definedName name="OSRRefP22_3x_0" localSheetId="69">'322'!$P$49</definedName>
    <definedName name="OSRRefP22_3x_0" localSheetId="72">'325'!$P$49</definedName>
    <definedName name="OSRRefP22_3x_0" localSheetId="73">'326'!$P$74:$P$75</definedName>
    <definedName name="OSRRefP22_3x_0" localSheetId="52">'330'!$P$97</definedName>
    <definedName name="OSRRefP22_3x_0" localSheetId="58">'331'!$P$88:$P$89</definedName>
    <definedName name="OSRRefP22_3x_0" localSheetId="60">'332'!$P$64</definedName>
    <definedName name="OSRRefP22_3x_0" localSheetId="78">'405'!$P$49</definedName>
    <definedName name="OSRRefP22_3x_0" localSheetId="79">'406'!$P$50</definedName>
    <definedName name="OSRRefP22_3x_0" localSheetId="80">'411'!$P$44:$P$46</definedName>
    <definedName name="OSRRefP22_3x_0" localSheetId="81">'412'!$P$49</definedName>
    <definedName name="OSRRefP22_3x_0" localSheetId="82">'413'!$P$50</definedName>
    <definedName name="OSRRefP22_3x_0" localSheetId="83">'414'!$P$50</definedName>
    <definedName name="OSRRefP22_3x_0" localSheetId="84">'415'!$P$49</definedName>
    <definedName name="OSRRefP22_3x_0" localSheetId="85">'418'!$P$50</definedName>
    <definedName name="OSRRefP22_3x_0" localSheetId="87">'423'!$P$44</definedName>
    <definedName name="OSRRefP22_3x_0" localSheetId="88">'424'!$P$48</definedName>
    <definedName name="OSRRefP22_3x_0" localSheetId="89">'425'!$P$50</definedName>
    <definedName name="OSRRefP22_3x_0" localSheetId="92">'430'!$P$43</definedName>
    <definedName name="OSRRefP22_3x_0" localSheetId="93">'433'!$P$51</definedName>
    <definedName name="OSRRefP22_3x_0" localSheetId="94">'435'!$P$48</definedName>
    <definedName name="OSRRefP22_3x_0" localSheetId="95">'444'!$P$51</definedName>
    <definedName name="OSRRefP22_3x_0" localSheetId="97">'450'!$P$50:$P$51</definedName>
    <definedName name="OSRRefP22_3x_0" localSheetId="77">'491'!$P$58</definedName>
    <definedName name="OSRRefP22_3x_0" localSheetId="91">'492'!$P$53:$P$54</definedName>
    <definedName name="OSRRefP22_3x_0" localSheetId="99">'501'!$P$44</definedName>
    <definedName name="OSRRefP22_3x_0" localSheetId="39">'Div 2'!$P$45</definedName>
    <definedName name="OSRRefP22_3x_0" localSheetId="47">'Div 3'!$P$178:$P$179</definedName>
    <definedName name="OSRRefP22_3x_0" localSheetId="75">'Div 4'!$P$59:$P$60</definedName>
    <definedName name="OSRRefP22_3x_0" localSheetId="98">'Div 5'!$P$44</definedName>
    <definedName name="OSRRefP22_3x_0" localSheetId="63">'Div 6'!$P$80</definedName>
    <definedName name="OSRRefP22_3x_0" localSheetId="2">Summary!$P$208:$P$209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</definedName>
    <definedName name="OSRRefP22_4x_0" localSheetId="46">'206'!$P$45</definedName>
    <definedName name="OSRRefP22_4x_0" localSheetId="48">'300'!$P$175</definedName>
    <definedName name="OSRRefP22_4x_0" localSheetId="49">'300 &amp; 317'!$P$198</definedName>
    <definedName name="OSRRefP22_4x_0" localSheetId="50">'301'!$P$45</definedName>
    <definedName name="OSRRefP22_4x_0" localSheetId="51">'306'!$P$45</definedName>
    <definedName name="OSRRefP22_4x_0" localSheetId="53">'307'!$P$85:$P$86</definedName>
    <definedName name="OSRRefP22_4x_0" localSheetId="55">'308'!$P$84</definedName>
    <definedName name="OSRRefP22_4x_0" localSheetId="66">'309'!$P$51</definedName>
    <definedName name="OSRRefP22_4x_0" localSheetId="65">'310'!$P$58</definedName>
    <definedName name="OSRRefP22_4x_0" localSheetId="76">'310 &amp; 491'!$P$66</definedName>
    <definedName name="OSRRefP22_4x_0" localSheetId="56">'311'!$P$84</definedName>
    <definedName name="OSRRefP22_4x_0" localSheetId="67">'313'!$P$54</definedName>
    <definedName name="OSRRefP22_4x_0" localSheetId="54">'314'!$P$81</definedName>
    <definedName name="OSRRefP22_4x_0" localSheetId="59">'315'!$P$79</definedName>
    <definedName name="OSRRefP22_4x_0" localSheetId="61">'316'!$P$58</definedName>
    <definedName name="OSRRefP22_4x_0" localSheetId="64">'317'!$P$82</definedName>
    <definedName name="OSRRefP22_4x_0" localSheetId="62">'320'!$P$53</definedName>
    <definedName name="OSRRefP22_4x_0" localSheetId="68">'321'!$P$50</definedName>
    <definedName name="OSRRefP22_4x_0" localSheetId="69">'322'!$P$51</definedName>
    <definedName name="OSRRefP22_4x_0" localSheetId="72">'325'!$P$51</definedName>
    <definedName name="OSRRefP22_4x_0" localSheetId="73">'326'!$P$77</definedName>
    <definedName name="OSRRefP22_4x_0" localSheetId="52">'330'!$P$99:$P$100</definedName>
    <definedName name="OSRRefP22_4x_0" localSheetId="58">'331'!$P$91</definedName>
    <definedName name="OSRRefP22_4x_0" localSheetId="60">'332'!$P$66</definedName>
    <definedName name="OSRRefP22_4x_0" localSheetId="78">'405'!$P$51</definedName>
    <definedName name="OSRRefP22_4x_0" localSheetId="79">'406'!$P$52</definedName>
    <definedName name="OSRRefP22_4x_0" localSheetId="80">'411'!$P$48</definedName>
    <definedName name="OSRRefP22_4x_0" localSheetId="81">'412'!$P$51</definedName>
    <definedName name="OSRRefP22_4x_0" localSheetId="82">'413'!$P$52</definedName>
    <definedName name="OSRRefP22_4x_0" localSheetId="83">'414'!$P$52</definedName>
    <definedName name="OSRRefP22_4x_0" localSheetId="84">'415'!$P$51</definedName>
    <definedName name="OSRRefP22_4x_0" localSheetId="85">'418'!$P$52</definedName>
    <definedName name="OSRRefP22_4x_0" localSheetId="87">'423'!$P$46</definedName>
    <definedName name="OSRRefP22_4x_0" localSheetId="88">'424'!$P$50</definedName>
    <definedName name="OSRRefP22_4x_0" localSheetId="89">'425'!$P$52</definedName>
    <definedName name="OSRRefP22_4x_0" localSheetId="92">'430'!$P$45</definedName>
    <definedName name="OSRRefP22_4x_0" localSheetId="93">'433'!$P$53</definedName>
    <definedName name="OSRRefP22_4x_0" localSheetId="94">'435'!$P$50</definedName>
    <definedName name="OSRRefP22_4x_0" localSheetId="95">'444'!$P$53</definedName>
    <definedName name="OSRRefP22_4x_0" localSheetId="97">'450'!$P$53</definedName>
    <definedName name="OSRRefP22_4x_0" localSheetId="77">'491'!$P$60</definedName>
    <definedName name="OSRRefP22_4x_0" localSheetId="91">'492'!$P$56</definedName>
    <definedName name="OSRRefP22_4x_0" localSheetId="99">'501'!$P$46</definedName>
    <definedName name="OSRRefP22_4x_0" localSheetId="39">'Div 2'!$P$47</definedName>
    <definedName name="OSRRefP22_4x_0" localSheetId="47">'Div 3'!$P$181</definedName>
    <definedName name="OSRRefP22_4x_0" localSheetId="75">'Div 4'!$P$62</definedName>
    <definedName name="OSRRefP22_4x_0" localSheetId="98">'Div 5'!$P$46</definedName>
    <definedName name="OSRRefP22_4x_0" localSheetId="63">'Div 6'!$P$82</definedName>
    <definedName name="OSRRefP22_4x_0" localSheetId="2">Summary!$P$211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'204'!$P$48</definedName>
    <definedName name="OSRRefP22_5x_0" localSheetId="45">'205'!$P$47</definedName>
    <definedName name="OSRRefP22_5x_0" localSheetId="46">'206'!$P$47</definedName>
    <definedName name="OSRRefP22_5x_0" localSheetId="48">'300'!$P$177:$P$179</definedName>
    <definedName name="OSRRefP22_5x_0" localSheetId="49">'300 &amp; 317'!$P$200:$P$202</definedName>
    <definedName name="OSRRefP22_5x_0" localSheetId="50">'301'!$P$47:$P$49</definedName>
    <definedName name="OSRRefP22_5x_0" localSheetId="51">'306'!$P$47</definedName>
    <definedName name="OSRRefP22_5x_0" localSheetId="53">'307'!$P$88</definedName>
    <definedName name="OSRRefP22_5x_0" localSheetId="55">'308'!$P$86</definedName>
    <definedName name="OSRRefP22_5x_0" localSheetId="66">'309'!$P$53</definedName>
    <definedName name="OSRRefP22_5x_0" localSheetId="65">'310'!$P$60:$P$61</definedName>
    <definedName name="OSRRefP22_5x_0" localSheetId="76">'310 &amp; 491'!$P$68:$P$71</definedName>
    <definedName name="OSRRefP22_5x_0" localSheetId="56">'311'!$P$86</definedName>
    <definedName name="OSRRefP22_5x_0" localSheetId="67">'313'!$P$56</definedName>
    <definedName name="OSRRefP22_5x_0" localSheetId="54">'314'!$P$83</definedName>
    <definedName name="OSRRefP22_5x_0" localSheetId="59">'315'!$P$81</definedName>
    <definedName name="OSRRefP22_5x_0" localSheetId="61">'316'!$P$60</definedName>
    <definedName name="OSRRefP22_5x_0" localSheetId="64">'317'!$P$84</definedName>
    <definedName name="OSRRefP22_5x_0" localSheetId="62">'320'!$P$55</definedName>
    <definedName name="OSRRefP22_5x_0" localSheetId="68">'321'!$P$52</definedName>
    <definedName name="OSRRefP22_5x_0" localSheetId="69">'322'!$P$53</definedName>
    <definedName name="OSRRefP22_5x_0" localSheetId="72">'325'!$P$53:$P$54</definedName>
    <definedName name="OSRRefP22_5x_0" localSheetId="73">'326'!$P$79</definedName>
    <definedName name="OSRRefP22_5x_0" localSheetId="52">'330'!$P$102</definedName>
    <definedName name="OSRRefP22_5x_0" localSheetId="58">'331'!$P$93</definedName>
    <definedName name="OSRRefP22_5x_0" localSheetId="60">'332'!$P$68</definedName>
    <definedName name="OSRRefP22_5x_0" localSheetId="78">'405'!$P$53:$P$54</definedName>
    <definedName name="OSRRefP22_5x_0" localSheetId="79">'406'!$P$54</definedName>
    <definedName name="OSRRefP22_5x_0" localSheetId="80">'411'!$P$50</definedName>
    <definedName name="OSRRefP22_5x_0" localSheetId="81">'412'!$P$53</definedName>
    <definedName name="OSRRefP22_5x_0" localSheetId="82">'413'!$P$54</definedName>
    <definedName name="OSRRefP22_5x_0" localSheetId="83">'414'!$P$54:$P$55</definedName>
    <definedName name="OSRRefP22_5x_0" localSheetId="84">'415'!$P$53:$P$54</definedName>
    <definedName name="OSRRefP22_5x_0" localSheetId="85">'418'!$P$54:$P$56</definedName>
    <definedName name="OSRRefP22_5x_0" localSheetId="87">'423'!$P$48</definedName>
    <definedName name="OSRRefP22_5x_0" localSheetId="88">'424'!$P$52</definedName>
    <definedName name="OSRRefP22_5x_0" localSheetId="89">'425'!$P$54</definedName>
    <definedName name="OSRRefP22_5x_0" localSheetId="92">'430'!$P$47</definedName>
    <definedName name="OSRRefP22_5x_0" localSheetId="93">'433'!$P$55</definedName>
    <definedName name="OSRRefP22_5x_0" localSheetId="94">'435'!$P$52</definedName>
    <definedName name="OSRRefP22_5x_0" localSheetId="95">'444'!$P$55</definedName>
    <definedName name="OSRRefP22_5x_0" localSheetId="97">'450'!$P$55</definedName>
    <definedName name="OSRRefP22_5x_0" localSheetId="77">'491'!$P$62:$P$65</definedName>
    <definedName name="OSRRefP22_5x_0" localSheetId="91">'492'!$P$58:$P$59</definedName>
    <definedName name="OSRRefP22_5x_0" localSheetId="99">'501'!$P$48</definedName>
    <definedName name="OSRRefP22_5x_0" localSheetId="39">'Div 2'!$P$49</definedName>
    <definedName name="OSRRefP22_5x_0" localSheetId="47">'Div 3'!$P$183:$P$185</definedName>
    <definedName name="OSRRefP22_5x_0" localSheetId="75">'Div 4'!$P$64:$P$67</definedName>
    <definedName name="OSRRefP22_5x_0" localSheetId="98">'Div 5'!$P$48</definedName>
    <definedName name="OSRRefP22_5x_0" localSheetId="63">'Div 6'!$P$84</definedName>
    <definedName name="OSRRefP22_5x_0" localSheetId="2">Summary!$P$213:$P$216</definedName>
    <definedName name="OSRRefP22_6x_0" localSheetId="41">'201'!$P$49</definedName>
    <definedName name="OSRRefP22_6x_0" localSheetId="42">'202'!$P$49</definedName>
    <definedName name="OSRRefP22_6x_0" localSheetId="43">'203'!$P$50</definedName>
    <definedName name="OSRRefP22_6x_0" localSheetId="44">'204'!$P$50:$P$53</definedName>
    <definedName name="OSRRefP22_6x_0" localSheetId="45">'205'!$P$49</definedName>
    <definedName name="OSRRefP22_6x_0" localSheetId="46">'206'!$P$49:$P$50</definedName>
    <definedName name="OSRRefP22_6x_0" localSheetId="48">'300'!$P$181:$P$182</definedName>
    <definedName name="OSRRefP22_6x_0" localSheetId="49">'300 &amp; 317'!$P$204:$P$205</definedName>
    <definedName name="OSRRefP22_6x_0" localSheetId="50">'301'!$P$51:$P$52</definedName>
    <definedName name="OSRRefP22_6x_0" localSheetId="51">'306'!$P$49</definedName>
    <definedName name="OSRRefP22_6x_0" localSheetId="53">'307'!$P$90</definedName>
    <definedName name="OSRRefP22_6x_0" localSheetId="55">'308'!$P$88</definedName>
    <definedName name="OSRRefP22_6x_0" localSheetId="66">'309'!$P$55</definedName>
    <definedName name="OSRRefP22_6x_0" localSheetId="65">'310'!$P$63</definedName>
    <definedName name="OSRRefP22_6x_0" localSheetId="76">'310 &amp; 491'!$P$73</definedName>
    <definedName name="OSRRefP22_6x_0" localSheetId="56">'311'!$P$88</definedName>
    <definedName name="OSRRefP22_6x_0" localSheetId="67">'313'!$P$58</definedName>
    <definedName name="OSRRefP22_6x_0" localSheetId="54">'314'!$P$85</definedName>
    <definedName name="OSRRefP22_6x_0" localSheetId="59">'315'!$P$83</definedName>
    <definedName name="OSRRefP22_6x_0" localSheetId="61">'316'!$P$62</definedName>
    <definedName name="OSRRefP22_6x_0" localSheetId="64">'317'!$P$86</definedName>
    <definedName name="OSRRefP22_6x_0" localSheetId="62">'320'!$P$57:$P$58</definedName>
    <definedName name="OSRRefP22_6x_0" localSheetId="68">'321'!$P$54</definedName>
    <definedName name="OSRRefP22_6x_0" localSheetId="69">'322'!$P$55</definedName>
    <definedName name="OSRRefP22_6x_0" localSheetId="72">'325'!$P$56</definedName>
    <definedName name="OSRRefP22_6x_0" localSheetId="73">'326'!$P$81</definedName>
    <definedName name="OSRRefP22_6x_0" localSheetId="52">'330'!$P$104</definedName>
    <definedName name="OSRRefP22_6x_0" localSheetId="58">'331'!$P$95</definedName>
    <definedName name="OSRRefP22_6x_0" localSheetId="60">'332'!$P$70</definedName>
    <definedName name="OSRRefP22_6x_0" localSheetId="78">'405'!$P$56</definedName>
    <definedName name="OSRRefP22_6x_0" localSheetId="79">'406'!$P$56</definedName>
    <definedName name="OSRRefP22_6x_0" localSheetId="80">'411'!$P$52</definedName>
    <definedName name="OSRRefP22_6x_0" localSheetId="81">'412'!$P$55</definedName>
    <definedName name="OSRRefP22_6x_0" localSheetId="82">'413'!$P$56</definedName>
    <definedName name="OSRRefP22_6x_0" localSheetId="83">'414'!$P$57</definedName>
    <definedName name="OSRRefP22_6x_0" localSheetId="84">'415'!$P$56</definedName>
    <definedName name="OSRRefP22_6x_0" localSheetId="85">'418'!$P$58</definedName>
    <definedName name="OSRRefP22_6x_0" localSheetId="88">'424'!$P$54</definedName>
    <definedName name="OSRRefP22_6x_0" localSheetId="89">'425'!$P$56</definedName>
    <definedName name="OSRRefP22_6x_0" localSheetId="92">'430'!$P$49</definedName>
    <definedName name="OSRRefP22_6x_0" localSheetId="93">'433'!$P$57</definedName>
    <definedName name="OSRRefP22_6x_0" localSheetId="94">'435'!$P$54:$P$55</definedName>
    <definedName name="OSRRefP22_6x_0" localSheetId="95">'444'!$P$57</definedName>
    <definedName name="OSRRefP22_6x_0" localSheetId="97">'450'!$P$57</definedName>
    <definedName name="OSRRefP22_6x_0" localSheetId="77">'491'!$P$67</definedName>
    <definedName name="OSRRefP22_6x_0" localSheetId="91">'492'!$P$61</definedName>
    <definedName name="OSRRefP22_6x_0" localSheetId="99">'501'!$P$50</definedName>
    <definedName name="OSRRefP22_6x_0" localSheetId="39">'Div 2'!$P$51</definedName>
    <definedName name="OSRRefP22_6x_0" localSheetId="47">'Div 3'!$P$187:$P$188</definedName>
    <definedName name="OSRRefP22_6x_0" localSheetId="75">'Div 4'!$P$69:$P$70</definedName>
    <definedName name="OSRRefP22_6x_0" localSheetId="98">'Div 5'!$P$50</definedName>
    <definedName name="OSRRefP22_6x_0" localSheetId="63">'Div 6'!$P$86</definedName>
    <definedName name="OSRRefP22_6x_0" localSheetId="2">Summary!$P$218:$P$219</definedName>
    <definedName name="OSRRefP22_7x_0" localSheetId="41">'201'!$P$51</definedName>
    <definedName name="OSRRefP22_7x_0" localSheetId="42">'202'!$P$51</definedName>
    <definedName name="OSRRefP22_7x_0" localSheetId="43">'203'!$P$52</definedName>
    <definedName name="OSRRefP22_7x_0" localSheetId="44">'204'!$P$55</definedName>
    <definedName name="OSRRefP22_7x_0" localSheetId="45">'205'!$P$51:$P$52</definedName>
    <definedName name="OSRRefP22_7x_0" localSheetId="46">'206'!$P$52</definedName>
    <definedName name="OSRRefP22_7x_0" localSheetId="48">'300'!$P$184:$P$185</definedName>
    <definedName name="OSRRefP22_7x_0" localSheetId="49">'300 &amp; 317'!$P$207:$P$208</definedName>
    <definedName name="OSRRefP22_7x_0" localSheetId="50">'301'!$P$54:$P$55</definedName>
    <definedName name="OSRRefP22_7x_0" localSheetId="51">'306'!$P$51:$P$53</definedName>
    <definedName name="OSRRefP22_7x_0" localSheetId="53">'307'!$P$92</definedName>
    <definedName name="OSRRefP22_7x_0" localSheetId="55">'308'!$P$90</definedName>
    <definedName name="OSRRefP22_7x_0" localSheetId="66">'309'!$P$57</definedName>
    <definedName name="OSRRefP22_7x_0" localSheetId="65">'310'!$P$65</definedName>
    <definedName name="OSRRefP22_7x_0" localSheetId="76">'310 &amp; 491'!$P$75</definedName>
    <definedName name="OSRRefP22_7x_0" localSheetId="56">'311'!$P$90</definedName>
    <definedName name="OSRRefP22_7x_0" localSheetId="67">'313'!$P$60</definedName>
    <definedName name="OSRRefP22_7x_0" localSheetId="59">'315'!$P$85</definedName>
    <definedName name="OSRRefP22_7x_0" localSheetId="61">'316'!$P$64</definedName>
    <definedName name="OSRRefP22_7x_0" localSheetId="64">'317'!$P$88</definedName>
    <definedName name="OSRRefP22_7x_0" localSheetId="62">'320'!$P$60</definedName>
    <definedName name="OSRRefP22_7x_0" localSheetId="68">'321'!$P$56</definedName>
    <definedName name="OSRRefP22_7x_0" localSheetId="69">'322'!$P$57</definedName>
    <definedName name="OSRRefP22_7x_0" localSheetId="72">'325'!$P$58</definedName>
    <definedName name="OSRRefP22_7x_0" localSheetId="73">'326'!$P$83</definedName>
    <definedName name="OSRRefP22_7x_0" localSheetId="52">'330'!$P$106</definedName>
    <definedName name="OSRRefP22_7x_0" localSheetId="58">'331'!$P$97</definedName>
    <definedName name="OSRRefP22_7x_0" localSheetId="60">'332'!$P$72:$P$73</definedName>
    <definedName name="OSRRefP22_7x_0" localSheetId="78">'405'!$P$58</definedName>
    <definedName name="OSRRefP22_7x_0" localSheetId="79">'406'!$P$58</definedName>
    <definedName name="OSRRefP22_7x_0" localSheetId="80">'411'!$P$54</definedName>
    <definedName name="OSRRefP22_7x_0" localSheetId="81">'412'!$P$57</definedName>
    <definedName name="OSRRefP22_7x_0" localSheetId="82">'413'!$P$58</definedName>
    <definedName name="OSRRefP22_7x_0" localSheetId="83">'414'!$P$59</definedName>
    <definedName name="OSRRefP22_7x_0" localSheetId="84">'415'!$P$58</definedName>
    <definedName name="OSRRefP22_7x_0" localSheetId="85">'418'!$P$60</definedName>
    <definedName name="OSRRefP22_7x_0" localSheetId="88">'424'!$P$56</definedName>
    <definedName name="OSRRefP22_7x_0" localSheetId="89">'425'!$P$58</definedName>
    <definedName name="OSRRefP22_7x_0" localSheetId="92">'430'!$P$51:$P$53</definedName>
    <definedName name="OSRRefP22_7x_0" localSheetId="93">'433'!$P$59</definedName>
    <definedName name="OSRRefP22_7x_0" localSheetId="94">'435'!$P$57</definedName>
    <definedName name="OSRRefP22_7x_0" localSheetId="95">'444'!$P$59</definedName>
    <definedName name="OSRRefP22_7x_0" localSheetId="97">'450'!$P$59</definedName>
    <definedName name="OSRRefP22_7x_0" localSheetId="77">'491'!$P$69</definedName>
    <definedName name="OSRRefP22_7x_0" localSheetId="91">'492'!$P$63</definedName>
    <definedName name="OSRRefP22_7x_0" localSheetId="99">'501'!$P$52</definedName>
    <definedName name="OSRRefP22_7x_0" localSheetId="39">'Div 2'!$P$53</definedName>
    <definedName name="OSRRefP22_7x_0" localSheetId="47">'Div 3'!$P$190:$P$191</definedName>
    <definedName name="OSRRefP22_7x_0" localSheetId="75">'Div 4'!$P$72</definedName>
    <definedName name="OSRRefP22_7x_0" localSheetId="98">'Div 5'!$P$52</definedName>
    <definedName name="OSRRefP22_7x_0" localSheetId="63">'Div 6'!$P$88</definedName>
    <definedName name="OSRRefP22_7x_0" localSheetId="2">Summary!$P$221:$P$223</definedName>
    <definedName name="OSRRefP22_8x_0" localSheetId="41">'201'!$P$53:$P$54</definedName>
    <definedName name="OSRRefP22_8x_0" localSheetId="42">'202'!$P$53:$P$55</definedName>
    <definedName name="OSRRefP22_8x_0" localSheetId="43">'203'!$P$54</definedName>
    <definedName name="OSRRefP22_8x_0" localSheetId="44">'204'!$P$57</definedName>
    <definedName name="OSRRefP22_8x_0" localSheetId="45">'205'!$P$54</definedName>
    <definedName name="OSRRefP22_8x_0" localSheetId="46">'206'!$P$54</definedName>
    <definedName name="OSRRefP22_8x_0" localSheetId="48">'300'!$P$187</definedName>
    <definedName name="OSRRefP22_8x_0" localSheetId="49">'300 &amp; 317'!$P$210</definedName>
    <definedName name="OSRRefP22_8x_0" localSheetId="50">'301'!$P$57</definedName>
    <definedName name="OSRRefP22_8x_0" localSheetId="51">'306'!$P$55</definedName>
    <definedName name="OSRRefP22_8x_0" localSheetId="53">'307'!$P$94</definedName>
    <definedName name="OSRRefP22_8x_0" localSheetId="55">'308'!$P$92</definedName>
    <definedName name="OSRRefP22_8x_0" localSheetId="66">'309'!$P$59</definedName>
    <definedName name="OSRRefP22_8x_0" localSheetId="65">'310'!$P$67</definedName>
    <definedName name="OSRRefP22_8x_0" localSheetId="76">'310 &amp; 491'!$P$77</definedName>
    <definedName name="OSRRefP22_8x_0" localSheetId="56">'311'!$P$92</definedName>
    <definedName name="OSRRefP22_8x_0" localSheetId="67">'313'!$P$62</definedName>
    <definedName name="OSRRefP22_8x_0" localSheetId="59">'315'!$P$87</definedName>
    <definedName name="OSRRefP22_8x_0" localSheetId="61">'316'!$P$66</definedName>
    <definedName name="OSRRefP22_8x_0" localSheetId="64">'317'!$P$90:$P$91</definedName>
    <definedName name="OSRRefP22_8x_0" localSheetId="68">'321'!$P$58</definedName>
    <definedName name="OSRRefP22_8x_0" localSheetId="69">'322'!$P$59</definedName>
    <definedName name="OSRRefP22_8x_0" localSheetId="72">'325'!$P$60</definedName>
    <definedName name="OSRRefP22_8x_0" localSheetId="73">'326'!$P$85</definedName>
    <definedName name="OSRRefP22_8x_0" localSheetId="52">'330'!$P$108</definedName>
    <definedName name="OSRRefP22_8x_0" localSheetId="58">'331'!$P$99</definedName>
    <definedName name="OSRRefP22_8x_0" localSheetId="60">'332'!$P$75</definedName>
    <definedName name="OSRRefP22_8x_0" localSheetId="78">'405'!$P$60</definedName>
    <definedName name="OSRRefP22_8x_0" localSheetId="79">'406'!$P$60:$P$61</definedName>
    <definedName name="OSRRefP22_8x_0" localSheetId="80">'411'!$P$56</definedName>
    <definedName name="OSRRefP22_8x_0" localSheetId="81">'412'!$P$59:$P$60</definedName>
    <definedName name="OSRRefP22_8x_0" localSheetId="82">'413'!$P$60</definedName>
    <definedName name="OSRRefP22_8x_0" localSheetId="83">'414'!$P$61</definedName>
    <definedName name="OSRRefP22_8x_0" localSheetId="84">'415'!$P$60</definedName>
    <definedName name="OSRRefP22_8x_0" localSheetId="85">'418'!$P$62:$P$63</definedName>
    <definedName name="OSRRefP22_8x_0" localSheetId="88">'424'!$P$58:$P$59</definedName>
    <definedName name="OSRRefP22_8x_0" localSheetId="89">'425'!$P$60</definedName>
    <definedName name="OSRRefP22_8x_0" localSheetId="92">'430'!$P$55</definedName>
    <definedName name="OSRRefP22_8x_0" localSheetId="93">'433'!$P$61</definedName>
    <definedName name="OSRRefP22_8x_0" localSheetId="95">'444'!$P$61</definedName>
    <definedName name="OSRRefP22_8x_0" localSheetId="97">'450'!$P$61</definedName>
    <definedName name="OSRRefP22_8x_0" localSheetId="77">'491'!$P$71</definedName>
    <definedName name="OSRRefP22_8x_0" localSheetId="91">'492'!$P$65</definedName>
    <definedName name="OSRRefP22_8x_0" localSheetId="99">'501'!$P$54</definedName>
    <definedName name="OSRRefP22_8x_0" localSheetId="39">'Div 2'!$P$55</definedName>
    <definedName name="OSRRefP22_8x_0" localSheetId="47">'Div 3'!$P$193</definedName>
    <definedName name="OSRRefP22_8x_0" localSheetId="75">'Div 4'!$P$74</definedName>
    <definedName name="OSRRefP22_8x_0" localSheetId="98">'Div 5'!$P$54</definedName>
    <definedName name="OSRRefP22_8x_0" localSheetId="63">'Div 6'!$P$90:$P$91</definedName>
    <definedName name="OSRRefP22_8x_0" localSheetId="2">Summary!$P$225</definedName>
    <definedName name="OSRRefP22_9x_0" localSheetId="41">'201'!$P$56:$P$57</definedName>
    <definedName name="OSRRefP22_9x_0" localSheetId="42">'202'!$P$57</definedName>
    <definedName name="OSRRefP22_9x_0" localSheetId="43">'203'!$P$56:$P$57</definedName>
    <definedName name="OSRRefP22_9x_0" localSheetId="44">'204'!$P$59:$P$60</definedName>
    <definedName name="OSRRefP22_9x_0" localSheetId="46">'206'!$P$56</definedName>
    <definedName name="OSRRefP22_9x_0" localSheetId="48">'300'!$P$189</definedName>
    <definedName name="OSRRefP22_9x_0" localSheetId="49">'300 &amp; 317'!$P$212</definedName>
    <definedName name="OSRRefP22_9x_0" localSheetId="50">'301'!$P$59</definedName>
    <definedName name="OSRRefP22_9x_0" localSheetId="53">'307'!$P$96:$P$97</definedName>
    <definedName name="OSRRefP22_9x_0" localSheetId="55">'308'!$P$94:$P$95</definedName>
    <definedName name="OSRRefP22_9x_0" localSheetId="66">'309'!$P$61:$P$62</definedName>
    <definedName name="OSRRefP22_9x_0" localSheetId="65">'310'!$P$69</definedName>
    <definedName name="OSRRefP22_9x_0" localSheetId="76">'310 &amp; 491'!$P$79</definedName>
    <definedName name="OSRRefP22_9x_0" localSheetId="56">'311'!$P$94:$P$95</definedName>
    <definedName name="OSRRefP22_9x_0" localSheetId="67">'313'!$P$64:$P$65</definedName>
    <definedName name="OSRRefP22_9x_0" localSheetId="59">'315'!$P$89</definedName>
    <definedName name="OSRRefP22_9x_0" localSheetId="61">'316'!$P$68</definedName>
    <definedName name="OSRRefP22_9x_0" localSheetId="64">'317'!$P$93:$P$94</definedName>
    <definedName name="OSRRefP22_9x_0" localSheetId="68">'321'!$P$60:$P$61</definedName>
    <definedName name="OSRRefP22_9x_0" localSheetId="69">'322'!$P$61:$P$62</definedName>
    <definedName name="OSRRefP22_9x_0" localSheetId="72">'325'!$P$62</definedName>
    <definedName name="OSRRefP22_9x_0" localSheetId="73">'326'!$P$87</definedName>
    <definedName name="OSRRefP22_9x_0" localSheetId="52">'330'!$P$110:$P$111</definedName>
    <definedName name="OSRRefP22_9x_0" localSheetId="58">'331'!$P$101</definedName>
    <definedName name="OSRRefP22_9x_0" localSheetId="60">'332'!$P$77</definedName>
    <definedName name="OSRRefP22_9x_0" localSheetId="78">'405'!$P$62</definedName>
    <definedName name="OSRRefP22_9x_0" localSheetId="79">'406'!$P$63:$P$65</definedName>
    <definedName name="OSRRefP22_9x_0" localSheetId="80">'411'!$P$58</definedName>
    <definedName name="OSRRefP22_9x_0" localSheetId="81">'412'!$P$62</definedName>
    <definedName name="OSRRefP22_9x_0" localSheetId="82">'413'!$P$62:$P$66</definedName>
    <definedName name="OSRRefP22_9x_0" localSheetId="83">'414'!$P$63</definedName>
    <definedName name="OSRRefP22_9x_0" localSheetId="84">'415'!$P$62</definedName>
    <definedName name="OSRRefP22_9x_0" localSheetId="85">'418'!$P$65</definedName>
    <definedName name="OSRRefP22_9x_0" localSheetId="88">'424'!$P$61</definedName>
    <definedName name="OSRRefP22_9x_0" localSheetId="89">'425'!$P$62</definedName>
    <definedName name="OSRRefP22_9x_0" localSheetId="92">'430'!$P$57</definedName>
    <definedName name="OSRRefP22_9x_0" localSheetId="93">'433'!$P$63</definedName>
    <definedName name="OSRRefP22_9x_0" localSheetId="95">'444'!$P$63</definedName>
    <definedName name="OSRRefP22_9x_0" localSheetId="97">'450'!$P$63</definedName>
    <definedName name="OSRRefP22_9x_0" localSheetId="77">'491'!$P$73:$P$74</definedName>
    <definedName name="OSRRefP22_9x_0" localSheetId="91">'492'!$P$67</definedName>
    <definedName name="OSRRefP22_9x_0" localSheetId="99">'501'!$P$56</definedName>
    <definedName name="OSRRefP22_9x_0" localSheetId="39">'Div 2'!$P$57</definedName>
    <definedName name="OSRRefP22_9x_0" localSheetId="47">'Div 3'!$P$195</definedName>
    <definedName name="OSRRefP22_9x_0" localSheetId="75">'Div 4'!$P$76</definedName>
    <definedName name="OSRRefP22_9x_0" localSheetId="98">'Div 5'!$P$56</definedName>
    <definedName name="OSRRefP22_9x_0" localSheetId="63">'Div 6'!$P$93:$P$94</definedName>
    <definedName name="OSRRefP22_9x_0" localSheetId="2">Summary!$P$227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'201'!$P$20:$P$28,'201'!$P$30:$P$39,'201'!$P$41,'201'!$P$43,'201'!$P$45,'201'!$P$47,'201'!$P$49,'201'!$P$51,'201'!$P$53:$P$54,'201'!$P$56:$P$57,'201'!$P$59,'201'!$P$61:$P$63,'201'!$P$65,'201'!$P$67,'201'!$P$69</definedName>
    <definedName name="OSRRefP22x_0" localSheetId="42">'202'!$P$20:$P$28,'202'!$P$30:$P$39,'202'!$P$41,'202'!$P$43,'202'!$P$45,'202'!$P$47,'202'!$P$49,'202'!$P$51,'202'!$P$53:$P$55,'202'!$P$57,'202'!$P$59,'202'!$P$61,'202'!$P$63:$P$64,'202'!$P$66,'202'!$P$68</definedName>
    <definedName name="OSRRefP22x_0" localSheetId="43">'203'!$P$20:$P$29,'203'!$P$31:$P$40,'203'!$P$42,'203'!$P$44,'203'!$P$46,'203'!$P$48,'203'!$P$50,'203'!$P$52,'203'!$P$54,'203'!$P$56:$P$57,'203'!$P$59:$P$60,'203'!$P$62,'203'!$P$64:$P$66,'203'!$P$68,'203'!$P$70,'203'!$P$72</definedName>
    <definedName name="OSRRefP22x_0" localSheetId="44">'204'!$P$20:$P$29,'204'!$P$31:$P$40,'204'!$P$42,'204'!$P$44,'204'!$P$46,'204'!$P$48,'204'!$P$50:$P$53,'204'!$P$55,'204'!$P$57,'204'!$P$59:$P$60,'204'!$P$62,'204'!$P$64:$P$65</definedName>
    <definedName name="OSRRefP22x_0" localSheetId="45">'205'!$P$20:$P$28,'205'!$P$30:$P$39,'205'!$P$41,'205'!$P$43,'205'!$P$45,'205'!$P$47,'205'!$P$49,'205'!$P$51:$P$52,'205'!$P$54</definedName>
    <definedName name="OSRRefP22x_0" localSheetId="46">'206'!$P$20:$P$28,'206'!$P$30:$P$39,'206'!$P$41,'206'!$P$43,'206'!$P$45,'206'!$P$47,'206'!$P$49:$P$50,'206'!$P$52,'206'!$P$54,'206'!$P$56</definedName>
    <definedName name="OSRRefP22x_0" localSheetId="48">'300'!$P$148:$P$157,'300'!$P$159:$P$168,'300'!$P$170,'300'!$P$172:$P$173,'300'!$P$175,'300'!$P$177:$P$179,'300'!$P$181:$P$182,'300'!$P$184:$P$185,'300'!$P$187,'300'!$P$189,'300'!$P$191:$P$192,'300'!$P$194,'300'!$P$196,'300'!$P$198,'300'!$P$200,'300'!$P$202,'300'!$P$204:$P$206,'300'!$P$208:$P$211,'300'!$P$213:$P$216,'300'!$P$218:$P$219,'300'!$P$221:$P$227,'300'!$P$229:$P$230,'300'!$P$232,'300'!$P$234:$P$236,'300'!$P$238</definedName>
    <definedName name="OSRRefP22x_0" localSheetId="49">'300 &amp; 317'!$P$171:$P$180,'300 &amp; 317'!$P$182:$P$191,'300 &amp; 317'!$P$193,'300 &amp; 317'!$P$195:$P$196,'300 &amp; 317'!$P$198,'300 &amp; 317'!$P$200:$P$202,'300 &amp; 317'!$P$204:$P$205,'300 &amp; 317'!$P$207:$P$208,'300 &amp; 317'!$P$210,'300 &amp; 317'!$P$212,'300 &amp; 317'!$P$214:$P$215,'300 &amp; 317'!$P$217,'300 &amp; 317'!$P$219,'300 &amp; 317'!$P$221,'300 &amp; 317'!$P$223,'300 &amp; 317'!$P$225,'300 &amp; 317'!$P$227:$P$229,'300 &amp; 317'!$P$231:$P$234,'300 &amp; 317'!$P$236:$P$239,'300 &amp; 317'!$P$241:$P$242,'300 &amp; 317'!$P$244:$P$250,'300 &amp; 317'!$P$252:$P$253,'300 &amp; 317'!$P$255,'300 &amp; 317'!$P$257:$P$259,'300 &amp; 317'!$P$261</definedName>
    <definedName name="OSRRefP22x_0" localSheetId="50">'301'!$P$20:$P$28,'301'!$P$30:$P$39,'301'!$P$41,'301'!$P$43,'301'!$P$45,'301'!$P$47:$P$49,'301'!$P$51:$P$52,'301'!$P$54:$P$55,'301'!$P$57,'301'!$P$59,'301'!$P$61,'301'!$P$63,'301'!$P$65,'301'!$P$67,'301'!$P$69,'301'!$P$71:$P$73,'301'!$P$75:$P$77,'301'!$P$79:$P$80,'301'!$P$82:$P$87,'301'!$P$89,'301'!$P$91,'301'!$P$93:$P$94,'301'!$P$96</definedName>
    <definedName name="OSRRefP22x_0" localSheetId="51">'306'!$P$20:$P$28,'306'!$P$30:$P$39,'306'!$P$41,'306'!$P$43,'306'!$P$45,'306'!$P$47,'306'!$P$49,'306'!$P$51:$P$53,'306'!$P$55</definedName>
    <definedName name="OSRRefP22x_0" localSheetId="53">'307'!$P$60:$P$68,'307'!$P$70:$P$79,'307'!$P$81,'307'!$P$83,'307'!$P$85:$P$86,'307'!$P$88,'307'!$P$90,'307'!$P$92,'307'!$P$94,'307'!$P$96:$P$97,'307'!$P$99,'307'!$P$101,'307'!$P$103</definedName>
    <definedName name="OSRRefP22x_0" localSheetId="55">'308'!$P$57:$P$66,'308'!$P$68:$P$77,'308'!$P$79,'308'!$P$81:$P$82,'308'!$P$84,'308'!$P$86,'308'!$P$88,'308'!$P$90,'308'!$P$92,'308'!$P$94:$P$95,'308'!$P$97,'308'!$P$99:$P$101,'308'!$P$103:$P$104,'308'!$P$106,'308'!$P$108</definedName>
    <definedName name="OSRRefP22x_0" localSheetId="66">'309'!$P$26:$P$34,'309'!$P$36:$P$45,'309'!$P$47,'309'!$P$49,'309'!$P$51,'309'!$P$53,'309'!$P$55,'309'!$P$57,'309'!$P$59,'309'!$P$61:$P$62,'309'!$P$64:$P$66,'309'!$P$68,'309'!$P$70</definedName>
    <definedName name="OSRRefP22x_0" localSheetId="65">'310'!$P$33:$P$41,'310'!$P$43:$P$52,'310'!$P$54,'310'!$P$56,'310'!$P$58,'310'!$P$60:$P$61,'310'!$P$63,'310'!$P$65,'310'!$P$67,'310'!$P$69,'310'!$P$71,'310'!$P$73,'310'!$P$75,'310'!$P$77,'310'!$P$79,'310'!$P$81:$P$82,'310'!$P$84,'310'!$P$86:$P$90,'310'!$P$92,'310'!$P$94:$P$100,'310'!$P$102,'310'!$P$104,'310'!$P$106</definedName>
    <definedName name="OSRRefP22x_0" localSheetId="76">'310 &amp; 491'!$P$40:$P$49,'310 &amp; 491'!$P$51:$P$60,'310 &amp; 491'!$P$62,'310 &amp; 491'!$P$64,'310 &amp; 491'!$P$66,'310 &amp; 491'!$P$68:$P$71,'310 &amp; 491'!$P$73,'310 &amp; 491'!$P$75,'310 &amp; 491'!$P$77,'310 &amp; 491'!$P$79,'310 &amp; 491'!$P$81,'310 &amp; 491'!$P$83:$P$84,'310 &amp; 491'!$P$86,'310 &amp; 491'!$P$88,'310 &amp; 491'!$P$90,'310 &amp; 491'!$P$92,'310 &amp; 491'!$P$94,'310 &amp; 491'!$P$96:$P$99,'310 &amp; 491'!$P$101:$P$103,'310 &amp; 491'!$P$105:$P$110,'310 &amp; 491'!$P$112,'310 &amp; 491'!$P$114:$P$123,'310 &amp; 491'!$P$125:$P$126,'310 &amp; 491'!$P$128,'310 &amp; 491'!$P$130:$P$132,'310 &amp; 491'!$P$134</definedName>
    <definedName name="OSRRefP22x_0" localSheetId="56">'311'!$P$57:$P$66,'311'!$P$68:$P$77,'311'!$P$79,'311'!$P$81:$P$82,'311'!$P$84,'311'!$P$86,'311'!$P$88,'311'!$P$90,'311'!$P$92,'311'!$P$94:$P$95,'311'!$P$97,'311'!$P$99:$P$101,'311'!$P$103:$P$104,'311'!$P$106,'311'!$P$108</definedName>
    <definedName name="OSRRefP22x_0" localSheetId="67">'313'!$P$29:$P$37,'313'!$P$39:$P$48,'313'!$P$50,'313'!$P$52,'313'!$P$54,'313'!$P$56,'313'!$P$58,'313'!$P$60,'313'!$P$62,'313'!$P$64:$P$65,'313'!$P$67,'313'!$P$69:$P$72,'313'!$P$74,'313'!$P$76</definedName>
    <definedName name="OSRRefP22x_0" localSheetId="54">'314'!$P$56:$P$63,'314'!$P$65:$P$74,'314'!$P$76,'314'!$P$78:$P$79,'314'!$P$81,'314'!$P$83,'314'!$P$85</definedName>
    <definedName name="OSRRefP22x_0" localSheetId="59">'315'!$P$54:$P$62,'315'!$P$64:$P$73,'315'!$P$75,'315'!$P$77,'315'!$P$79,'315'!$P$81,'315'!$P$83,'315'!$P$85,'315'!$P$87,'315'!$P$89,'315'!$P$91:$P$93,'315'!$P$95:$P$96,'315'!$P$98:$P$101,'315'!$P$103,'315'!$P$105,'315'!$P$107</definedName>
    <definedName name="OSRRefP22x_0" localSheetId="61">'316'!$P$33:$P$41,'316'!$P$43:$P$52,'316'!$P$54,'316'!$P$56,'316'!$P$58,'316'!$P$60,'316'!$P$62,'316'!$P$64,'316'!$P$66,'316'!$P$68,'316'!$P$70:$P$71,'316'!$P$73:$P$76,'316'!$P$78:$P$79</definedName>
    <definedName name="OSRRefP22x_0" localSheetId="64">'317'!$P$56:$P$65,'317'!$P$67:$P$76,'317'!$P$78,'317'!$P$80,'317'!$P$82,'317'!$P$84,'317'!$P$86,'317'!$P$88,'317'!$P$90:$P$91,'317'!$P$93:$P$94,'317'!$P$96</definedName>
    <definedName name="OSRRefP22x_0" localSheetId="62">'320'!$P$28:$P$35,'320'!$P$37:$P$46,'320'!$P$48,'320'!$P$50:$P$51,'320'!$P$53,'320'!$P$55,'320'!$P$57:$P$58,'320'!$P$60</definedName>
    <definedName name="OSRRefP22x_0" localSheetId="68">'321'!$P$26:$P$33,'321'!$P$35:$P$44,'321'!$P$46,'321'!$P$48,'321'!$P$50,'321'!$P$52,'321'!$P$54,'321'!$P$56,'321'!$P$58,'321'!$P$60:$P$61,'321'!$P$63,'321'!$P$65:$P$66,'321'!$P$68:$P$70,'321'!$P$72,'321'!$P$74</definedName>
    <definedName name="OSRRefP22x_0" localSheetId="69">'322'!$P$26:$P$34,'322'!$P$36:$P$45,'322'!$P$47,'322'!$P$49,'322'!$P$51,'322'!$P$53,'322'!$P$55,'322'!$P$57,'322'!$P$59,'322'!$P$61:$P$62,'322'!$P$64:$P$66,'322'!$P$68:$P$72,'322'!$P$74,'322'!$P$76</definedName>
    <definedName name="OSRRefP22x_0" localSheetId="72">'325'!$P$26:$P$34,'325'!$P$36:$P$45,'325'!$P$47,'325'!$P$49,'325'!$P$51,'325'!$P$53:$P$54,'325'!$P$56,'325'!$P$58,'325'!$P$60,'325'!$P$62,'325'!$P$64,'325'!$P$66:$P$67,'325'!$P$69:$P$72,'325'!$P$74,'325'!$P$76:$P$82,'325'!$P$84,'325'!$P$86,'325'!$P$88</definedName>
    <definedName name="OSRRefP22x_0" localSheetId="73">'326'!$P$51:$P$59,'326'!$P$61:$P$70,'326'!$P$72,'326'!$P$74:$P$75,'326'!$P$77,'326'!$P$79,'326'!$P$81,'326'!$P$83,'326'!$P$85,'326'!$P$87,'326'!$P$89,'326'!$P$91,'326'!$P$93,'326'!$P$95:$P$96,'326'!$P$98:$P$100,'326'!$P$102:$P$103,'326'!$P$105:$P$109,'326'!$P$111:$P$112,'326'!$P$114,'326'!$P$116,'326'!$P$118</definedName>
    <definedName name="OSRRefP22x_0" localSheetId="74">'327'!$P$24</definedName>
    <definedName name="OSRRefP22x_0" localSheetId="52">'330'!$P$74:$P$82,'330'!$P$84:$P$93,'330'!$P$95,'330'!$P$97,'330'!$P$99:$P$100,'330'!$P$102,'330'!$P$104,'330'!$P$106,'330'!$P$108,'330'!$P$110:$P$111,'330'!$P$113,'330'!$P$115,'330'!$P$117,'330'!$P$119</definedName>
    <definedName name="OSRRefP22x_0" localSheetId="58">'331'!$P$65:$P$73,'331'!$P$75:$P$84,'331'!$P$86,'331'!$P$88:$P$89,'331'!$P$91,'331'!$P$93,'331'!$P$95,'331'!$P$97,'331'!$P$99,'331'!$P$101,'331'!$P$103,'331'!$P$105,'331'!$P$107,'331'!$P$109,'331'!$P$111:$P$112,'331'!$P$114:$P$116,'331'!$P$118:$P$120,'331'!$P$122:$P$123,'331'!$P$125:$P$129,'331'!$P$131:$P$132,'331'!$P$134,'331'!$P$136,'331'!$P$138</definedName>
    <definedName name="OSRRefP22x_0" localSheetId="60">'332'!$P$41:$P$49,'332'!$P$51:$P$60,'332'!$P$62,'332'!$P$64,'332'!$P$66,'332'!$P$68,'332'!$P$70,'332'!$P$72:$P$73,'332'!$P$75,'332'!$P$77,'332'!$P$79,'332'!$P$81:$P$82,'332'!$P$84:$P$88,'332'!$P$90:$P$91</definedName>
    <definedName name="OSRRefP22x_0" localSheetId="78">'405'!$P$26:$P$34,'405'!$P$36:$P$45,'405'!$P$47,'405'!$P$49,'405'!$P$51,'405'!$P$53:$P$54,'405'!$P$56,'405'!$P$58,'405'!$P$60,'405'!$P$62,'405'!$P$64:$P$66,'405'!$P$68,'405'!$P$70:$P$72,'405'!$P$74,'405'!$P$76:$P$84,'405'!$P$86,'405'!$P$88,'405'!$P$90</definedName>
    <definedName name="OSRRefP22x_0" localSheetId="79">'406'!$P$27:$P$35,'406'!$P$37:$P$46,'406'!$P$48,'406'!$P$50,'406'!$P$52,'406'!$P$54,'406'!$P$56,'406'!$P$58,'406'!$P$60:$P$61,'406'!$P$63:$P$65,'406'!$P$67:$P$72,'406'!$P$74:$P$75,'406'!$P$77,'406'!$P$79</definedName>
    <definedName name="OSRRefP22x_0" localSheetId="80">'411'!$P$20:$P$29,'411'!$P$31:$P$40,'411'!$P$42,'411'!$P$44:$P$46,'411'!$P$48,'411'!$P$50,'411'!$P$52,'411'!$P$54,'411'!$P$56,'411'!$P$58,'411'!$P$60:$P$62,'411'!$P$64:$P$68,'411'!$P$70:$P$75,'411'!$P$77,'411'!$P$79,'411'!$P$81:$P$83,'411'!$P$85</definedName>
    <definedName name="OSRRefP22x_0" localSheetId="81">'412'!$P$26:$P$34,'412'!$P$36:$P$45,'412'!$P$47,'412'!$P$49,'412'!$P$51,'412'!$P$53,'412'!$P$55,'412'!$P$57,'412'!$P$59:$P$60,'412'!$P$62,'412'!$P$64:$P$65,'412'!$P$67:$P$72,'412'!$P$74,'412'!$P$76</definedName>
    <definedName name="OSRRefP22x_0" localSheetId="82">'413'!$P$27:$P$35,'413'!$P$37:$P$46,'413'!$P$48,'413'!$P$50,'413'!$P$52,'413'!$P$54,'413'!$P$56,'413'!$P$58,'413'!$P$60,'413'!$P$62:$P$66,'413'!$P$68:$P$69,'413'!$P$71</definedName>
    <definedName name="OSRRefP22x_0" localSheetId="83">'414'!$P$27:$P$35,'414'!$P$37:$P$46,'414'!$P$48,'414'!$P$50,'414'!$P$52,'414'!$P$54:$P$55,'414'!$P$57,'414'!$P$59,'414'!$P$61,'414'!$P$63,'414'!$P$65,'414'!$P$67,'414'!$P$69,'414'!$P$71:$P$77,'414'!$P$79,'414'!$P$81</definedName>
    <definedName name="OSRRefP22x_0" localSheetId="84">'415'!$P$26:$P$34,'415'!$P$36:$P$45,'415'!$P$47,'415'!$P$49,'415'!$P$51,'415'!$P$53:$P$54,'415'!$P$56,'415'!$P$58,'415'!$P$60,'415'!$P$62,'415'!$P$64,'415'!$P$66,'415'!$P$68:$P$72,'415'!$P$74,'415'!$P$76:$P$83,'415'!$P$85,'415'!$P$87:$P$88,'415'!$P$90</definedName>
    <definedName name="OSRRefP22x_0" localSheetId="85">'418'!$P$27:$P$35,'418'!$P$37:$P$46,'418'!$P$48,'418'!$P$50,'418'!$P$52,'418'!$P$54:$P$56,'418'!$P$58,'418'!$P$60,'418'!$P$62:$P$63,'418'!$P$65,'418'!$P$67:$P$69,'418'!$P$71,'418'!$P$73:$P$77,'418'!$P$79,'418'!$P$81,'418'!$P$83</definedName>
    <definedName name="OSRRefP22x_0" localSheetId="87">'423'!$P$21:$P$29,'423'!$P$31:$P$40,'423'!$P$42,'423'!$P$44,'423'!$P$46,'423'!$P$48</definedName>
    <definedName name="OSRRefP22x_0" localSheetId="88">'424'!$P$26:$P$33,'424'!$P$35:$P$44,'424'!$P$46,'424'!$P$48,'424'!$P$50,'424'!$P$52,'424'!$P$54,'424'!$P$56,'424'!$P$58:$P$59,'424'!$P$61,'424'!$P$63:$P$64,'424'!$P$66:$P$67</definedName>
    <definedName name="OSRRefP22x_0" localSheetId="89">'425'!$P$27:$P$35,'425'!$P$37:$P$46,'425'!$P$48,'425'!$P$50,'425'!$P$52,'425'!$P$54,'425'!$P$56,'425'!$P$58,'425'!$P$60,'425'!$P$62,'425'!$P$64:$P$65,'425'!$P$67:$P$68,'425'!$P$70:$P$73,'425'!$P$75:$P$76,'425'!$P$78</definedName>
    <definedName name="OSRRefP22x_0" localSheetId="92">'430'!$P$20:$P$28,'430'!$P$30:$P$39,'430'!$P$41,'430'!$P$43,'430'!$P$45,'430'!$P$47,'430'!$P$49,'430'!$P$51:$P$53,'430'!$P$55,'430'!$P$57,'430'!$P$59</definedName>
    <definedName name="OSRRefP22x_0" localSheetId="93">'433'!$P$27:$P$36,'433'!$P$38:$P$47,'433'!$P$49,'433'!$P$51,'433'!$P$53,'433'!$P$55,'433'!$P$57,'433'!$P$59,'433'!$P$61,'433'!$P$63,'433'!$P$65:$P$66,'433'!$P$68:$P$71,'433'!$P$73:$P$79,'433'!$P$81,'433'!$P$83,'433'!$P$85:$P$86</definedName>
    <definedName name="OSRRefP22x_0" localSheetId="94">'435'!$P$26:$P$33,'435'!$P$35:$P$44,'435'!$P$46,'435'!$P$48,'435'!$P$50,'435'!$P$52,'435'!$P$54:$P$55,'435'!$P$57</definedName>
    <definedName name="OSRRefP22x_0" localSheetId="95">'444'!$P$27:$P$36,'444'!$P$38:$P$47,'444'!$P$49,'444'!$P$51,'444'!$P$53,'444'!$P$55,'444'!$P$57,'444'!$P$59,'444'!$P$61,'444'!$P$63,'444'!$P$65,'444'!$P$67:$P$69,'444'!$P$71:$P$74,'444'!$P$76:$P$82,'444'!$P$84,'444'!$P$86,'444'!$P$88</definedName>
    <definedName name="OSRRefP22x_0" localSheetId="97">'450'!$P$26:$P$35,'450'!$P$37:$P$46,'450'!$P$48,'450'!$P$50:$P$51,'450'!$P$53,'450'!$P$55,'450'!$P$57,'450'!$P$59,'450'!$P$61,'450'!$P$63,'450'!$P$65,'450'!$P$67,'450'!$P$69:$P$71,'450'!$P$73:$P$78,'450'!$P$80,'450'!$P$82,'450'!$P$84:$P$85</definedName>
    <definedName name="OSRRefP22x_0" localSheetId="90">'455'!$P$20:$P$27,'455'!$P$29:$P$38</definedName>
    <definedName name="OSRRefP22x_0" localSheetId="77">'491'!$P$34:$P$43,'491'!$P$45:$P$54,'491'!$P$56,'491'!$P$58,'491'!$P$60,'491'!$P$62:$P$65,'491'!$P$67,'491'!$P$69,'491'!$P$71,'491'!$P$73:$P$74,'491'!$P$76,'491'!$P$78,'491'!$P$80,'491'!$P$82,'491'!$P$84:$P$87,'491'!$P$89:$P$91,'491'!$P$93:$P$97,'491'!$P$99,'491'!$P$101:$P$110,'491'!$P$112:$P$113,'491'!$P$115,'491'!$P$117:$P$119,'491'!$P$121</definedName>
    <definedName name="OSRRefP22x_0" localSheetId="91">'492'!$P$29:$P$38,'492'!$P$40:$P$49,'492'!$P$51,'492'!$P$53:$P$54,'492'!$P$56,'492'!$P$58:$P$59,'492'!$P$61,'492'!$P$63,'492'!$P$65,'492'!$P$67,'492'!$P$69,'492'!$P$71,'492'!$P$73:$P$75,'492'!$P$77:$P$80,'492'!$P$82:$P$90,'492'!$P$92,'492'!$P$94,'492'!$P$96:$P$97</definedName>
    <definedName name="OSRRefP22x_0" localSheetId="99">'501'!$P$21:$P$29,'501'!$P$31:$P$40,'501'!$P$42,'501'!$P$44,'501'!$P$46,'501'!$P$48,'501'!$P$50,'501'!$P$52,'501'!$P$54,'501'!$P$56,'501'!$P$58:$P$59,'501'!$P$61:$P$62,'501'!$P$64</definedName>
    <definedName name="OSRRefP22x_0" localSheetId="39">'Div 2'!$P$20:$P$30,'Div 2'!$P$32:$P$41,'Div 2'!$P$43,'Div 2'!$P$45,'Div 2'!$P$47,'Div 2'!$P$49,'Div 2'!$P$51,'Div 2'!$P$53,'Div 2'!$P$55,'Div 2'!$P$57,'Div 2'!$P$59,'Div 2'!$P$61,'Div 2'!$P$63:$P$65,'Div 2'!$P$67:$P$70,'Div 2'!$P$72:$P$75,'Div 2'!$P$77:$P$78,'Div 2'!$P$80:$P$81,'Div 2'!$P$83:$P$86,'Div 2'!$P$88:$P$89,'Div 2'!$P$91,'Div 2'!$P$93:$P$94</definedName>
    <definedName name="OSRRefP22x_0" localSheetId="47">'Div 3'!$P$154:$P$163,'Div 3'!$P$165:$P$174,'Div 3'!$P$176,'Div 3'!$P$178:$P$179,'Div 3'!$P$181,'Div 3'!$P$183:$P$185,'Div 3'!$P$187:$P$188,'Div 3'!$P$190:$P$191,'Div 3'!$P$193,'Div 3'!$P$195,'Div 3'!$P$197:$P$198,'Div 3'!$P$200,'Div 3'!$P$202,'Div 3'!$P$204,'Div 3'!$P$206,'Div 3'!$P$208,'Div 3'!$P$210,'Div 3'!$P$212,'Div 3'!$P$214:$P$216,'Div 3'!$P$218:$P$221,'Div 3'!$P$223:$P$228,'Div 3'!$P$230:$P$231,'Div 3'!$P$233:$P$240,'Div 3'!$P$242:$P$243,'Div 3'!$P$245,'Div 3'!$P$247:$P$249,'Div 3'!$P$251</definedName>
    <definedName name="OSRRefP22x_0" localSheetId="75">'Div 4'!$P$35:$P$44,'Div 4'!$P$46:$P$55,'Div 4'!$P$57,'Div 4'!$P$59:$P$60,'Div 4'!$P$62,'Div 4'!$P$64:$P$67,'Div 4'!$P$69:$P$70,'Div 4'!$P$72,'Div 4'!$P$74,'Div 4'!$P$76,'Div 4'!$P$78:$P$79,'Div 4'!$P$81,'Div 4'!$P$83,'Div 4'!$P$85,'Div 4'!$P$87,'Div 4'!$P$89,'Div 4'!$P$91:$P$94,'Div 4'!$P$96:$P$98,'Div 4'!$P$100:$P$104,'Div 4'!$P$106,'Div 4'!$P$108:$P$117,'Div 4'!$P$119:$P$120,'Div 4'!$P$122,'Div 4'!$P$124:$P$126,'Div 4'!$P$128</definedName>
    <definedName name="OSRRefP22x_0" localSheetId="98">'Div 5'!$P$21:$P$29,'Div 5'!$P$31:$P$40,'Div 5'!$P$42,'Div 5'!$P$44,'Div 5'!$P$46,'Div 5'!$P$48,'Div 5'!$P$50,'Div 5'!$P$52,'Div 5'!$P$54,'Div 5'!$P$56,'Div 5'!$P$58:$P$59,'Div 5'!$P$61:$P$62,'Div 5'!$P$64</definedName>
    <definedName name="OSRRefP22x_0" localSheetId="63">'Div 6'!$P$56:$P$65,'Div 6'!$P$67:$P$76,'Div 6'!$P$78,'Div 6'!$P$80,'Div 6'!$P$82,'Div 6'!$P$84,'Div 6'!$P$86,'Div 6'!$P$88,'Div 6'!$P$90:$P$91,'Div 6'!$P$93:$P$94,'Div 6'!$P$96</definedName>
    <definedName name="OSRRefP22x_0" localSheetId="2">Summary!$P$184:$P$193,Summary!$P$195:$P$204,Summary!$P$206,Summary!$P$208:$P$209,Summary!$P$211,Summary!$P$213:$P$216,Summary!$P$218:$P$219,Summary!$P$221:$P$223,Summary!$P$225,Summary!$P$227,Summary!$P$229:$P$230,Summary!$P$232:$P$233,Summary!$P$235,Summary!$P$237,Summary!$P$239,Summary!$P$241,Summary!$P$243,Summary!$P$245,Summary!$P$247:$P$250,Summary!$P$252:$P$255,Summary!$P$257:$P$262,Summary!$P$264:$P$265,Summary!$P$267:$P$276,Summary!$P$278:$P$279,Summary!$P$281,Summary!$P$283:$P$285,Summary!$P$287</definedName>
    <definedName name="OSRRefP25x_0" localSheetId="48">'300'!$P$241:$P$247</definedName>
    <definedName name="OSRRefP25x_0" localSheetId="49">'300 &amp; 317'!$P$264:$P$272</definedName>
    <definedName name="OSRRefP25x_0" localSheetId="50">'301'!$P$99:$P$101</definedName>
    <definedName name="OSRRefP25x_0" localSheetId="55">'308'!$P$111:$P$113</definedName>
    <definedName name="OSRRefP25x_0" localSheetId="76">'310 &amp; 491'!$P$137:$P$140</definedName>
    <definedName name="OSRRefP25x_0" localSheetId="56">'311'!$P$111:$P$113</definedName>
    <definedName name="OSRRefP25x_0" localSheetId="59">'315'!$P$110:$P$112</definedName>
    <definedName name="OSRRefP25x_0" localSheetId="61">'316'!$P$82:$P$83</definedName>
    <definedName name="OSRRefP25x_0" localSheetId="64">'317'!$P$99:$P$101</definedName>
    <definedName name="OSRRefP25x_0" localSheetId="62">'320'!$P$63:$P$66</definedName>
    <definedName name="OSRRefP25x_0" localSheetId="58">'331'!$P$141:$P$143</definedName>
    <definedName name="OSRRefP25x_0" localSheetId="60">'332'!$P$94:$P$99</definedName>
    <definedName name="OSRRefP25x_0" localSheetId="80">'411'!$P$88:$P$89</definedName>
    <definedName name="OSRRefP25x_0" localSheetId="82">'413'!$P$74</definedName>
    <definedName name="OSRRefP25x_0" localSheetId="87">'423'!$P$51</definedName>
    <definedName name="OSRRefP25x_0" localSheetId="88">'424'!$P$70</definedName>
    <definedName name="OSRRefP25x_0" localSheetId="89">'425'!$P$81</definedName>
    <definedName name="OSRRefP25x_0" localSheetId="90">'455'!$P$41:$P$44</definedName>
    <definedName name="OSRRefP25x_0" localSheetId="77">'491'!$P$124:$P$127</definedName>
    <definedName name="OSRRefP25x_0" localSheetId="99">'501'!$P$67</definedName>
    <definedName name="OSRRefP25x_0" localSheetId="47">'Div 3'!$P$254:$P$260</definedName>
    <definedName name="OSRRefP25x_0" localSheetId="75">'Div 4'!$P$131:$P$134</definedName>
    <definedName name="OSRRefP25x_0" localSheetId="98">'Div 5'!$P$67</definedName>
    <definedName name="OSRRefP25x_0" localSheetId="63">'Div 6'!$P$99:$P$101</definedName>
    <definedName name="OSRRefP25x_0" localSheetId="2">Summary!$P$290:$P$299</definedName>
    <definedName name="OSRRefT13x_0" localSheetId="48">'300'!$T$13:$T$92</definedName>
    <definedName name="OSRRefT13x_0" localSheetId="49">'300 &amp; 317'!$T$13:$T$110</definedName>
    <definedName name="OSRRefT13x_0" localSheetId="53">'307'!$T$13:$T$35</definedName>
    <definedName name="OSRRefT13x_0" localSheetId="55">'308'!$T$13:$T$35</definedName>
    <definedName name="OSRRefT13x_0" localSheetId="66">'309'!$T$13:$T$15</definedName>
    <definedName name="OSRRefT13x_0" localSheetId="65">'310'!$T$13:$T$22</definedName>
    <definedName name="OSRRefT13x_0" localSheetId="76">'310 &amp; 491'!$T$13:$T$29</definedName>
    <definedName name="OSRRefT13x_0" localSheetId="56">'311'!$T$13:$T$35</definedName>
    <definedName name="OSRRefT13x_0" localSheetId="67">'313'!$T$13:$T$18</definedName>
    <definedName name="OSRRefT13x_0" localSheetId="54">'314'!$T$13:$T$33</definedName>
    <definedName name="OSRRefT13x_0" localSheetId="59">'315'!$T$13:$T$31</definedName>
    <definedName name="OSRRefT13x_0" localSheetId="61">'316'!$T$13:$T$25</definedName>
    <definedName name="OSRRefT13x_0" localSheetId="64">'317'!$T$13:$T$36</definedName>
    <definedName name="OSRRefT13x_0" localSheetId="62">'320'!$T$13:$T$15</definedName>
    <definedName name="OSRRefT13x_0" localSheetId="68">'321'!$T$13:$T$15</definedName>
    <definedName name="OSRRefT13x_0" localSheetId="69">'322'!$T$13:$T$15</definedName>
    <definedName name="OSRRefT13x_0" localSheetId="71">'324'!$T$13:$T$15</definedName>
    <definedName name="OSRRefT13x_0" localSheetId="72">'325'!$T$13:$T$15</definedName>
    <definedName name="OSRRefT13x_0" localSheetId="73">'326'!$T$13:$T$30</definedName>
    <definedName name="OSRRefT13x_0" localSheetId="74">'327'!$T$13:$T$14</definedName>
    <definedName name="OSRRefT13x_0" localSheetId="52">'330'!$T$13:$T$44</definedName>
    <definedName name="OSRRefT13x_0" localSheetId="58">'331'!$T$13:$T$37</definedName>
    <definedName name="OSRRefT13x_0" localSheetId="60">'332'!$T$13:$T$28</definedName>
    <definedName name="OSRRefT13x_0" localSheetId="78">'405'!$T$13:$T$15</definedName>
    <definedName name="OSRRefT13x_0" localSheetId="79">'406'!$T$13:$T$16</definedName>
    <definedName name="OSRRefT13x_0" localSheetId="81">'412'!$T$13:$T$16</definedName>
    <definedName name="OSRRefT13x_0" localSheetId="82">'413'!$T$13:$T$16</definedName>
    <definedName name="OSRRefT13x_0" localSheetId="83">'414'!$T$13:$T$16</definedName>
    <definedName name="OSRRefT13x_0" localSheetId="84">'415'!$T$13:$T$15</definedName>
    <definedName name="OSRRefT13x_0" localSheetId="85">'418'!$T$13:$T$16</definedName>
    <definedName name="OSRRefT13x_0" localSheetId="88">'424'!$T$13:$T$15</definedName>
    <definedName name="OSRRefT13x_0" localSheetId="89">'425'!$T$13:$T$16</definedName>
    <definedName name="OSRRefT13x_0" localSheetId="93">'433'!$T$13:$T$16</definedName>
    <definedName name="OSRRefT13x_0" localSheetId="94">'435'!$T$13:$T$15</definedName>
    <definedName name="OSRRefT13x_0" localSheetId="95">'444'!$T$13:$T$16</definedName>
    <definedName name="OSRRefT13x_0" localSheetId="97">'450'!$T$13:$T$15</definedName>
    <definedName name="OSRRefT13x_0" localSheetId="77">'491'!$T$13:$T$23</definedName>
    <definedName name="OSRRefT13x_0" localSheetId="91">'492'!$T$13:$T$18</definedName>
    <definedName name="OSRRefT13x_0" localSheetId="99">'501'!$T$13</definedName>
    <definedName name="OSRRefT13x_0" localSheetId="47">'Div 3'!$T$13:$T$96</definedName>
    <definedName name="OSRRefT13x_0" localSheetId="75">'Div 4'!$T$13:$T$24</definedName>
    <definedName name="OSRRefT13x_0" localSheetId="98">'Div 5'!$T$13</definedName>
    <definedName name="OSRRefT13x_0" localSheetId="63">'Div 6'!$T$13:$T$36</definedName>
    <definedName name="OSRRefT13x_0" localSheetId="2">Summary!$T$13:$T$121</definedName>
    <definedName name="OSRRefT16x_0" localSheetId="48">'300'!$T$95:$T$142</definedName>
    <definedName name="OSRRefT16x_0" localSheetId="49">'300 &amp; 317'!$T$113:$T$165</definedName>
    <definedName name="OSRRefT16x_0" localSheetId="53">'307'!$T$38:$T$54</definedName>
    <definedName name="OSRRefT16x_0" localSheetId="55">'308'!$T$38:$T$51</definedName>
    <definedName name="OSRRefT16x_0" localSheetId="66">'309'!$T$18:$T$20</definedName>
    <definedName name="OSRRefT16x_0" localSheetId="65">'310'!$T$25:$T$27</definedName>
    <definedName name="OSRRefT16x_0" localSheetId="76">'310 &amp; 491'!$T$32:$T$34</definedName>
    <definedName name="OSRRefT16x_0" localSheetId="56">'311'!$T$38:$T$51</definedName>
    <definedName name="OSRRefT16x_0" localSheetId="67">'313'!$T$21:$T$23</definedName>
    <definedName name="OSRRefT16x_0" localSheetId="54">'314'!$T$36:$T$50</definedName>
    <definedName name="OSRRefT16x_0" localSheetId="59">'315'!$T$34:$T$48</definedName>
    <definedName name="OSRRefT16x_0" localSheetId="64">'317'!$T$39:$T$50</definedName>
    <definedName name="OSRRefT16x_0" localSheetId="62">'320'!$T$18:$T$22</definedName>
    <definedName name="OSRRefT16x_0" localSheetId="68">'321'!$T$18:$T$20</definedName>
    <definedName name="OSRRefT16x_0" localSheetId="69">'322'!$T$18:$T$20</definedName>
    <definedName name="OSRRefT16x_0" localSheetId="71">'324'!$T$18:$T$20</definedName>
    <definedName name="OSRRefT16x_0" localSheetId="72">'325'!$T$18:$T$20</definedName>
    <definedName name="OSRRefT16x_0" localSheetId="73">'326'!$T$33:$T$45</definedName>
    <definedName name="OSRRefT16x_0" localSheetId="74">'327'!$T$17:$T$18</definedName>
    <definedName name="OSRRefT16x_0" localSheetId="52">'330'!$T$47:$T$68</definedName>
    <definedName name="OSRRefT16x_0" localSheetId="58">'331'!$T$40:$T$59</definedName>
    <definedName name="OSRRefT16x_0" localSheetId="60">'332'!$T$31:$T$35</definedName>
    <definedName name="OSRRefT16x_0" localSheetId="78">'405'!$T$18:$T$20</definedName>
    <definedName name="OSRRefT16x_0" localSheetId="79">'406'!$T$19:$T$21</definedName>
    <definedName name="OSRRefT16x_0" localSheetId="81">'412'!$T$19:$T$20</definedName>
    <definedName name="OSRRefT16x_0" localSheetId="82">'413'!$T$19:$T$21</definedName>
    <definedName name="OSRRefT16x_0" localSheetId="83">'414'!$T$19:$T$21</definedName>
    <definedName name="OSRRefT16x_0" localSheetId="84">'415'!$T$18:$T$20</definedName>
    <definedName name="OSRRefT16x_0" localSheetId="85">'418'!$T$19:$T$21</definedName>
    <definedName name="OSRRefT16x_0" localSheetId="87">'423'!$T$15</definedName>
    <definedName name="OSRRefT16x_0" localSheetId="88">'424'!$T$18:$T$20</definedName>
    <definedName name="OSRRefT16x_0" localSheetId="89">'425'!$T$19:$T$21</definedName>
    <definedName name="OSRRefT16x_0" localSheetId="93">'433'!$T$19:$T$21</definedName>
    <definedName name="OSRRefT16x_0" localSheetId="94">'435'!$T$18:$T$20</definedName>
    <definedName name="OSRRefT16x_0" localSheetId="95">'444'!$T$19:$T$21</definedName>
    <definedName name="OSRRefT16x_0" localSheetId="97">'450'!$T$18:$T$20</definedName>
    <definedName name="OSRRefT16x_0" localSheetId="77">'491'!$T$26:$T$28</definedName>
    <definedName name="OSRRefT16x_0" localSheetId="91">'492'!$T$21:$T$23</definedName>
    <definedName name="OSRRefT16x_0" localSheetId="47">'Div 3'!$T$99:$T$148</definedName>
    <definedName name="OSRRefT16x_0" localSheetId="75">'Div 4'!$T$27:$T$29</definedName>
    <definedName name="OSRRefT16x_0" localSheetId="63">'Div 6'!$T$39:$T$50</definedName>
    <definedName name="OSRRefT16x_0" localSheetId="2">Summary!$T$124:$T$178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'300'!$T$148:$T$157</definedName>
    <definedName name="OSRRefT22_0x_0" localSheetId="49">'300 &amp; 317'!$T$171:$T$180</definedName>
    <definedName name="OSRRefT22_0x_0" localSheetId="50">'301'!$T$20:$T$28</definedName>
    <definedName name="OSRRefT22_0x_0" localSheetId="51">'306'!$T$20:$T$28</definedName>
    <definedName name="OSRRefT22_0x_0" localSheetId="53">'307'!$T$60:$T$68</definedName>
    <definedName name="OSRRefT22_0x_0" localSheetId="55">'308'!$T$57:$T$66</definedName>
    <definedName name="OSRRefT22_0x_0" localSheetId="66">'309'!$T$26:$T$34</definedName>
    <definedName name="OSRRefT22_0x_0" localSheetId="65">'310'!$T$33:$T$41</definedName>
    <definedName name="OSRRefT22_0x_0" localSheetId="76">'310 &amp; 491'!$T$40:$T$49</definedName>
    <definedName name="OSRRefT22_0x_0" localSheetId="56">'311'!$T$57:$T$66</definedName>
    <definedName name="OSRRefT22_0x_0" localSheetId="67">'313'!$T$29:$T$37</definedName>
    <definedName name="OSRRefT22_0x_0" localSheetId="54">'314'!$T$56:$T$63</definedName>
    <definedName name="OSRRefT22_0x_0" localSheetId="59">'315'!$T$54:$T$62</definedName>
    <definedName name="OSRRefT22_0x_0" localSheetId="61">'316'!$T$33:$T$41</definedName>
    <definedName name="OSRRefT22_0x_0" localSheetId="64">'317'!$T$56:$T$65</definedName>
    <definedName name="OSRRefT22_0x_0" localSheetId="62">'320'!$T$28:$T$35</definedName>
    <definedName name="OSRRefT22_0x_0" localSheetId="68">'321'!$T$26:$T$33</definedName>
    <definedName name="OSRRefT22_0x_0" localSheetId="69">'322'!$T$26:$T$34</definedName>
    <definedName name="OSRRefT22_0x_0" localSheetId="72">'325'!$T$26:$T$34</definedName>
    <definedName name="OSRRefT22_0x_0" localSheetId="73">'326'!$T$51:$T$59</definedName>
    <definedName name="OSRRefT22_0x_0" localSheetId="74">'327'!$T$24</definedName>
    <definedName name="OSRRefT22_0x_0" localSheetId="52">'330'!$T$74:$T$82</definedName>
    <definedName name="OSRRefT22_0x_0" localSheetId="58">'331'!$T$65:$T$73</definedName>
    <definedName name="OSRRefT22_0x_0" localSheetId="60">'332'!$T$41:$T$49</definedName>
    <definedName name="OSRRefT22_0x_0" localSheetId="78">'405'!$T$26:$T$34</definedName>
    <definedName name="OSRRefT22_0x_0" localSheetId="79">'406'!$T$27:$T$35</definedName>
    <definedName name="OSRRefT22_0x_0" localSheetId="80">'411'!$T$20:$T$29</definedName>
    <definedName name="OSRRefT22_0x_0" localSheetId="81">'412'!$T$26:$T$34</definedName>
    <definedName name="OSRRefT22_0x_0" localSheetId="82">'413'!$T$27:$T$35</definedName>
    <definedName name="OSRRefT22_0x_0" localSheetId="83">'414'!$T$27:$T$35</definedName>
    <definedName name="OSRRefT22_0x_0" localSheetId="84">'415'!$T$26:$T$34</definedName>
    <definedName name="OSRRefT22_0x_0" localSheetId="85">'418'!$T$27:$T$35</definedName>
    <definedName name="OSRRefT22_0x_0" localSheetId="87">'423'!$T$21:$T$29</definedName>
    <definedName name="OSRRefT22_0x_0" localSheetId="88">'424'!$T$26:$T$33</definedName>
    <definedName name="OSRRefT22_0x_0" localSheetId="89">'425'!$T$27:$T$35</definedName>
    <definedName name="OSRRefT22_0x_0" localSheetId="92">'430'!$T$20:$T$28</definedName>
    <definedName name="OSRRefT22_0x_0" localSheetId="93">'433'!$T$27:$T$36</definedName>
    <definedName name="OSRRefT22_0x_0" localSheetId="94">'435'!$T$26:$T$33</definedName>
    <definedName name="OSRRefT22_0x_0" localSheetId="95">'444'!$T$27:$T$36</definedName>
    <definedName name="OSRRefT22_0x_0" localSheetId="97">'450'!$T$26:$T$35</definedName>
    <definedName name="OSRRefT22_0x_0" localSheetId="90">'455'!$T$20:$T$27</definedName>
    <definedName name="OSRRefT22_0x_0" localSheetId="77">'491'!$T$34:$T$43</definedName>
    <definedName name="OSRRefT22_0x_0" localSheetId="91">'492'!$T$29:$T$38</definedName>
    <definedName name="OSRRefT22_0x_0" localSheetId="99">'501'!$T$21:$T$29</definedName>
    <definedName name="OSRRefT22_0x_0" localSheetId="39">'Div 2'!$T$20:$T$30</definedName>
    <definedName name="OSRRefT22_0x_0" localSheetId="47">'Div 3'!$T$154:$T$163</definedName>
    <definedName name="OSRRefT22_0x_0" localSheetId="75">'Div 4'!$T$35:$T$44</definedName>
    <definedName name="OSRRefT22_0x_0" localSheetId="98">'Div 5'!$T$21:$T$29</definedName>
    <definedName name="OSRRefT22_0x_0" localSheetId="63">'Div 6'!$T$56:$T$65</definedName>
    <definedName name="OSRRefT22_0x_0" localSheetId="2">Summary!$T$184:$T$193</definedName>
    <definedName name="OSRRefT22_10x_0" localSheetId="41">'201'!$T$59</definedName>
    <definedName name="OSRRefT22_10x_0" localSheetId="42">'202'!$T$59</definedName>
    <definedName name="OSRRefT22_10x_0" localSheetId="43">'203'!$T$59:$T$60</definedName>
    <definedName name="OSRRefT22_10x_0" localSheetId="44">'204'!$T$62</definedName>
    <definedName name="OSRRefT22_10x_0" localSheetId="48">'300'!$T$191:$T$192</definedName>
    <definedName name="OSRRefT22_10x_0" localSheetId="49">'300 &amp; 317'!$T$214:$T$215</definedName>
    <definedName name="OSRRefT22_10x_0" localSheetId="50">'301'!$T$61</definedName>
    <definedName name="OSRRefT22_10x_0" localSheetId="53">'307'!$T$99</definedName>
    <definedName name="OSRRefT22_10x_0" localSheetId="55">'308'!$T$97</definedName>
    <definedName name="OSRRefT22_10x_0" localSheetId="66">'309'!$T$64:$T$66</definedName>
    <definedName name="OSRRefT22_10x_0" localSheetId="65">'310'!$T$71</definedName>
    <definedName name="OSRRefT22_10x_0" localSheetId="76">'310 &amp; 491'!$T$81</definedName>
    <definedName name="OSRRefT22_10x_0" localSheetId="56">'311'!$T$97</definedName>
    <definedName name="OSRRefT22_10x_0" localSheetId="67">'313'!$T$67</definedName>
    <definedName name="OSRRefT22_10x_0" localSheetId="59">'315'!$T$91:$T$93</definedName>
    <definedName name="OSRRefT22_10x_0" localSheetId="61">'316'!$T$70:$T$71</definedName>
    <definedName name="OSRRefT22_10x_0" localSheetId="64">'317'!$T$96</definedName>
    <definedName name="OSRRefT22_10x_0" localSheetId="68">'321'!$T$63</definedName>
    <definedName name="OSRRefT22_10x_0" localSheetId="69">'322'!$T$64:$T$66</definedName>
    <definedName name="OSRRefT22_10x_0" localSheetId="72">'325'!$T$64</definedName>
    <definedName name="OSRRefT22_10x_0" localSheetId="73">'326'!$T$89</definedName>
    <definedName name="OSRRefT22_10x_0" localSheetId="52">'330'!$T$113</definedName>
    <definedName name="OSRRefT22_10x_0" localSheetId="58">'331'!$T$103</definedName>
    <definedName name="OSRRefT22_10x_0" localSheetId="60">'332'!$T$79</definedName>
    <definedName name="OSRRefT22_10x_0" localSheetId="78">'405'!$T$64:$T$66</definedName>
    <definedName name="OSRRefT22_10x_0" localSheetId="79">'406'!$T$67:$T$72</definedName>
    <definedName name="OSRRefT22_10x_0" localSheetId="80">'411'!$T$60:$T$62</definedName>
    <definedName name="OSRRefT22_10x_0" localSheetId="81">'412'!$T$64:$T$65</definedName>
    <definedName name="OSRRefT22_10x_0" localSheetId="82">'413'!$T$68:$T$69</definedName>
    <definedName name="OSRRefT22_10x_0" localSheetId="83">'414'!$T$65</definedName>
    <definedName name="OSRRefT22_10x_0" localSheetId="84">'415'!$T$64</definedName>
    <definedName name="OSRRefT22_10x_0" localSheetId="85">'418'!$T$67:$T$69</definedName>
    <definedName name="OSRRefT22_10x_0" localSheetId="88">'424'!$T$63:$T$64</definedName>
    <definedName name="OSRRefT22_10x_0" localSheetId="89">'425'!$T$64:$T$65</definedName>
    <definedName name="OSRRefT22_10x_0" localSheetId="92">'430'!$T$59</definedName>
    <definedName name="OSRRefT22_10x_0" localSheetId="93">'433'!$T$65:$T$66</definedName>
    <definedName name="OSRRefT22_10x_0" localSheetId="95">'444'!$T$65</definedName>
    <definedName name="OSRRefT22_10x_0" localSheetId="97">'450'!$T$65</definedName>
    <definedName name="OSRRefT22_10x_0" localSheetId="77">'491'!$T$76</definedName>
    <definedName name="OSRRefT22_10x_0" localSheetId="91">'492'!$T$69</definedName>
    <definedName name="OSRRefT22_10x_0" localSheetId="99">'501'!$T$58:$T$59</definedName>
    <definedName name="OSRRefT22_10x_0" localSheetId="39">'Div 2'!$T$59</definedName>
    <definedName name="OSRRefT22_10x_0" localSheetId="47">'Div 3'!$T$197:$T$198</definedName>
    <definedName name="OSRRefT22_10x_0" localSheetId="75">'Div 4'!$T$78:$T$79</definedName>
    <definedName name="OSRRefT22_10x_0" localSheetId="98">'Div 5'!$T$58:$T$59</definedName>
    <definedName name="OSRRefT22_10x_0" localSheetId="63">'Div 6'!$T$96</definedName>
    <definedName name="OSRRefT22_10x_0" localSheetId="2">Summary!$T$229:$T$230</definedName>
    <definedName name="OSRRefT22_11x_0" localSheetId="41">'201'!$T$61:$T$63</definedName>
    <definedName name="OSRRefT22_11x_0" localSheetId="42">'202'!$T$61</definedName>
    <definedName name="OSRRefT22_11x_0" localSheetId="43">'203'!$T$62</definedName>
    <definedName name="OSRRefT22_11x_0" localSheetId="44">'204'!$T$64:$T$65</definedName>
    <definedName name="OSRRefT22_11x_0" localSheetId="48">'300'!$T$194</definedName>
    <definedName name="OSRRefT22_11x_0" localSheetId="49">'300 &amp; 317'!$T$217</definedName>
    <definedName name="OSRRefT22_11x_0" localSheetId="50">'301'!$T$63</definedName>
    <definedName name="OSRRefT22_11x_0" localSheetId="53">'307'!$T$101</definedName>
    <definedName name="OSRRefT22_11x_0" localSheetId="55">'308'!$T$99:$T$101</definedName>
    <definedName name="OSRRefT22_11x_0" localSheetId="66">'309'!$T$68</definedName>
    <definedName name="OSRRefT22_11x_0" localSheetId="65">'310'!$T$73</definedName>
    <definedName name="OSRRefT22_11x_0" localSheetId="76">'310 &amp; 491'!$T$83:$T$84</definedName>
    <definedName name="OSRRefT22_11x_0" localSheetId="56">'311'!$T$99:$T$101</definedName>
    <definedName name="OSRRefT22_11x_0" localSheetId="67">'313'!$T$69:$T$72</definedName>
    <definedName name="OSRRefT22_11x_0" localSheetId="59">'315'!$T$95:$T$96</definedName>
    <definedName name="OSRRefT22_11x_0" localSheetId="61">'316'!$T$73:$T$76</definedName>
    <definedName name="OSRRefT22_11x_0" localSheetId="68">'321'!$T$65:$T$66</definedName>
    <definedName name="OSRRefT22_11x_0" localSheetId="69">'322'!$T$68:$T$72</definedName>
    <definedName name="OSRRefT22_11x_0" localSheetId="72">'325'!$T$66:$T$67</definedName>
    <definedName name="OSRRefT22_11x_0" localSheetId="73">'326'!$T$91</definedName>
    <definedName name="OSRRefT22_11x_0" localSheetId="52">'330'!$T$115</definedName>
    <definedName name="OSRRefT22_11x_0" localSheetId="58">'331'!$T$105</definedName>
    <definedName name="OSRRefT22_11x_0" localSheetId="60">'332'!$T$81:$T$82</definedName>
    <definedName name="OSRRefT22_11x_0" localSheetId="78">'405'!$T$68</definedName>
    <definedName name="OSRRefT22_11x_0" localSheetId="79">'406'!$T$74:$T$75</definedName>
    <definedName name="OSRRefT22_11x_0" localSheetId="80">'411'!$T$64:$T$68</definedName>
    <definedName name="OSRRefT22_11x_0" localSheetId="81">'412'!$T$67:$T$72</definedName>
    <definedName name="OSRRefT22_11x_0" localSheetId="82">'413'!$T$71</definedName>
    <definedName name="OSRRefT22_11x_0" localSheetId="83">'414'!$T$67</definedName>
    <definedName name="OSRRefT22_11x_0" localSheetId="84">'415'!$T$66</definedName>
    <definedName name="OSRRefT22_11x_0" localSheetId="85">'418'!$T$71</definedName>
    <definedName name="OSRRefT22_11x_0" localSheetId="88">'424'!$T$66:$T$67</definedName>
    <definedName name="OSRRefT22_11x_0" localSheetId="89">'425'!$T$67:$T$68</definedName>
    <definedName name="OSRRefT22_11x_0" localSheetId="93">'433'!$T$68:$T$71</definedName>
    <definedName name="OSRRefT22_11x_0" localSheetId="95">'444'!$T$67:$T$69</definedName>
    <definedName name="OSRRefT22_11x_0" localSheetId="97">'450'!$T$67</definedName>
    <definedName name="OSRRefT22_11x_0" localSheetId="77">'491'!$T$78</definedName>
    <definedName name="OSRRefT22_11x_0" localSheetId="91">'492'!$T$71</definedName>
    <definedName name="OSRRefT22_11x_0" localSheetId="99">'501'!$T$61:$T$62</definedName>
    <definedName name="OSRRefT22_11x_0" localSheetId="39">'Div 2'!$T$61</definedName>
    <definedName name="OSRRefT22_11x_0" localSheetId="47">'Div 3'!$T$200</definedName>
    <definedName name="OSRRefT22_11x_0" localSheetId="75">'Div 4'!$T$81</definedName>
    <definedName name="OSRRefT22_11x_0" localSheetId="98">'Div 5'!$T$61:$T$62</definedName>
    <definedName name="OSRRefT22_11x_0" localSheetId="2">Summary!$T$232:$T$233</definedName>
    <definedName name="OSRRefT22_12x_0" localSheetId="41">'201'!$T$65</definedName>
    <definedName name="OSRRefT22_12x_0" localSheetId="42">'202'!$T$63:$T$64</definedName>
    <definedName name="OSRRefT22_12x_0" localSheetId="43">'203'!$T$64:$T$66</definedName>
    <definedName name="OSRRefT22_12x_0" localSheetId="48">'300'!$T$196</definedName>
    <definedName name="OSRRefT22_12x_0" localSheetId="49">'300 &amp; 317'!$T$219</definedName>
    <definedName name="OSRRefT22_12x_0" localSheetId="50">'301'!$T$65</definedName>
    <definedName name="OSRRefT22_12x_0" localSheetId="53">'307'!$T$103</definedName>
    <definedName name="OSRRefT22_12x_0" localSheetId="55">'308'!$T$103:$T$104</definedName>
    <definedName name="OSRRefT22_12x_0" localSheetId="66">'309'!$T$70</definedName>
    <definedName name="OSRRefT22_12x_0" localSheetId="65">'310'!$T$75</definedName>
    <definedName name="OSRRefT22_12x_0" localSheetId="76">'310 &amp; 491'!$T$86</definedName>
    <definedName name="OSRRefT22_12x_0" localSheetId="56">'311'!$T$103:$T$104</definedName>
    <definedName name="OSRRefT22_12x_0" localSheetId="67">'313'!$T$74</definedName>
    <definedName name="OSRRefT22_12x_0" localSheetId="59">'315'!$T$98:$T$101</definedName>
    <definedName name="OSRRefT22_12x_0" localSheetId="61">'316'!$T$78:$T$79</definedName>
    <definedName name="OSRRefT22_12x_0" localSheetId="68">'321'!$T$68:$T$70</definedName>
    <definedName name="OSRRefT22_12x_0" localSheetId="69">'322'!$T$74</definedName>
    <definedName name="OSRRefT22_12x_0" localSheetId="72">'325'!$T$69:$T$72</definedName>
    <definedName name="OSRRefT22_12x_0" localSheetId="73">'326'!$T$93</definedName>
    <definedName name="OSRRefT22_12x_0" localSheetId="52">'330'!$T$117</definedName>
    <definedName name="OSRRefT22_12x_0" localSheetId="58">'331'!$T$107</definedName>
    <definedName name="OSRRefT22_12x_0" localSheetId="60">'332'!$T$84:$T$88</definedName>
    <definedName name="OSRRefT22_12x_0" localSheetId="78">'405'!$T$70:$T$72</definedName>
    <definedName name="OSRRefT22_12x_0" localSheetId="79">'406'!$T$77</definedName>
    <definedName name="OSRRefT22_12x_0" localSheetId="80">'411'!$T$70:$T$75</definedName>
    <definedName name="OSRRefT22_12x_0" localSheetId="81">'412'!$T$74</definedName>
    <definedName name="OSRRefT22_12x_0" localSheetId="83">'414'!$T$69</definedName>
    <definedName name="OSRRefT22_12x_0" localSheetId="84">'415'!$T$68:$T$72</definedName>
    <definedName name="OSRRefT22_12x_0" localSheetId="85">'418'!$T$73:$T$77</definedName>
    <definedName name="OSRRefT22_12x_0" localSheetId="89">'425'!$T$70:$T$73</definedName>
    <definedName name="OSRRefT22_12x_0" localSheetId="93">'433'!$T$73:$T$79</definedName>
    <definedName name="OSRRefT22_12x_0" localSheetId="95">'444'!$T$71:$T$74</definedName>
    <definedName name="OSRRefT22_12x_0" localSheetId="97">'450'!$T$69:$T$71</definedName>
    <definedName name="OSRRefT22_12x_0" localSheetId="77">'491'!$T$80</definedName>
    <definedName name="OSRRefT22_12x_0" localSheetId="91">'492'!$T$73:$T$75</definedName>
    <definedName name="OSRRefT22_12x_0" localSheetId="99">'501'!$T$64</definedName>
    <definedName name="OSRRefT22_12x_0" localSheetId="39">'Div 2'!$T$63:$T$65</definedName>
    <definedName name="OSRRefT22_12x_0" localSheetId="47">'Div 3'!$T$202</definedName>
    <definedName name="OSRRefT22_12x_0" localSheetId="75">'Div 4'!$T$83</definedName>
    <definedName name="OSRRefT22_12x_0" localSheetId="98">'Div 5'!$T$64</definedName>
    <definedName name="OSRRefT22_12x_0" localSheetId="2">Summary!$T$235</definedName>
    <definedName name="OSRRefT22_13x_0" localSheetId="41">'201'!$T$67</definedName>
    <definedName name="OSRRefT22_13x_0" localSheetId="42">'202'!$T$66</definedName>
    <definedName name="OSRRefT22_13x_0" localSheetId="43">'203'!$T$68</definedName>
    <definedName name="OSRRefT22_13x_0" localSheetId="48">'300'!$T$198</definedName>
    <definedName name="OSRRefT22_13x_0" localSheetId="49">'300 &amp; 317'!$T$221</definedName>
    <definedName name="OSRRefT22_13x_0" localSheetId="50">'301'!$T$67</definedName>
    <definedName name="OSRRefT22_13x_0" localSheetId="55">'308'!$T$106</definedName>
    <definedName name="OSRRefT22_13x_0" localSheetId="65">'310'!$T$77</definedName>
    <definedName name="OSRRefT22_13x_0" localSheetId="76">'310 &amp; 491'!$T$88</definedName>
    <definedName name="OSRRefT22_13x_0" localSheetId="56">'311'!$T$106</definedName>
    <definedName name="OSRRefT22_13x_0" localSheetId="67">'313'!$T$76</definedName>
    <definedName name="OSRRefT22_13x_0" localSheetId="59">'315'!$T$103</definedName>
    <definedName name="OSRRefT22_13x_0" localSheetId="68">'321'!$T$72</definedName>
    <definedName name="OSRRefT22_13x_0" localSheetId="69">'322'!$T$76</definedName>
    <definedName name="OSRRefT22_13x_0" localSheetId="72">'325'!$T$74</definedName>
    <definedName name="OSRRefT22_13x_0" localSheetId="73">'326'!$T$95:$T$96</definedName>
    <definedName name="OSRRefT22_13x_0" localSheetId="52">'330'!$T$119</definedName>
    <definedName name="OSRRefT22_13x_0" localSheetId="58">'331'!$T$109</definedName>
    <definedName name="OSRRefT22_13x_0" localSheetId="60">'332'!$T$90:$T$91</definedName>
    <definedName name="OSRRefT22_13x_0" localSheetId="78">'405'!$T$74</definedName>
    <definedName name="OSRRefT22_13x_0" localSheetId="79">'406'!$T$79</definedName>
    <definedName name="OSRRefT22_13x_0" localSheetId="80">'411'!$T$77</definedName>
    <definedName name="OSRRefT22_13x_0" localSheetId="81">'412'!$T$76</definedName>
    <definedName name="OSRRefT22_13x_0" localSheetId="83">'414'!$T$71:$T$77</definedName>
    <definedName name="OSRRefT22_13x_0" localSheetId="84">'415'!$T$74</definedName>
    <definedName name="OSRRefT22_13x_0" localSheetId="85">'418'!$T$79</definedName>
    <definedName name="OSRRefT22_13x_0" localSheetId="89">'425'!$T$75:$T$76</definedName>
    <definedName name="OSRRefT22_13x_0" localSheetId="93">'433'!$T$81</definedName>
    <definedName name="OSRRefT22_13x_0" localSheetId="95">'444'!$T$76:$T$82</definedName>
    <definedName name="OSRRefT22_13x_0" localSheetId="97">'450'!$T$73:$T$78</definedName>
    <definedName name="OSRRefT22_13x_0" localSheetId="77">'491'!$T$82</definedName>
    <definedName name="OSRRefT22_13x_0" localSheetId="91">'492'!$T$77:$T$80</definedName>
    <definedName name="OSRRefT22_13x_0" localSheetId="39">'Div 2'!$T$67:$T$70</definedName>
    <definedName name="OSRRefT22_13x_0" localSheetId="47">'Div 3'!$T$204</definedName>
    <definedName name="OSRRefT22_13x_0" localSheetId="75">'Div 4'!$T$85</definedName>
    <definedName name="OSRRefT22_13x_0" localSheetId="2">Summary!$T$237</definedName>
    <definedName name="OSRRefT22_14x_0" localSheetId="41">'201'!$T$69</definedName>
    <definedName name="OSRRefT22_14x_0" localSheetId="42">'202'!$T$68</definedName>
    <definedName name="OSRRefT22_14x_0" localSheetId="43">'203'!$T$70</definedName>
    <definedName name="OSRRefT22_14x_0" localSheetId="48">'300'!$T$200</definedName>
    <definedName name="OSRRefT22_14x_0" localSheetId="49">'300 &amp; 317'!$T$223</definedName>
    <definedName name="OSRRefT22_14x_0" localSheetId="50">'301'!$T$69</definedName>
    <definedName name="OSRRefT22_14x_0" localSheetId="55">'308'!$T$108</definedName>
    <definedName name="OSRRefT22_14x_0" localSheetId="65">'310'!$T$79</definedName>
    <definedName name="OSRRefT22_14x_0" localSheetId="76">'310 &amp; 491'!$T$90</definedName>
    <definedName name="OSRRefT22_14x_0" localSheetId="56">'311'!$T$108</definedName>
    <definedName name="OSRRefT22_14x_0" localSheetId="59">'315'!$T$105</definedName>
    <definedName name="OSRRefT22_14x_0" localSheetId="68">'321'!$T$74</definedName>
    <definedName name="OSRRefT22_14x_0" localSheetId="72">'325'!$T$76:$T$82</definedName>
    <definedName name="OSRRefT22_14x_0" localSheetId="73">'326'!$T$98:$T$100</definedName>
    <definedName name="OSRRefT22_14x_0" localSheetId="58">'331'!$T$111:$T$112</definedName>
    <definedName name="OSRRefT22_14x_0" localSheetId="78">'405'!$T$76:$T$84</definedName>
    <definedName name="OSRRefT22_14x_0" localSheetId="80">'411'!$T$79</definedName>
    <definedName name="OSRRefT22_14x_0" localSheetId="83">'414'!$T$79</definedName>
    <definedName name="OSRRefT22_14x_0" localSheetId="84">'415'!$T$76:$T$83</definedName>
    <definedName name="OSRRefT22_14x_0" localSheetId="85">'418'!$T$81</definedName>
    <definedName name="OSRRefT22_14x_0" localSheetId="89">'425'!$T$78</definedName>
    <definedName name="OSRRefT22_14x_0" localSheetId="93">'433'!$T$83</definedName>
    <definedName name="OSRRefT22_14x_0" localSheetId="95">'444'!$T$84</definedName>
    <definedName name="OSRRefT22_14x_0" localSheetId="97">'450'!$T$80</definedName>
    <definedName name="OSRRefT22_14x_0" localSheetId="77">'491'!$T$84:$T$87</definedName>
    <definedName name="OSRRefT22_14x_0" localSheetId="91">'492'!$T$82:$T$90</definedName>
    <definedName name="OSRRefT22_14x_0" localSheetId="39">'Div 2'!$T$72:$T$75</definedName>
    <definedName name="OSRRefT22_14x_0" localSheetId="47">'Div 3'!$T$206</definedName>
    <definedName name="OSRRefT22_14x_0" localSheetId="75">'Div 4'!$T$87</definedName>
    <definedName name="OSRRefT22_14x_0" localSheetId="2">Summary!$T$239</definedName>
    <definedName name="OSRRefT22_15x_0" localSheetId="43">'203'!$T$72</definedName>
    <definedName name="OSRRefT22_15x_0" localSheetId="48">'300'!$T$202</definedName>
    <definedName name="OSRRefT22_15x_0" localSheetId="49">'300 &amp; 317'!$T$225</definedName>
    <definedName name="OSRRefT22_15x_0" localSheetId="50">'301'!$T$71:$T$73</definedName>
    <definedName name="OSRRefT22_15x_0" localSheetId="65">'310'!$T$81:$T$82</definedName>
    <definedName name="OSRRefT22_15x_0" localSheetId="76">'310 &amp; 491'!$T$92</definedName>
    <definedName name="OSRRefT22_15x_0" localSheetId="59">'315'!$T$107</definedName>
    <definedName name="OSRRefT22_15x_0" localSheetId="72">'325'!$T$84</definedName>
    <definedName name="OSRRefT22_15x_0" localSheetId="73">'326'!$T$102:$T$103</definedName>
    <definedName name="OSRRefT22_15x_0" localSheetId="58">'331'!$T$114:$T$116</definedName>
    <definedName name="OSRRefT22_15x_0" localSheetId="78">'405'!$T$86</definedName>
    <definedName name="OSRRefT22_15x_0" localSheetId="80">'411'!$T$81:$T$83</definedName>
    <definedName name="OSRRefT22_15x_0" localSheetId="83">'414'!$T$81</definedName>
    <definedName name="OSRRefT22_15x_0" localSheetId="84">'415'!$T$85</definedName>
    <definedName name="OSRRefT22_15x_0" localSheetId="85">'418'!$T$83</definedName>
    <definedName name="OSRRefT22_15x_0" localSheetId="93">'433'!$T$85:$T$86</definedName>
    <definedName name="OSRRefT22_15x_0" localSheetId="95">'444'!$T$86</definedName>
    <definedName name="OSRRefT22_15x_0" localSheetId="97">'450'!$T$82</definedName>
    <definedName name="OSRRefT22_15x_0" localSheetId="77">'491'!$T$89:$T$91</definedName>
    <definedName name="OSRRefT22_15x_0" localSheetId="91">'492'!$T$92</definedName>
    <definedName name="OSRRefT22_15x_0" localSheetId="39">'Div 2'!$T$77:$T$78</definedName>
    <definedName name="OSRRefT22_15x_0" localSheetId="47">'Div 3'!$T$208</definedName>
    <definedName name="OSRRefT22_15x_0" localSheetId="75">'Div 4'!$T$89</definedName>
    <definedName name="OSRRefT22_15x_0" localSheetId="2">Summary!$T$241</definedName>
    <definedName name="OSRRefT22_16x_0" localSheetId="48">'300'!$T$204:$T$206</definedName>
    <definedName name="OSRRefT22_16x_0" localSheetId="49">'300 &amp; 317'!$T$227:$T$229</definedName>
    <definedName name="OSRRefT22_16x_0" localSheetId="50">'301'!$T$75:$T$77</definedName>
    <definedName name="OSRRefT22_16x_0" localSheetId="65">'310'!$T$84</definedName>
    <definedName name="OSRRefT22_16x_0" localSheetId="76">'310 &amp; 491'!$T$94</definedName>
    <definedName name="OSRRefT22_16x_0" localSheetId="72">'325'!$T$86</definedName>
    <definedName name="OSRRefT22_16x_0" localSheetId="73">'326'!$T$105:$T$109</definedName>
    <definedName name="OSRRefT22_16x_0" localSheetId="58">'331'!$T$118:$T$120</definedName>
    <definedName name="OSRRefT22_16x_0" localSheetId="78">'405'!$T$88</definedName>
    <definedName name="OSRRefT22_16x_0" localSheetId="80">'411'!$T$85</definedName>
    <definedName name="OSRRefT22_16x_0" localSheetId="84">'415'!$T$87:$T$88</definedName>
    <definedName name="OSRRefT22_16x_0" localSheetId="95">'444'!$T$88</definedName>
    <definedName name="OSRRefT22_16x_0" localSheetId="97">'450'!$T$84:$T$85</definedName>
    <definedName name="OSRRefT22_16x_0" localSheetId="77">'491'!$T$93:$T$97</definedName>
    <definedName name="OSRRefT22_16x_0" localSheetId="91">'492'!$T$94</definedName>
    <definedName name="OSRRefT22_16x_0" localSheetId="39">'Div 2'!$T$80:$T$81</definedName>
    <definedName name="OSRRefT22_16x_0" localSheetId="47">'Div 3'!$T$210</definedName>
    <definedName name="OSRRefT22_16x_0" localSheetId="75">'Div 4'!$T$91:$T$94</definedName>
    <definedName name="OSRRefT22_16x_0" localSheetId="2">Summary!$T$243</definedName>
    <definedName name="OSRRefT22_17x_0" localSheetId="48">'300'!$T$208:$T$211</definedName>
    <definedName name="OSRRefT22_17x_0" localSheetId="49">'300 &amp; 317'!$T$231:$T$234</definedName>
    <definedName name="OSRRefT22_17x_0" localSheetId="50">'301'!$T$79:$T$80</definedName>
    <definedName name="OSRRefT22_17x_0" localSheetId="65">'310'!$T$86:$T$90</definedName>
    <definedName name="OSRRefT22_17x_0" localSheetId="76">'310 &amp; 491'!$T$96:$T$99</definedName>
    <definedName name="OSRRefT22_17x_0" localSheetId="72">'325'!$T$88</definedName>
    <definedName name="OSRRefT22_17x_0" localSheetId="73">'326'!$T$111:$T$112</definedName>
    <definedName name="OSRRefT22_17x_0" localSheetId="58">'331'!$T$122:$T$123</definedName>
    <definedName name="OSRRefT22_17x_0" localSheetId="78">'405'!$T$90</definedName>
    <definedName name="OSRRefT22_17x_0" localSheetId="84">'415'!$T$90</definedName>
    <definedName name="OSRRefT22_17x_0" localSheetId="77">'491'!$T$99</definedName>
    <definedName name="OSRRefT22_17x_0" localSheetId="91">'492'!$T$96:$T$97</definedName>
    <definedName name="OSRRefT22_17x_0" localSheetId="39">'Div 2'!$T$83:$T$86</definedName>
    <definedName name="OSRRefT22_17x_0" localSheetId="47">'Div 3'!$T$212</definedName>
    <definedName name="OSRRefT22_17x_0" localSheetId="75">'Div 4'!$T$96:$T$98</definedName>
    <definedName name="OSRRefT22_17x_0" localSheetId="2">Summary!$T$245</definedName>
    <definedName name="OSRRefT22_18x_0" localSheetId="48">'300'!$T$213:$T$216</definedName>
    <definedName name="OSRRefT22_18x_0" localSheetId="49">'300 &amp; 317'!$T$236:$T$239</definedName>
    <definedName name="OSRRefT22_18x_0" localSheetId="50">'301'!$T$82:$T$87</definedName>
    <definedName name="OSRRefT22_18x_0" localSheetId="65">'310'!$T$92</definedName>
    <definedName name="OSRRefT22_18x_0" localSheetId="76">'310 &amp; 491'!$T$101:$T$103</definedName>
    <definedName name="OSRRefT22_18x_0" localSheetId="73">'326'!$T$114</definedName>
    <definedName name="OSRRefT22_18x_0" localSheetId="58">'331'!$T$125:$T$129</definedName>
    <definedName name="OSRRefT22_18x_0" localSheetId="77">'491'!$T$101:$T$110</definedName>
    <definedName name="OSRRefT22_18x_0" localSheetId="39">'Div 2'!$T$88:$T$89</definedName>
    <definedName name="OSRRefT22_18x_0" localSheetId="47">'Div 3'!$T$214:$T$216</definedName>
    <definedName name="OSRRefT22_18x_0" localSheetId="75">'Div 4'!$T$100:$T$104</definedName>
    <definedName name="OSRRefT22_18x_0" localSheetId="2">Summary!$T$247:$T$250</definedName>
    <definedName name="OSRRefT22_19x_0" localSheetId="48">'300'!$T$218:$T$219</definedName>
    <definedName name="OSRRefT22_19x_0" localSheetId="49">'300 &amp; 317'!$T$241:$T$242</definedName>
    <definedName name="OSRRefT22_19x_0" localSheetId="50">'301'!$T$89</definedName>
    <definedName name="OSRRefT22_19x_0" localSheetId="65">'310'!$T$94:$T$100</definedName>
    <definedName name="OSRRefT22_19x_0" localSheetId="76">'310 &amp; 491'!$T$105:$T$110</definedName>
    <definedName name="OSRRefT22_19x_0" localSheetId="73">'326'!$T$116</definedName>
    <definedName name="OSRRefT22_19x_0" localSheetId="58">'331'!$T$131:$T$132</definedName>
    <definedName name="OSRRefT22_19x_0" localSheetId="77">'491'!$T$112:$T$113</definedName>
    <definedName name="OSRRefT22_19x_0" localSheetId="39">'Div 2'!$T$91</definedName>
    <definedName name="OSRRefT22_19x_0" localSheetId="47">'Div 3'!$T$218:$T$221</definedName>
    <definedName name="OSRRefT22_19x_0" localSheetId="75">'Div 4'!$T$106</definedName>
    <definedName name="OSRRefT22_19x_0" localSheetId="2">Summary!$T$252:$T$255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'300'!$T$159:$T$168</definedName>
    <definedName name="OSRRefT22_1x_0" localSheetId="49">'300 &amp; 317'!$T$182:$T$191</definedName>
    <definedName name="OSRRefT22_1x_0" localSheetId="50">'301'!$T$30:$T$39</definedName>
    <definedName name="OSRRefT22_1x_0" localSheetId="51">'306'!$T$30:$T$39</definedName>
    <definedName name="OSRRefT22_1x_0" localSheetId="53">'307'!$T$70:$T$79</definedName>
    <definedName name="OSRRefT22_1x_0" localSheetId="55">'308'!$T$68:$T$77</definedName>
    <definedName name="OSRRefT22_1x_0" localSheetId="66">'309'!$T$36:$T$45</definedName>
    <definedName name="OSRRefT22_1x_0" localSheetId="65">'310'!$T$43:$T$52</definedName>
    <definedName name="OSRRefT22_1x_0" localSheetId="76">'310 &amp; 491'!$T$51:$T$60</definedName>
    <definedName name="OSRRefT22_1x_0" localSheetId="56">'311'!$T$68:$T$77</definedName>
    <definedName name="OSRRefT22_1x_0" localSheetId="67">'313'!$T$39:$T$48</definedName>
    <definedName name="OSRRefT22_1x_0" localSheetId="54">'314'!$T$65:$T$74</definedName>
    <definedName name="OSRRefT22_1x_0" localSheetId="59">'315'!$T$64:$T$73</definedName>
    <definedName name="OSRRefT22_1x_0" localSheetId="61">'316'!$T$43:$T$52</definedName>
    <definedName name="OSRRefT22_1x_0" localSheetId="64">'317'!$T$67:$T$76</definedName>
    <definedName name="OSRRefT22_1x_0" localSheetId="62">'320'!$T$37:$T$46</definedName>
    <definedName name="OSRRefT22_1x_0" localSheetId="68">'321'!$T$35:$T$44</definedName>
    <definedName name="OSRRefT22_1x_0" localSheetId="69">'322'!$T$36:$T$45</definedName>
    <definedName name="OSRRefT22_1x_0" localSheetId="72">'325'!$T$36:$T$45</definedName>
    <definedName name="OSRRefT22_1x_0" localSheetId="73">'326'!$T$61:$T$70</definedName>
    <definedName name="OSRRefT22_1x_0" localSheetId="52">'330'!$T$84:$T$93</definedName>
    <definedName name="OSRRefT22_1x_0" localSheetId="58">'331'!$T$75:$T$84</definedName>
    <definedName name="OSRRefT22_1x_0" localSheetId="60">'332'!$T$51:$T$60</definedName>
    <definedName name="OSRRefT22_1x_0" localSheetId="78">'405'!$T$36:$T$45</definedName>
    <definedName name="OSRRefT22_1x_0" localSheetId="79">'406'!$T$37:$T$46</definedName>
    <definedName name="OSRRefT22_1x_0" localSheetId="80">'411'!$T$31:$T$40</definedName>
    <definedName name="OSRRefT22_1x_0" localSheetId="81">'412'!$T$36:$T$45</definedName>
    <definedName name="OSRRefT22_1x_0" localSheetId="82">'413'!$T$37:$T$46</definedName>
    <definedName name="OSRRefT22_1x_0" localSheetId="83">'414'!$T$37:$T$46</definedName>
    <definedName name="OSRRefT22_1x_0" localSheetId="84">'415'!$T$36:$T$45</definedName>
    <definedName name="OSRRefT22_1x_0" localSheetId="85">'418'!$T$37:$T$46</definedName>
    <definedName name="OSRRefT22_1x_0" localSheetId="87">'423'!$T$31:$T$40</definedName>
    <definedName name="OSRRefT22_1x_0" localSheetId="88">'424'!$T$35:$T$44</definedName>
    <definedName name="OSRRefT22_1x_0" localSheetId="89">'425'!$T$37:$T$46</definedName>
    <definedName name="OSRRefT22_1x_0" localSheetId="92">'430'!$T$30:$T$39</definedName>
    <definedName name="OSRRefT22_1x_0" localSheetId="93">'433'!$T$38:$T$47</definedName>
    <definedName name="OSRRefT22_1x_0" localSheetId="94">'435'!$T$35:$T$44</definedName>
    <definedName name="OSRRefT22_1x_0" localSheetId="95">'444'!$T$38:$T$47</definedName>
    <definedName name="OSRRefT22_1x_0" localSheetId="97">'450'!$T$37:$T$46</definedName>
    <definedName name="OSRRefT22_1x_0" localSheetId="90">'455'!$T$29:$T$38</definedName>
    <definedName name="OSRRefT22_1x_0" localSheetId="77">'491'!$T$45:$T$54</definedName>
    <definedName name="OSRRefT22_1x_0" localSheetId="91">'492'!$T$40:$T$49</definedName>
    <definedName name="OSRRefT22_1x_0" localSheetId="99">'501'!$T$31:$T$40</definedName>
    <definedName name="OSRRefT22_1x_0" localSheetId="39">'Div 2'!$T$32:$T$41</definedName>
    <definedName name="OSRRefT22_1x_0" localSheetId="47">'Div 3'!$T$165:$T$174</definedName>
    <definedName name="OSRRefT22_1x_0" localSheetId="75">'Div 4'!$T$46:$T$55</definedName>
    <definedName name="OSRRefT22_1x_0" localSheetId="98">'Div 5'!$T$31:$T$40</definedName>
    <definedName name="OSRRefT22_1x_0" localSheetId="63">'Div 6'!$T$67:$T$76</definedName>
    <definedName name="OSRRefT22_1x_0" localSheetId="2">Summary!$T$195:$T$204</definedName>
    <definedName name="OSRRefT22_20x_0" localSheetId="48">'300'!$T$221:$T$227</definedName>
    <definedName name="OSRRefT22_20x_0" localSheetId="49">'300 &amp; 317'!$T$244:$T$250</definedName>
    <definedName name="OSRRefT22_20x_0" localSheetId="50">'301'!$T$91</definedName>
    <definedName name="OSRRefT22_20x_0" localSheetId="65">'310'!$T$102</definedName>
    <definedName name="OSRRefT22_20x_0" localSheetId="76">'310 &amp; 491'!$T$112</definedName>
    <definedName name="OSRRefT22_20x_0" localSheetId="73">'326'!$T$118</definedName>
    <definedName name="OSRRefT22_20x_0" localSheetId="58">'331'!$T$134</definedName>
    <definedName name="OSRRefT22_20x_0" localSheetId="77">'491'!$T$115</definedName>
    <definedName name="OSRRefT22_20x_0" localSheetId="39">'Div 2'!$T$93:$T$94</definedName>
    <definedName name="OSRRefT22_20x_0" localSheetId="47">'Div 3'!$T$223:$T$228</definedName>
    <definedName name="OSRRefT22_20x_0" localSheetId="75">'Div 4'!$T$108:$T$117</definedName>
    <definedName name="OSRRefT22_20x_0" localSheetId="2">Summary!$T$257:$T$262</definedName>
    <definedName name="OSRRefT22_21x_0" localSheetId="48">'300'!$T$229:$T$230</definedName>
    <definedName name="OSRRefT22_21x_0" localSheetId="49">'300 &amp; 317'!$T$252:$T$253</definedName>
    <definedName name="OSRRefT22_21x_0" localSheetId="50">'301'!$T$93:$T$94</definedName>
    <definedName name="OSRRefT22_21x_0" localSheetId="65">'310'!$T$104</definedName>
    <definedName name="OSRRefT22_21x_0" localSheetId="76">'310 &amp; 491'!$T$114:$T$123</definedName>
    <definedName name="OSRRefT22_21x_0" localSheetId="58">'331'!$T$136</definedName>
    <definedName name="OSRRefT22_21x_0" localSheetId="77">'491'!$T$117:$T$119</definedName>
    <definedName name="OSRRefT22_21x_0" localSheetId="47">'Div 3'!$T$230:$T$231</definedName>
    <definedName name="OSRRefT22_21x_0" localSheetId="75">'Div 4'!$T$119:$T$120</definedName>
    <definedName name="OSRRefT22_21x_0" localSheetId="2">Summary!$T$264:$T$265</definedName>
    <definedName name="OSRRefT22_22x_0" localSheetId="48">'300'!$T$232</definedName>
    <definedName name="OSRRefT22_22x_0" localSheetId="49">'300 &amp; 317'!$T$255</definedName>
    <definedName name="OSRRefT22_22x_0" localSheetId="50">'301'!$T$96</definedName>
    <definedName name="OSRRefT22_22x_0" localSheetId="65">'310'!$T$106</definedName>
    <definedName name="OSRRefT22_22x_0" localSheetId="76">'310 &amp; 491'!$T$125:$T$126</definedName>
    <definedName name="OSRRefT22_22x_0" localSheetId="58">'331'!$T$138</definedName>
    <definedName name="OSRRefT22_22x_0" localSheetId="77">'491'!$T$121</definedName>
    <definedName name="OSRRefT22_22x_0" localSheetId="47">'Div 3'!$T$233:$T$240</definedName>
    <definedName name="OSRRefT22_22x_0" localSheetId="75">'Div 4'!$T$122</definedName>
    <definedName name="OSRRefT22_22x_0" localSheetId="2">Summary!$T$267:$T$276</definedName>
    <definedName name="OSRRefT22_23x_0" localSheetId="48">'300'!$T$234:$T$236</definedName>
    <definedName name="OSRRefT22_23x_0" localSheetId="49">'300 &amp; 317'!$T$257:$T$259</definedName>
    <definedName name="OSRRefT22_23x_0" localSheetId="76">'310 &amp; 491'!$T$128</definedName>
    <definedName name="OSRRefT22_23x_0" localSheetId="47">'Div 3'!$T$242:$T$243</definedName>
    <definedName name="OSRRefT22_23x_0" localSheetId="75">'Div 4'!$T$124:$T$126</definedName>
    <definedName name="OSRRefT22_23x_0" localSheetId="2">Summary!$T$278:$T$279</definedName>
    <definedName name="OSRRefT22_24x_0" localSheetId="48">'300'!$T$238</definedName>
    <definedName name="OSRRefT22_24x_0" localSheetId="49">'300 &amp; 317'!$T$261</definedName>
    <definedName name="OSRRefT22_24x_0" localSheetId="76">'310 &amp; 491'!$T$130:$T$132</definedName>
    <definedName name="OSRRefT22_24x_0" localSheetId="47">'Div 3'!$T$245</definedName>
    <definedName name="OSRRefT22_24x_0" localSheetId="75">'Div 4'!$T$128</definedName>
    <definedName name="OSRRefT22_24x_0" localSheetId="2">Summary!$T$281</definedName>
    <definedName name="OSRRefT22_25x_0" localSheetId="76">'310 &amp; 491'!$T$134</definedName>
    <definedName name="OSRRefT22_25x_0" localSheetId="47">'Div 3'!$T$247:$T$249</definedName>
    <definedName name="OSRRefT22_25x_0" localSheetId="2">Summary!$T$283:$T$285</definedName>
    <definedName name="OSRRefT22_26x_0" localSheetId="47">'Div 3'!$T$251</definedName>
    <definedName name="OSRRefT22_26x_0" localSheetId="2">Summary!$T$287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'300'!$T$170</definedName>
    <definedName name="OSRRefT22_2x_0" localSheetId="49">'300 &amp; 317'!$T$193</definedName>
    <definedName name="OSRRefT22_2x_0" localSheetId="50">'301'!$T$41</definedName>
    <definedName name="OSRRefT22_2x_0" localSheetId="51">'306'!$T$41</definedName>
    <definedName name="OSRRefT22_2x_0" localSheetId="53">'307'!$T$81</definedName>
    <definedName name="OSRRefT22_2x_0" localSheetId="55">'308'!$T$79</definedName>
    <definedName name="OSRRefT22_2x_0" localSheetId="66">'309'!$T$47</definedName>
    <definedName name="OSRRefT22_2x_0" localSheetId="65">'310'!$T$54</definedName>
    <definedName name="OSRRefT22_2x_0" localSheetId="76">'310 &amp; 491'!$T$62</definedName>
    <definedName name="OSRRefT22_2x_0" localSheetId="56">'311'!$T$79</definedName>
    <definedName name="OSRRefT22_2x_0" localSheetId="67">'313'!$T$50</definedName>
    <definedName name="OSRRefT22_2x_0" localSheetId="54">'314'!$T$76</definedName>
    <definedName name="OSRRefT22_2x_0" localSheetId="59">'315'!$T$75</definedName>
    <definedName name="OSRRefT22_2x_0" localSheetId="61">'316'!$T$54</definedName>
    <definedName name="OSRRefT22_2x_0" localSheetId="64">'317'!$T$78</definedName>
    <definedName name="OSRRefT22_2x_0" localSheetId="62">'320'!$T$48</definedName>
    <definedName name="OSRRefT22_2x_0" localSheetId="68">'321'!$T$46</definedName>
    <definedName name="OSRRefT22_2x_0" localSheetId="69">'322'!$T$47</definedName>
    <definedName name="OSRRefT22_2x_0" localSheetId="72">'325'!$T$47</definedName>
    <definedName name="OSRRefT22_2x_0" localSheetId="73">'326'!$T$72</definedName>
    <definedName name="OSRRefT22_2x_0" localSheetId="52">'330'!$T$95</definedName>
    <definedName name="OSRRefT22_2x_0" localSheetId="58">'331'!$T$86</definedName>
    <definedName name="OSRRefT22_2x_0" localSheetId="60">'332'!$T$62</definedName>
    <definedName name="OSRRefT22_2x_0" localSheetId="78">'405'!$T$47</definedName>
    <definedName name="OSRRefT22_2x_0" localSheetId="79">'406'!$T$48</definedName>
    <definedName name="OSRRefT22_2x_0" localSheetId="80">'411'!$T$42</definedName>
    <definedName name="OSRRefT22_2x_0" localSheetId="81">'412'!$T$47</definedName>
    <definedName name="OSRRefT22_2x_0" localSheetId="82">'413'!$T$48</definedName>
    <definedName name="OSRRefT22_2x_0" localSheetId="83">'414'!$T$48</definedName>
    <definedName name="OSRRefT22_2x_0" localSheetId="84">'415'!$T$47</definedName>
    <definedName name="OSRRefT22_2x_0" localSheetId="85">'418'!$T$48</definedName>
    <definedName name="OSRRefT22_2x_0" localSheetId="87">'423'!$T$42</definedName>
    <definedName name="OSRRefT22_2x_0" localSheetId="88">'424'!$T$46</definedName>
    <definedName name="OSRRefT22_2x_0" localSheetId="89">'425'!$T$48</definedName>
    <definedName name="OSRRefT22_2x_0" localSheetId="92">'430'!$T$41</definedName>
    <definedName name="OSRRefT22_2x_0" localSheetId="93">'433'!$T$49</definedName>
    <definedName name="OSRRefT22_2x_0" localSheetId="94">'435'!$T$46</definedName>
    <definedName name="OSRRefT22_2x_0" localSheetId="95">'444'!$T$49</definedName>
    <definedName name="OSRRefT22_2x_0" localSheetId="97">'450'!$T$48</definedName>
    <definedName name="OSRRefT22_2x_0" localSheetId="77">'491'!$T$56</definedName>
    <definedName name="OSRRefT22_2x_0" localSheetId="91">'492'!$T$51</definedName>
    <definedName name="OSRRefT22_2x_0" localSheetId="99">'501'!$T$42</definedName>
    <definedName name="OSRRefT22_2x_0" localSheetId="39">'Div 2'!$T$43</definedName>
    <definedName name="OSRRefT22_2x_0" localSheetId="47">'Div 3'!$T$176</definedName>
    <definedName name="OSRRefT22_2x_0" localSheetId="75">'Div 4'!$T$57</definedName>
    <definedName name="OSRRefT22_2x_0" localSheetId="98">'Div 5'!$T$42</definedName>
    <definedName name="OSRRefT22_2x_0" localSheetId="63">'Div 6'!$T$78</definedName>
    <definedName name="OSRRefT22_2x_0" localSheetId="2">Summary!$T$206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'204'!$T$44</definedName>
    <definedName name="OSRRefT22_3x_0" localSheetId="45">'205'!$T$43</definedName>
    <definedName name="OSRRefT22_3x_0" localSheetId="46">'206'!$T$43</definedName>
    <definedName name="OSRRefT22_3x_0" localSheetId="48">'300'!$T$172:$T$173</definedName>
    <definedName name="OSRRefT22_3x_0" localSheetId="49">'300 &amp; 317'!$T$195:$T$196</definedName>
    <definedName name="OSRRefT22_3x_0" localSheetId="50">'301'!$T$43</definedName>
    <definedName name="OSRRefT22_3x_0" localSheetId="51">'306'!$T$43</definedName>
    <definedName name="OSRRefT22_3x_0" localSheetId="53">'307'!$T$83</definedName>
    <definedName name="OSRRefT22_3x_0" localSheetId="55">'308'!$T$81:$T$82</definedName>
    <definedName name="OSRRefT22_3x_0" localSheetId="66">'309'!$T$49</definedName>
    <definedName name="OSRRefT22_3x_0" localSheetId="65">'310'!$T$56</definedName>
    <definedName name="OSRRefT22_3x_0" localSheetId="76">'310 &amp; 491'!$T$64</definedName>
    <definedName name="OSRRefT22_3x_0" localSheetId="56">'311'!$T$81:$T$82</definedName>
    <definedName name="OSRRefT22_3x_0" localSheetId="67">'313'!$T$52</definedName>
    <definedName name="OSRRefT22_3x_0" localSheetId="54">'314'!$T$78:$T$79</definedName>
    <definedName name="OSRRefT22_3x_0" localSheetId="59">'315'!$T$77</definedName>
    <definedName name="OSRRefT22_3x_0" localSheetId="61">'316'!$T$56</definedName>
    <definedName name="OSRRefT22_3x_0" localSheetId="64">'317'!$T$80</definedName>
    <definedName name="OSRRefT22_3x_0" localSheetId="62">'320'!$T$50:$T$51</definedName>
    <definedName name="OSRRefT22_3x_0" localSheetId="68">'321'!$T$48</definedName>
    <definedName name="OSRRefT22_3x_0" localSheetId="69">'322'!$T$49</definedName>
    <definedName name="OSRRefT22_3x_0" localSheetId="72">'325'!$T$49</definedName>
    <definedName name="OSRRefT22_3x_0" localSheetId="73">'326'!$T$74:$T$75</definedName>
    <definedName name="OSRRefT22_3x_0" localSheetId="52">'330'!$T$97</definedName>
    <definedName name="OSRRefT22_3x_0" localSheetId="58">'331'!$T$88:$T$89</definedName>
    <definedName name="OSRRefT22_3x_0" localSheetId="60">'332'!$T$64</definedName>
    <definedName name="OSRRefT22_3x_0" localSheetId="78">'405'!$T$49</definedName>
    <definedName name="OSRRefT22_3x_0" localSheetId="79">'406'!$T$50</definedName>
    <definedName name="OSRRefT22_3x_0" localSheetId="80">'411'!$T$44:$T$46</definedName>
    <definedName name="OSRRefT22_3x_0" localSheetId="81">'412'!$T$49</definedName>
    <definedName name="OSRRefT22_3x_0" localSheetId="82">'413'!$T$50</definedName>
    <definedName name="OSRRefT22_3x_0" localSheetId="83">'414'!$T$50</definedName>
    <definedName name="OSRRefT22_3x_0" localSheetId="84">'415'!$T$49</definedName>
    <definedName name="OSRRefT22_3x_0" localSheetId="85">'418'!$T$50</definedName>
    <definedName name="OSRRefT22_3x_0" localSheetId="87">'423'!$T$44</definedName>
    <definedName name="OSRRefT22_3x_0" localSheetId="88">'424'!$T$48</definedName>
    <definedName name="OSRRefT22_3x_0" localSheetId="89">'425'!$T$50</definedName>
    <definedName name="OSRRefT22_3x_0" localSheetId="92">'430'!$T$43</definedName>
    <definedName name="OSRRefT22_3x_0" localSheetId="93">'433'!$T$51</definedName>
    <definedName name="OSRRefT22_3x_0" localSheetId="94">'435'!$T$48</definedName>
    <definedName name="OSRRefT22_3x_0" localSheetId="95">'444'!$T$51</definedName>
    <definedName name="OSRRefT22_3x_0" localSheetId="97">'450'!$T$50:$T$51</definedName>
    <definedName name="OSRRefT22_3x_0" localSheetId="77">'491'!$T$58</definedName>
    <definedName name="OSRRefT22_3x_0" localSheetId="91">'492'!$T$53:$T$54</definedName>
    <definedName name="OSRRefT22_3x_0" localSheetId="99">'501'!$T$44</definedName>
    <definedName name="OSRRefT22_3x_0" localSheetId="39">'Div 2'!$T$45</definedName>
    <definedName name="OSRRefT22_3x_0" localSheetId="47">'Div 3'!$T$178:$T$179</definedName>
    <definedName name="OSRRefT22_3x_0" localSheetId="75">'Div 4'!$T$59:$T$60</definedName>
    <definedName name="OSRRefT22_3x_0" localSheetId="98">'Div 5'!$T$44</definedName>
    <definedName name="OSRRefT22_3x_0" localSheetId="63">'Div 6'!$T$80</definedName>
    <definedName name="OSRRefT22_3x_0" localSheetId="2">Summary!$T$208:$T$209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</definedName>
    <definedName name="OSRRefT22_4x_0" localSheetId="46">'206'!$T$45</definedName>
    <definedName name="OSRRefT22_4x_0" localSheetId="48">'300'!$T$175</definedName>
    <definedName name="OSRRefT22_4x_0" localSheetId="49">'300 &amp; 317'!$T$198</definedName>
    <definedName name="OSRRefT22_4x_0" localSheetId="50">'301'!$T$45</definedName>
    <definedName name="OSRRefT22_4x_0" localSheetId="51">'306'!$T$45</definedName>
    <definedName name="OSRRefT22_4x_0" localSheetId="53">'307'!$T$85:$T$86</definedName>
    <definedName name="OSRRefT22_4x_0" localSheetId="55">'308'!$T$84</definedName>
    <definedName name="OSRRefT22_4x_0" localSheetId="66">'309'!$T$51</definedName>
    <definedName name="OSRRefT22_4x_0" localSheetId="65">'310'!$T$58</definedName>
    <definedName name="OSRRefT22_4x_0" localSheetId="76">'310 &amp; 491'!$T$66</definedName>
    <definedName name="OSRRefT22_4x_0" localSheetId="56">'311'!$T$84</definedName>
    <definedName name="OSRRefT22_4x_0" localSheetId="67">'313'!$T$54</definedName>
    <definedName name="OSRRefT22_4x_0" localSheetId="54">'314'!$T$81</definedName>
    <definedName name="OSRRefT22_4x_0" localSheetId="59">'315'!$T$79</definedName>
    <definedName name="OSRRefT22_4x_0" localSheetId="61">'316'!$T$58</definedName>
    <definedName name="OSRRefT22_4x_0" localSheetId="64">'317'!$T$82</definedName>
    <definedName name="OSRRefT22_4x_0" localSheetId="62">'320'!$T$53</definedName>
    <definedName name="OSRRefT22_4x_0" localSheetId="68">'321'!$T$50</definedName>
    <definedName name="OSRRefT22_4x_0" localSheetId="69">'322'!$T$51</definedName>
    <definedName name="OSRRefT22_4x_0" localSheetId="72">'325'!$T$51</definedName>
    <definedName name="OSRRefT22_4x_0" localSheetId="73">'326'!$T$77</definedName>
    <definedName name="OSRRefT22_4x_0" localSheetId="52">'330'!$T$99:$T$100</definedName>
    <definedName name="OSRRefT22_4x_0" localSheetId="58">'331'!$T$91</definedName>
    <definedName name="OSRRefT22_4x_0" localSheetId="60">'332'!$T$66</definedName>
    <definedName name="OSRRefT22_4x_0" localSheetId="78">'405'!$T$51</definedName>
    <definedName name="OSRRefT22_4x_0" localSheetId="79">'406'!$T$52</definedName>
    <definedName name="OSRRefT22_4x_0" localSheetId="80">'411'!$T$48</definedName>
    <definedName name="OSRRefT22_4x_0" localSheetId="81">'412'!$T$51</definedName>
    <definedName name="OSRRefT22_4x_0" localSheetId="82">'413'!$T$52</definedName>
    <definedName name="OSRRefT22_4x_0" localSheetId="83">'414'!$T$52</definedName>
    <definedName name="OSRRefT22_4x_0" localSheetId="84">'415'!$T$51</definedName>
    <definedName name="OSRRefT22_4x_0" localSheetId="85">'418'!$T$52</definedName>
    <definedName name="OSRRefT22_4x_0" localSheetId="87">'423'!$T$46</definedName>
    <definedName name="OSRRefT22_4x_0" localSheetId="88">'424'!$T$50</definedName>
    <definedName name="OSRRefT22_4x_0" localSheetId="89">'425'!$T$52</definedName>
    <definedName name="OSRRefT22_4x_0" localSheetId="92">'430'!$T$45</definedName>
    <definedName name="OSRRefT22_4x_0" localSheetId="93">'433'!$T$53</definedName>
    <definedName name="OSRRefT22_4x_0" localSheetId="94">'435'!$T$50</definedName>
    <definedName name="OSRRefT22_4x_0" localSheetId="95">'444'!$T$53</definedName>
    <definedName name="OSRRefT22_4x_0" localSheetId="97">'450'!$T$53</definedName>
    <definedName name="OSRRefT22_4x_0" localSheetId="77">'491'!$T$60</definedName>
    <definedName name="OSRRefT22_4x_0" localSheetId="91">'492'!$T$56</definedName>
    <definedName name="OSRRefT22_4x_0" localSheetId="99">'501'!$T$46</definedName>
    <definedName name="OSRRefT22_4x_0" localSheetId="39">'Div 2'!$T$47</definedName>
    <definedName name="OSRRefT22_4x_0" localSheetId="47">'Div 3'!$T$181</definedName>
    <definedName name="OSRRefT22_4x_0" localSheetId="75">'Div 4'!$T$62</definedName>
    <definedName name="OSRRefT22_4x_0" localSheetId="98">'Div 5'!$T$46</definedName>
    <definedName name="OSRRefT22_4x_0" localSheetId="63">'Div 6'!$T$82</definedName>
    <definedName name="OSRRefT22_4x_0" localSheetId="2">Summary!$T$211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'204'!$T$48</definedName>
    <definedName name="OSRRefT22_5x_0" localSheetId="45">'205'!$T$47</definedName>
    <definedName name="OSRRefT22_5x_0" localSheetId="46">'206'!$T$47</definedName>
    <definedName name="OSRRefT22_5x_0" localSheetId="48">'300'!$T$177:$T$179</definedName>
    <definedName name="OSRRefT22_5x_0" localSheetId="49">'300 &amp; 317'!$T$200:$T$202</definedName>
    <definedName name="OSRRefT22_5x_0" localSheetId="50">'301'!$T$47:$T$49</definedName>
    <definedName name="OSRRefT22_5x_0" localSheetId="51">'306'!$T$47</definedName>
    <definedName name="OSRRefT22_5x_0" localSheetId="53">'307'!$T$88</definedName>
    <definedName name="OSRRefT22_5x_0" localSheetId="55">'308'!$T$86</definedName>
    <definedName name="OSRRefT22_5x_0" localSheetId="66">'309'!$T$53</definedName>
    <definedName name="OSRRefT22_5x_0" localSheetId="65">'310'!$T$60:$T$61</definedName>
    <definedName name="OSRRefT22_5x_0" localSheetId="76">'310 &amp; 491'!$T$68:$T$71</definedName>
    <definedName name="OSRRefT22_5x_0" localSheetId="56">'311'!$T$86</definedName>
    <definedName name="OSRRefT22_5x_0" localSheetId="67">'313'!$T$56</definedName>
    <definedName name="OSRRefT22_5x_0" localSheetId="54">'314'!$T$83</definedName>
    <definedName name="OSRRefT22_5x_0" localSheetId="59">'315'!$T$81</definedName>
    <definedName name="OSRRefT22_5x_0" localSheetId="61">'316'!$T$60</definedName>
    <definedName name="OSRRefT22_5x_0" localSheetId="64">'317'!$T$84</definedName>
    <definedName name="OSRRefT22_5x_0" localSheetId="62">'320'!$T$55</definedName>
    <definedName name="OSRRefT22_5x_0" localSheetId="68">'321'!$T$52</definedName>
    <definedName name="OSRRefT22_5x_0" localSheetId="69">'322'!$T$53</definedName>
    <definedName name="OSRRefT22_5x_0" localSheetId="72">'325'!$T$53:$T$54</definedName>
    <definedName name="OSRRefT22_5x_0" localSheetId="73">'326'!$T$79</definedName>
    <definedName name="OSRRefT22_5x_0" localSheetId="52">'330'!$T$102</definedName>
    <definedName name="OSRRefT22_5x_0" localSheetId="58">'331'!$T$93</definedName>
    <definedName name="OSRRefT22_5x_0" localSheetId="60">'332'!$T$68</definedName>
    <definedName name="OSRRefT22_5x_0" localSheetId="78">'405'!$T$53:$T$54</definedName>
    <definedName name="OSRRefT22_5x_0" localSheetId="79">'406'!$T$54</definedName>
    <definedName name="OSRRefT22_5x_0" localSheetId="80">'411'!$T$50</definedName>
    <definedName name="OSRRefT22_5x_0" localSheetId="81">'412'!$T$53</definedName>
    <definedName name="OSRRefT22_5x_0" localSheetId="82">'413'!$T$54</definedName>
    <definedName name="OSRRefT22_5x_0" localSheetId="83">'414'!$T$54:$T$55</definedName>
    <definedName name="OSRRefT22_5x_0" localSheetId="84">'415'!$T$53:$T$54</definedName>
    <definedName name="OSRRefT22_5x_0" localSheetId="85">'418'!$T$54:$T$56</definedName>
    <definedName name="OSRRefT22_5x_0" localSheetId="87">'423'!$T$48</definedName>
    <definedName name="OSRRefT22_5x_0" localSheetId="88">'424'!$T$52</definedName>
    <definedName name="OSRRefT22_5x_0" localSheetId="89">'425'!$T$54</definedName>
    <definedName name="OSRRefT22_5x_0" localSheetId="92">'430'!$T$47</definedName>
    <definedName name="OSRRefT22_5x_0" localSheetId="93">'433'!$T$55</definedName>
    <definedName name="OSRRefT22_5x_0" localSheetId="94">'435'!$T$52</definedName>
    <definedName name="OSRRefT22_5x_0" localSheetId="95">'444'!$T$55</definedName>
    <definedName name="OSRRefT22_5x_0" localSheetId="97">'450'!$T$55</definedName>
    <definedName name="OSRRefT22_5x_0" localSheetId="77">'491'!$T$62:$T$65</definedName>
    <definedName name="OSRRefT22_5x_0" localSheetId="91">'492'!$T$58:$T$59</definedName>
    <definedName name="OSRRefT22_5x_0" localSheetId="99">'501'!$T$48</definedName>
    <definedName name="OSRRefT22_5x_0" localSheetId="39">'Div 2'!$T$49</definedName>
    <definedName name="OSRRefT22_5x_0" localSheetId="47">'Div 3'!$T$183:$T$185</definedName>
    <definedName name="OSRRefT22_5x_0" localSheetId="75">'Div 4'!$T$64:$T$67</definedName>
    <definedName name="OSRRefT22_5x_0" localSheetId="98">'Div 5'!$T$48</definedName>
    <definedName name="OSRRefT22_5x_0" localSheetId="63">'Div 6'!$T$84</definedName>
    <definedName name="OSRRefT22_5x_0" localSheetId="2">Summary!$T$213:$T$216</definedName>
    <definedName name="OSRRefT22_6x_0" localSheetId="41">'201'!$T$49</definedName>
    <definedName name="OSRRefT22_6x_0" localSheetId="42">'202'!$T$49</definedName>
    <definedName name="OSRRefT22_6x_0" localSheetId="43">'203'!$T$50</definedName>
    <definedName name="OSRRefT22_6x_0" localSheetId="44">'204'!$T$50:$T$53</definedName>
    <definedName name="OSRRefT22_6x_0" localSheetId="45">'205'!$T$49</definedName>
    <definedName name="OSRRefT22_6x_0" localSheetId="46">'206'!$T$49:$T$50</definedName>
    <definedName name="OSRRefT22_6x_0" localSheetId="48">'300'!$T$181:$T$182</definedName>
    <definedName name="OSRRefT22_6x_0" localSheetId="49">'300 &amp; 317'!$T$204:$T$205</definedName>
    <definedName name="OSRRefT22_6x_0" localSheetId="50">'301'!$T$51:$T$52</definedName>
    <definedName name="OSRRefT22_6x_0" localSheetId="51">'306'!$T$49</definedName>
    <definedName name="OSRRefT22_6x_0" localSheetId="53">'307'!$T$90</definedName>
    <definedName name="OSRRefT22_6x_0" localSheetId="55">'308'!$T$88</definedName>
    <definedName name="OSRRefT22_6x_0" localSheetId="66">'309'!$T$55</definedName>
    <definedName name="OSRRefT22_6x_0" localSheetId="65">'310'!$T$63</definedName>
    <definedName name="OSRRefT22_6x_0" localSheetId="76">'310 &amp; 491'!$T$73</definedName>
    <definedName name="OSRRefT22_6x_0" localSheetId="56">'311'!$T$88</definedName>
    <definedName name="OSRRefT22_6x_0" localSheetId="67">'313'!$T$58</definedName>
    <definedName name="OSRRefT22_6x_0" localSheetId="54">'314'!$T$85</definedName>
    <definedName name="OSRRefT22_6x_0" localSheetId="59">'315'!$T$83</definedName>
    <definedName name="OSRRefT22_6x_0" localSheetId="61">'316'!$T$62</definedName>
    <definedName name="OSRRefT22_6x_0" localSheetId="64">'317'!$T$86</definedName>
    <definedName name="OSRRefT22_6x_0" localSheetId="62">'320'!$T$57:$T$58</definedName>
    <definedName name="OSRRefT22_6x_0" localSheetId="68">'321'!$T$54</definedName>
    <definedName name="OSRRefT22_6x_0" localSheetId="69">'322'!$T$55</definedName>
    <definedName name="OSRRefT22_6x_0" localSheetId="72">'325'!$T$56</definedName>
    <definedName name="OSRRefT22_6x_0" localSheetId="73">'326'!$T$81</definedName>
    <definedName name="OSRRefT22_6x_0" localSheetId="52">'330'!$T$104</definedName>
    <definedName name="OSRRefT22_6x_0" localSheetId="58">'331'!$T$95</definedName>
    <definedName name="OSRRefT22_6x_0" localSheetId="60">'332'!$T$70</definedName>
    <definedName name="OSRRefT22_6x_0" localSheetId="78">'405'!$T$56</definedName>
    <definedName name="OSRRefT22_6x_0" localSheetId="79">'406'!$T$56</definedName>
    <definedName name="OSRRefT22_6x_0" localSheetId="80">'411'!$T$52</definedName>
    <definedName name="OSRRefT22_6x_0" localSheetId="81">'412'!$T$55</definedName>
    <definedName name="OSRRefT22_6x_0" localSheetId="82">'413'!$T$56</definedName>
    <definedName name="OSRRefT22_6x_0" localSheetId="83">'414'!$T$57</definedName>
    <definedName name="OSRRefT22_6x_0" localSheetId="84">'415'!$T$56</definedName>
    <definedName name="OSRRefT22_6x_0" localSheetId="85">'418'!$T$58</definedName>
    <definedName name="OSRRefT22_6x_0" localSheetId="88">'424'!$T$54</definedName>
    <definedName name="OSRRefT22_6x_0" localSheetId="89">'425'!$T$56</definedName>
    <definedName name="OSRRefT22_6x_0" localSheetId="92">'430'!$T$49</definedName>
    <definedName name="OSRRefT22_6x_0" localSheetId="93">'433'!$T$57</definedName>
    <definedName name="OSRRefT22_6x_0" localSheetId="94">'435'!$T$54:$T$55</definedName>
    <definedName name="OSRRefT22_6x_0" localSheetId="95">'444'!$T$57</definedName>
    <definedName name="OSRRefT22_6x_0" localSheetId="97">'450'!$T$57</definedName>
    <definedName name="OSRRefT22_6x_0" localSheetId="77">'491'!$T$67</definedName>
    <definedName name="OSRRefT22_6x_0" localSheetId="91">'492'!$T$61</definedName>
    <definedName name="OSRRefT22_6x_0" localSheetId="99">'501'!$T$50</definedName>
    <definedName name="OSRRefT22_6x_0" localSheetId="39">'Div 2'!$T$51</definedName>
    <definedName name="OSRRefT22_6x_0" localSheetId="47">'Div 3'!$T$187:$T$188</definedName>
    <definedName name="OSRRefT22_6x_0" localSheetId="75">'Div 4'!$T$69:$T$70</definedName>
    <definedName name="OSRRefT22_6x_0" localSheetId="98">'Div 5'!$T$50</definedName>
    <definedName name="OSRRefT22_6x_0" localSheetId="63">'Div 6'!$T$86</definedName>
    <definedName name="OSRRefT22_6x_0" localSheetId="2">Summary!$T$218:$T$219</definedName>
    <definedName name="OSRRefT22_7x_0" localSheetId="41">'201'!$T$51</definedName>
    <definedName name="OSRRefT22_7x_0" localSheetId="42">'202'!$T$51</definedName>
    <definedName name="OSRRefT22_7x_0" localSheetId="43">'203'!$T$52</definedName>
    <definedName name="OSRRefT22_7x_0" localSheetId="44">'204'!$T$55</definedName>
    <definedName name="OSRRefT22_7x_0" localSheetId="45">'205'!$T$51:$T$52</definedName>
    <definedName name="OSRRefT22_7x_0" localSheetId="46">'206'!$T$52</definedName>
    <definedName name="OSRRefT22_7x_0" localSheetId="48">'300'!$T$184:$T$185</definedName>
    <definedName name="OSRRefT22_7x_0" localSheetId="49">'300 &amp; 317'!$T$207:$T$208</definedName>
    <definedName name="OSRRefT22_7x_0" localSheetId="50">'301'!$T$54:$T$55</definedName>
    <definedName name="OSRRefT22_7x_0" localSheetId="51">'306'!$T$51:$T$53</definedName>
    <definedName name="OSRRefT22_7x_0" localSheetId="53">'307'!$T$92</definedName>
    <definedName name="OSRRefT22_7x_0" localSheetId="55">'308'!$T$90</definedName>
    <definedName name="OSRRefT22_7x_0" localSheetId="66">'309'!$T$57</definedName>
    <definedName name="OSRRefT22_7x_0" localSheetId="65">'310'!$T$65</definedName>
    <definedName name="OSRRefT22_7x_0" localSheetId="76">'310 &amp; 491'!$T$75</definedName>
    <definedName name="OSRRefT22_7x_0" localSheetId="56">'311'!$T$90</definedName>
    <definedName name="OSRRefT22_7x_0" localSheetId="67">'313'!$T$60</definedName>
    <definedName name="OSRRefT22_7x_0" localSheetId="59">'315'!$T$85</definedName>
    <definedName name="OSRRefT22_7x_0" localSheetId="61">'316'!$T$64</definedName>
    <definedName name="OSRRefT22_7x_0" localSheetId="64">'317'!$T$88</definedName>
    <definedName name="OSRRefT22_7x_0" localSheetId="62">'320'!$T$60</definedName>
    <definedName name="OSRRefT22_7x_0" localSheetId="68">'321'!$T$56</definedName>
    <definedName name="OSRRefT22_7x_0" localSheetId="69">'322'!$T$57</definedName>
    <definedName name="OSRRefT22_7x_0" localSheetId="72">'325'!$T$58</definedName>
    <definedName name="OSRRefT22_7x_0" localSheetId="73">'326'!$T$83</definedName>
    <definedName name="OSRRefT22_7x_0" localSheetId="52">'330'!$T$106</definedName>
    <definedName name="OSRRefT22_7x_0" localSheetId="58">'331'!$T$97</definedName>
    <definedName name="OSRRefT22_7x_0" localSheetId="60">'332'!$T$72:$T$73</definedName>
    <definedName name="OSRRefT22_7x_0" localSheetId="78">'405'!$T$58</definedName>
    <definedName name="OSRRefT22_7x_0" localSheetId="79">'406'!$T$58</definedName>
    <definedName name="OSRRefT22_7x_0" localSheetId="80">'411'!$T$54</definedName>
    <definedName name="OSRRefT22_7x_0" localSheetId="81">'412'!$T$57</definedName>
    <definedName name="OSRRefT22_7x_0" localSheetId="82">'413'!$T$58</definedName>
    <definedName name="OSRRefT22_7x_0" localSheetId="83">'414'!$T$59</definedName>
    <definedName name="OSRRefT22_7x_0" localSheetId="84">'415'!$T$58</definedName>
    <definedName name="OSRRefT22_7x_0" localSheetId="85">'418'!$T$60</definedName>
    <definedName name="OSRRefT22_7x_0" localSheetId="88">'424'!$T$56</definedName>
    <definedName name="OSRRefT22_7x_0" localSheetId="89">'425'!$T$58</definedName>
    <definedName name="OSRRefT22_7x_0" localSheetId="92">'430'!$T$51:$T$53</definedName>
    <definedName name="OSRRefT22_7x_0" localSheetId="93">'433'!$T$59</definedName>
    <definedName name="OSRRefT22_7x_0" localSheetId="94">'435'!$T$57</definedName>
    <definedName name="OSRRefT22_7x_0" localSheetId="95">'444'!$T$59</definedName>
    <definedName name="OSRRefT22_7x_0" localSheetId="97">'450'!$T$59</definedName>
    <definedName name="OSRRefT22_7x_0" localSheetId="77">'491'!$T$69</definedName>
    <definedName name="OSRRefT22_7x_0" localSheetId="91">'492'!$T$63</definedName>
    <definedName name="OSRRefT22_7x_0" localSheetId="99">'501'!$T$52</definedName>
    <definedName name="OSRRefT22_7x_0" localSheetId="39">'Div 2'!$T$53</definedName>
    <definedName name="OSRRefT22_7x_0" localSheetId="47">'Div 3'!$T$190:$T$191</definedName>
    <definedName name="OSRRefT22_7x_0" localSheetId="75">'Div 4'!$T$72</definedName>
    <definedName name="OSRRefT22_7x_0" localSheetId="98">'Div 5'!$T$52</definedName>
    <definedName name="OSRRefT22_7x_0" localSheetId="63">'Div 6'!$T$88</definedName>
    <definedName name="OSRRefT22_7x_0" localSheetId="2">Summary!$T$221:$T$223</definedName>
    <definedName name="OSRRefT22_8x_0" localSheetId="41">'201'!$T$53:$T$54</definedName>
    <definedName name="OSRRefT22_8x_0" localSheetId="42">'202'!$T$53:$T$55</definedName>
    <definedName name="OSRRefT22_8x_0" localSheetId="43">'203'!$T$54</definedName>
    <definedName name="OSRRefT22_8x_0" localSheetId="44">'204'!$T$57</definedName>
    <definedName name="OSRRefT22_8x_0" localSheetId="45">'205'!$T$54</definedName>
    <definedName name="OSRRefT22_8x_0" localSheetId="46">'206'!$T$54</definedName>
    <definedName name="OSRRefT22_8x_0" localSheetId="48">'300'!$T$187</definedName>
    <definedName name="OSRRefT22_8x_0" localSheetId="49">'300 &amp; 317'!$T$210</definedName>
    <definedName name="OSRRefT22_8x_0" localSheetId="50">'301'!$T$57</definedName>
    <definedName name="OSRRefT22_8x_0" localSheetId="51">'306'!$T$55</definedName>
    <definedName name="OSRRefT22_8x_0" localSheetId="53">'307'!$T$94</definedName>
    <definedName name="OSRRefT22_8x_0" localSheetId="55">'308'!$T$92</definedName>
    <definedName name="OSRRefT22_8x_0" localSheetId="66">'309'!$T$59</definedName>
    <definedName name="OSRRefT22_8x_0" localSheetId="65">'310'!$T$67</definedName>
    <definedName name="OSRRefT22_8x_0" localSheetId="76">'310 &amp; 491'!$T$77</definedName>
    <definedName name="OSRRefT22_8x_0" localSheetId="56">'311'!$T$92</definedName>
    <definedName name="OSRRefT22_8x_0" localSheetId="67">'313'!$T$62</definedName>
    <definedName name="OSRRefT22_8x_0" localSheetId="59">'315'!$T$87</definedName>
    <definedName name="OSRRefT22_8x_0" localSheetId="61">'316'!$T$66</definedName>
    <definedName name="OSRRefT22_8x_0" localSheetId="64">'317'!$T$90:$T$91</definedName>
    <definedName name="OSRRefT22_8x_0" localSheetId="68">'321'!$T$58</definedName>
    <definedName name="OSRRefT22_8x_0" localSheetId="69">'322'!$T$59</definedName>
    <definedName name="OSRRefT22_8x_0" localSheetId="72">'325'!$T$60</definedName>
    <definedName name="OSRRefT22_8x_0" localSheetId="73">'326'!$T$85</definedName>
    <definedName name="OSRRefT22_8x_0" localSheetId="52">'330'!$T$108</definedName>
    <definedName name="OSRRefT22_8x_0" localSheetId="58">'331'!$T$99</definedName>
    <definedName name="OSRRefT22_8x_0" localSheetId="60">'332'!$T$75</definedName>
    <definedName name="OSRRefT22_8x_0" localSheetId="78">'405'!$T$60</definedName>
    <definedName name="OSRRefT22_8x_0" localSheetId="79">'406'!$T$60:$T$61</definedName>
    <definedName name="OSRRefT22_8x_0" localSheetId="80">'411'!$T$56</definedName>
    <definedName name="OSRRefT22_8x_0" localSheetId="81">'412'!$T$59:$T$60</definedName>
    <definedName name="OSRRefT22_8x_0" localSheetId="82">'413'!$T$60</definedName>
    <definedName name="OSRRefT22_8x_0" localSheetId="83">'414'!$T$61</definedName>
    <definedName name="OSRRefT22_8x_0" localSheetId="84">'415'!$T$60</definedName>
    <definedName name="OSRRefT22_8x_0" localSheetId="85">'418'!$T$62:$T$63</definedName>
    <definedName name="OSRRefT22_8x_0" localSheetId="88">'424'!$T$58:$T$59</definedName>
    <definedName name="OSRRefT22_8x_0" localSheetId="89">'425'!$T$60</definedName>
    <definedName name="OSRRefT22_8x_0" localSheetId="92">'430'!$T$55</definedName>
    <definedName name="OSRRefT22_8x_0" localSheetId="93">'433'!$T$61</definedName>
    <definedName name="OSRRefT22_8x_0" localSheetId="95">'444'!$T$61</definedName>
    <definedName name="OSRRefT22_8x_0" localSheetId="97">'450'!$T$61</definedName>
    <definedName name="OSRRefT22_8x_0" localSheetId="77">'491'!$T$71</definedName>
    <definedName name="OSRRefT22_8x_0" localSheetId="91">'492'!$T$65</definedName>
    <definedName name="OSRRefT22_8x_0" localSheetId="99">'501'!$T$54</definedName>
    <definedName name="OSRRefT22_8x_0" localSheetId="39">'Div 2'!$T$55</definedName>
    <definedName name="OSRRefT22_8x_0" localSheetId="47">'Div 3'!$T$193</definedName>
    <definedName name="OSRRefT22_8x_0" localSheetId="75">'Div 4'!$T$74</definedName>
    <definedName name="OSRRefT22_8x_0" localSheetId="98">'Div 5'!$T$54</definedName>
    <definedName name="OSRRefT22_8x_0" localSheetId="63">'Div 6'!$T$90:$T$91</definedName>
    <definedName name="OSRRefT22_8x_0" localSheetId="2">Summary!$T$225</definedName>
    <definedName name="OSRRefT22_9x_0" localSheetId="41">'201'!$T$56:$T$57</definedName>
    <definedName name="OSRRefT22_9x_0" localSheetId="42">'202'!$T$57</definedName>
    <definedName name="OSRRefT22_9x_0" localSheetId="43">'203'!$T$56:$T$57</definedName>
    <definedName name="OSRRefT22_9x_0" localSheetId="44">'204'!$T$59:$T$60</definedName>
    <definedName name="OSRRefT22_9x_0" localSheetId="46">'206'!$T$56</definedName>
    <definedName name="OSRRefT22_9x_0" localSheetId="48">'300'!$T$189</definedName>
    <definedName name="OSRRefT22_9x_0" localSheetId="49">'300 &amp; 317'!$T$212</definedName>
    <definedName name="OSRRefT22_9x_0" localSheetId="50">'301'!$T$59</definedName>
    <definedName name="OSRRefT22_9x_0" localSheetId="53">'307'!$T$96:$T$97</definedName>
    <definedName name="OSRRefT22_9x_0" localSheetId="55">'308'!$T$94:$T$95</definedName>
    <definedName name="OSRRefT22_9x_0" localSheetId="66">'309'!$T$61:$T$62</definedName>
    <definedName name="OSRRefT22_9x_0" localSheetId="65">'310'!$T$69</definedName>
    <definedName name="OSRRefT22_9x_0" localSheetId="76">'310 &amp; 491'!$T$79</definedName>
    <definedName name="OSRRefT22_9x_0" localSheetId="56">'311'!$T$94:$T$95</definedName>
    <definedName name="OSRRefT22_9x_0" localSheetId="67">'313'!$T$64:$T$65</definedName>
    <definedName name="OSRRefT22_9x_0" localSheetId="59">'315'!$T$89</definedName>
    <definedName name="OSRRefT22_9x_0" localSheetId="61">'316'!$T$68</definedName>
    <definedName name="OSRRefT22_9x_0" localSheetId="64">'317'!$T$93:$T$94</definedName>
    <definedName name="OSRRefT22_9x_0" localSheetId="68">'321'!$T$60:$T$61</definedName>
    <definedName name="OSRRefT22_9x_0" localSheetId="69">'322'!$T$61:$T$62</definedName>
    <definedName name="OSRRefT22_9x_0" localSheetId="72">'325'!$T$62</definedName>
    <definedName name="OSRRefT22_9x_0" localSheetId="73">'326'!$T$87</definedName>
    <definedName name="OSRRefT22_9x_0" localSheetId="52">'330'!$T$110:$T$111</definedName>
    <definedName name="OSRRefT22_9x_0" localSheetId="58">'331'!$T$101</definedName>
    <definedName name="OSRRefT22_9x_0" localSheetId="60">'332'!$T$77</definedName>
    <definedName name="OSRRefT22_9x_0" localSheetId="78">'405'!$T$62</definedName>
    <definedName name="OSRRefT22_9x_0" localSheetId="79">'406'!$T$63:$T$65</definedName>
    <definedName name="OSRRefT22_9x_0" localSheetId="80">'411'!$T$58</definedName>
    <definedName name="OSRRefT22_9x_0" localSheetId="81">'412'!$T$62</definedName>
    <definedName name="OSRRefT22_9x_0" localSheetId="82">'413'!$T$62:$T$66</definedName>
    <definedName name="OSRRefT22_9x_0" localSheetId="83">'414'!$T$63</definedName>
    <definedName name="OSRRefT22_9x_0" localSheetId="84">'415'!$T$62</definedName>
    <definedName name="OSRRefT22_9x_0" localSheetId="85">'418'!$T$65</definedName>
    <definedName name="OSRRefT22_9x_0" localSheetId="88">'424'!$T$61</definedName>
    <definedName name="OSRRefT22_9x_0" localSheetId="89">'425'!$T$62</definedName>
    <definedName name="OSRRefT22_9x_0" localSheetId="92">'430'!$T$57</definedName>
    <definedName name="OSRRefT22_9x_0" localSheetId="93">'433'!$T$63</definedName>
    <definedName name="OSRRefT22_9x_0" localSheetId="95">'444'!$T$63</definedName>
    <definedName name="OSRRefT22_9x_0" localSheetId="97">'450'!$T$63</definedName>
    <definedName name="OSRRefT22_9x_0" localSheetId="77">'491'!$T$73:$T$74</definedName>
    <definedName name="OSRRefT22_9x_0" localSheetId="91">'492'!$T$67</definedName>
    <definedName name="OSRRefT22_9x_0" localSheetId="99">'501'!$T$56</definedName>
    <definedName name="OSRRefT22_9x_0" localSheetId="39">'Div 2'!$T$57</definedName>
    <definedName name="OSRRefT22_9x_0" localSheetId="47">'Div 3'!$T$195</definedName>
    <definedName name="OSRRefT22_9x_0" localSheetId="75">'Div 4'!$T$76</definedName>
    <definedName name="OSRRefT22_9x_0" localSheetId="98">'Div 5'!$T$56</definedName>
    <definedName name="OSRRefT22_9x_0" localSheetId="63">'Div 6'!$T$93:$T$94</definedName>
    <definedName name="OSRRefT22_9x_0" localSheetId="2">Summary!$T$227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'201'!$T$20:$T$28,'201'!$T$30:$T$39,'201'!$T$41,'201'!$T$43,'201'!$T$45,'201'!$T$47,'201'!$T$49,'201'!$T$51,'201'!$T$53:$T$54,'201'!$T$56:$T$57,'201'!$T$59,'201'!$T$61:$T$63,'201'!$T$65,'201'!$T$67,'201'!$T$69</definedName>
    <definedName name="OSRRefT22x_0" localSheetId="42">'202'!$T$20:$T$28,'202'!$T$30:$T$39,'202'!$T$41,'202'!$T$43,'202'!$T$45,'202'!$T$47,'202'!$T$49,'202'!$T$51,'202'!$T$53:$T$55,'202'!$T$57,'202'!$T$59,'202'!$T$61,'202'!$T$63:$T$64,'202'!$T$66,'202'!$T$68</definedName>
    <definedName name="OSRRefT22x_0" localSheetId="43">'203'!$T$20:$T$29,'203'!$T$31:$T$40,'203'!$T$42,'203'!$T$44,'203'!$T$46,'203'!$T$48,'203'!$T$50,'203'!$T$52,'203'!$T$54,'203'!$T$56:$T$57,'203'!$T$59:$T$60,'203'!$T$62,'203'!$T$64:$T$66,'203'!$T$68,'203'!$T$70,'203'!$T$72</definedName>
    <definedName name="OSRRefT22x_0" localSheetId="44">'204'!$T$20:$T$29,'204'!$T$31:$T$40,'204'!$T$42,'204'!$T$44,'204'!$T$46,'204'!$T$48,'204'!$T$50:$T$53,'204'!$T$55,'204'!$T$57,'204'!$T$59:$T$60,'204'!$T$62,'204'!$T$64:$T$65</definedName>
    <definedName name="OSRRefT22x_0" localSheetId="45">'205'!$T$20:$T$28,'205'!$T$30:$T$39,'205'!$T$41,'205'!$T$43,'205'!$T$45,'205'!$T$47,'205'!$T$49,'205'!$T$51:$T$52,'205'!$T$54</definedName>
    <definedName name="OSRRefT22x_0" localSheetId="46">'206'!$T$20:$T$28,'206'!$T$30:$T$39,'206'!$T$41,'206'!$T$43,'206'!$T$45,'206'!$T$47,'206'!$T$49:$T$50,'206'!$T$52,'206'!$T$54,'206'!$T$56</definedName>
    <definedName name="OSRRefT22x_0" localSheetId="48">'300'!$T$148:$T$157,'300'!$T$159:$T$168,'300'!$T$170,'300'!$T$172:$T$173,'300'!$T$175,'300'!$T$177:$T$179,'300'!$T$181:$T$182,'300'!$T$184:$T$185,'300'!$T$187,'300'!$T$189,'300'!$T$191:$T$192,'300'!$T$194,'300'!$T$196,'300'!$T$198,'300'!$T$200,'300'!$T$202,'300'!$T$204:$T$206,'300'!$T$208:$T$211,'300'!$T$213:$T$216,'300'!$T$218:$T$219,'300'!$T$221:$T$227,'300'!$T$229:$T$230,'300'!$T$232,'300'!$T$234:$T$236,'300'!$T$238</definedName>
    <definedName name="OSRRefT22x_0" localSheetId="49">'300 &amp; 317'!$T$171:$T$180,'300 &amp; 317'!$T$182:$T$191,'300 &amp; 317'!$T$193,'300 &amp; 317'!$T$195:$T$196,'300 &amp; 317'!$T$198,'300 &amp; 317'!$T$200:$T$202,'300 &amp; 317'!$T$204:$T$205,'300 &amp; 317'!$T$207:$T$208,'300 &amp; 317'!$T$210,'300 &amp; 317'!$T$212,'300 &amp; 317'!$T$214:$T$215,'300 &amp; 317'!$T$217,'300 &amp; 317'!$T$219,'300 &amp; 317'!$T$221,'300 &amp; 317'!$T$223,'300 &amp; 317'!$T$225,'300 &amp; 317'!$T$227:$T$229,'300 &amp; 317'!$T$231:$T$234,'300 &amp; 317'!$T$236:$T$239,'300 &amp; 317'!$T$241:$T$242,'300 &amp; 317'!$T$244:$T$250,'300 &amp; 317'!$T$252:$T$253,'300 &amp; 317'!$T$255,'300 &amp; 317'!$T$257:$T$259,'300 &amp; 317'!$T$261</definedName>
    <definedName name="OSRRefT22x_0" localSheetId="50">'301'!$T$20:$T$28,'301'!$T$30:$T$39,'301'!$T$41,'301'!$T$43,'301'!$T$45,'301'!$T$47:$T$49,'301'!$T$51:$T$52,'301'!$T$54:$T$55,'301'!$T$57,'301'!$T$59,'301'!$T$61,'301'!$T$63,'301'!$T$65,'301'!$T$67,'301'!$T$69,'301'!$T$71:$T$73,'301'!$T$75:$T$77,'301'!$T$79:$T$80,'301'!$T$82:$T$87,'301'!$T$89,'301'!$T$91,'301'!$T$93:$T$94,'301'!$T$96</definedName>
    <definedName name="OSRRefT22x_0" localSheetId="51">'306'!$T$20:$T$28,'306'!$T$30:$T$39,'306'!$T$41,'306'!$T$43,'306'!$T$45,'306'!$T$47,'306'!$T$49,'306'!$T$51:$T$53,'306'!$T$55</definedName>
    <definedName name="OSRRefT22x_0" localSheetId="53">'307'!$T$60:$T$68,'307'!$T$70:$T$79,'307'!$T$81,'307'!$T$83,'307'!$T$85:$T$86,'307'!$T$88,'307'!$T$90,'307'!$T$92,'307'!$T$94,'307'!$T$96:$T$97,'307'!$T$99,'307'!$T$101,'307'!$T$103</definedName>
    <definedName name="OSRRefT22x_0" localSheetId="55">'308'!$T$57:$T$66,'308'!$T$68:$T$77,'308'!$T$79,'308'!$T$81:$T$82,'308'!$T$84,'308'!$T$86,'308'!$T$88,'308'!$T$90,'308'!$T$92,'308'!$T$94:$T$95,'308'!$T$97,'308'!$T$99:$T$101,'308'!$T$103:$T$104,'308'!$T$106,'308'!$T$108</definedName>
    <definedName name="OSRRefT22x_0" localSheetId="66">'309'!$T$26:$T$34,'309'!$T$36:$T$45,'309'!$T$47,'309'!$T$49,'309'!$T$51,'309'!$T$53,'309'!$T$55,'309'!$T$57,'309'!$T$59,'309'!$T$61:$T$62,'309'!$T$64:$T$66,'309'!$T$68,'309'!$T$70</definedName>
    <definedName name="OSRRefT22x_0" localSheetId="65">'310'!$T$33:$T$41,'310'!$T$43:$T$52,'310'!$T$54,'310'!$T$56,'310'!$T$58,'310'!$T$60:$T$61,'310'!$T$63,'310'!$T$65,'310'!$T$67,'310'!$T$69,'310'!$T$71,'310'!$T$73,'310'!$T$75,'310'!$T$77,'310'!$T$79,'310'!$T$81:$T$82,'310'!$T$84,'310'!$T$86:$T$90,'310'!$T$92,'310'!$T$94:$T$100,'310'!$T$102,'310'!$T$104,'310'!$T$106</definedName>
    <definedName name="OSRRefT22x_0" localSheetId="76">'310 &amp; 491'!$T$40:$T$49,'310 &amp; 491'!$T$51:$T$60,'310 &amp; 491'!$T$62,'310 &amp; 491'!$T$64,'310 &amp; 491'!$T$66,'310 &amp; 491'!$T$68:$T$71,'310 &amp; 491'!$T$73,'310 &amp; 491'!$T$75,'310 &amp; 491'!$T$77,'310 &amp; 491'!$T$79,'310 &amp; 491'!$T$81,'310 &amp; 491'!$T$83:$T$84,'310 &amp; 491'!$T$86,'310 &amp; 491'!$T$88,'310 &amp; 491'!$T$90,'310 &amp; 491'!$T$92,'310 &amp; 491'!$T$94,'310 &amp; 491'!$T$96:$T$99,'310 &amp; 491'!$T$101:$T$103,'310 &amp; 491'!$T$105:$T$110,'310 &amp; 491'!$T$112,'310 &amp; 491'!$T$114:$T$123,'310 &amp; 491'!$T$125:$T$126,'310 &amp; 491'!$T$128,'310 &amp; 491'!$T$130:$T$132,'310 &amp; 491'!$T$134</definedName>
    <definedName name="OSRRefT22x_0" localSheetId="56">'311'!$T$57:$T$66,'311'!$T$68:$T$77,'311'!$T$79,'311'!$T$81:$T$82,'311'!$T$84,'311'!$T$86,'311'!$T$88,'311'!$T$90,'311'!$T$92,'311'!$T$94:$T$95,'311'!$T$97,'311'!$T$99:$T$101,'311'!$T$103:$T$104,'311'!$T$106,'311'!$T$108</definedName>
    <definedName name="OSRRefT22x_0" localSheetId="67">'313'!$T$29:$T$37,'313'!$T$39:$T$48,'313'!$T$50,'313'!$T$52,'313'!$T$54,'313'!$T$56,'313'!$T$58,'313'!$T$60,'313'!$T$62,'313'!$T$64:$T$65,'313'!$T$67,'313'!$T$69:$T$72,'313'!$T$74,'313'!$T$76</definedName>
    <definedName name="OSRRefT22x_0" localSheetId="54">'314'!$T$56:$T$63,'314'!$T$65:$T$74,'314'!$T$76,'314'!$T$78:$T$79,'314'!$T$81,'314'!$T$83,'314'!$T$85</definedName>
    <definedName name="OSRRefT22x_0" localSheetId="59">'315'!$T$54:$T$62,'315'!$T$64:$T$73,'315'!$T$75,'315'!$T$77,'315'!$T$79,'315'!$T$81,'315'!$T$83,'315'!$T$85,'315'!$T$87,'315'!$T$89,'315'!$T$91:$T$93,'315'!$T$95:$T$96,'315'!$T$98:$T$101,'315'!$T$103,'315'!$T$105,'315'!$T$107</definedName>
    <definedName name="OSRRefT22x_0" localSheetId="61">'316'!$T$33:$T$41,'316'!$T$43:$T$52,'316'!$T$54,'316'!$T$56,'316'!$T$58,'316'!$T$60,'316'!$T$62,'316'!$T$64,'316'!$T$66,'316'!$T$68,'316'!$T$70:$T$71,'316'!$T$73:$T$76,'316'!$T$78:$T$79</definedName>
    <definedName name="OSRRefT22x_0" localSheetId="64">'317'!$T$56:$T$65,'317'!$T$67:$T$76,'317'!$T$78,'317'!$T$80,'317'!$T$82,'317'!$T$84,'317'!$T$86,'317'!$T$88,'317'!$T$90:$T$91,'317'!$T$93:$T$94,'317'!$T$96</definedName>
    <definedName name="OSRRefT22x_0" localSheetId="62">'320'!$T$28:$T$35,'320'!$T$37:$T$46,'320'!$T$48,'320'!$T$50:$T$51,'320'!$T$53,'320'!$T$55,'320'!$T$57:$T$58,'320'!$T$60</definedName>
    <definedName name="OSRRefT22x_0" localSheetId="68">'321'!$T$26:$T$33,'321'!$T$35:$T$44,'321'!$T$46,'321'!$T$48,'321'!$T$50,'321'!$T$52,'321'!$T$54,'321'!$T$56,'321'!$T$58,'321'!$T$60:$T$61,'321'!$T$63,'321'!$T$65:$T$66,'321'!$T$68:$T$70,'321'!$T$72,'321'!$T$74</definedName>
    <definedName name="OSRRefT22x_0" localSheetId="69">'322'!$T$26:$T$34,'322'!$T$36:$T$45,'322'!$T$47,'322'!$T$49,'322'!$T$51,'322'!$T$53,'322'!$T$55,'322'!$T$57,'322'!$T$59,'322'!$T$61:$T$62,'322'!$T$64:$T$66,'322'!$T$68:$T$72,'322'!$T$74,'322'!$T$76</definedName>
    <definedName name="OSRRefT22x_0" localSheetId="72">'325'!$T$26:$T$34,'325'!$T$36:$T$45,'325'!$T$47,'325'!$T$49,'325'!$T$51,'325'!$T$53:$T$54,'325'!$T$56,'325'!$T$58,'325'!$T$60,'325'!$T$62,'325'!$T$64,'325'!$T$66:$T$67,'325'!$T$69:$T$72,'325'!$T$74,'325'!$T$76:$T$82,'325'!$T$84,'325'!$T$86,'325'!$T$88</definedName>
    <definedName name="OSRRefT22x_0" localSheetId="73">'326'!$T$51:$T$59,'326'!$T$61:$T$70,'326'!$T$72,'326'!$T$74:$T$75,'326'!$T$77,'326'!$T$79,'326'!$T$81,'326'!$T$83,'326'!$T$85,'326'!$T$87,'326'!$T$89,'326'!$T$91,'326'!$T$93,'326'!$T$95:$T$96,'326'!$T$98:$T$100,'326'!$T$102:$T$103,'326'!$T$105:$T$109,'326'!$T$111:$T$112,'326'!$T$114,'326'!$T$116,'326'!$T$118</definedName>
    <definedName name="OSRRefT22x_0" localSheetId="74">'327'!$T$24</definedName>
    <definedName name="OSRRefT22x_0" localSheetId="52">'330'!$T$74:$T$82,'330'!$T$84:$T$93,'330'!$T$95,'330'!$T$97,'330'!$T$99:$T$100,'330'!$T$102,'330'!$T$104,'330'!$T$106,'330'!$T$108,'330'!$T$110:$T$111,'330'!$T$113,'330'!$T$115,'330'!$T$117,'330'!$T$119</definedName>
    <definedName name="OSRRefT22x_0" localSheetId="58">'331'!$T$65:$T$73,'331'!$T$75:$T$84,'331'!$T$86,'331'!$T$88:$T$89,'331'!$T$91,'331'!$T$93,'331'!$T$95,'331'!$T$97,'331'!$T$99,'331'!$T$101,'331'!$T$103,'331'!$T$105,'331'!$T$107,'331'!$T$109,'331'!$T$111:$T$112,'331'!$T$114:$T$116,'331'!$T$118:$T$120,'331'!$T$122:$T$123,'331'!$T$125:$T$129,'331'!$T$131:$T$132,'331'!$T$134,'331'!$T$136,'331'!$T$138</definedName>
    <definedName name="OSRRefT22x_0" localSheetId="60">'332'!$T$41:$T$49,'332'!$T$51:$T$60,'332'!$T$62,'332'!$T$64,'332'!$T$66,'332'!$T$68,'332'!$T$70,'332'!$T$72:$T$73,'332'!$T$75,'332'!$T$77,'332'!$T$79,'332'!$T$81:$T$82,'332'!$T$84:$T$88,'332'!$T$90:$T$91</definedName>
    <definedName name="OSRRefT22x_0" localSheetId="78">'405'!$T$26:$T$34,'405'!$T$36:$T$45,'405'!$T$47,'405'!$T$49,'405'!$T$51,'405'!$T$53:$T$54,'405'!$T$56,'405'!$T$58,'405'!$T$60,'405'!$T$62,'405'!$T$64:$T$66,'405'!$T$68,'405'!$T$70:$T$72,'405'!$T$74,'405'!$T$76:$T$84,'405'!$T$86,'405'!$T$88,'405'!$T$90</definedName>
    <definedName name="OSRRefT22x_0" localSheetId="79">'406'!$T$27:$T$35,'406'!$T$37:$T$46,'406'!$T$48,'406'!$T$50,'406'!$T$52,'406'!$T$54,'406'!$T$56,'406'!$T$58,'406'!$T$60:$T$61,'406'!$T$63:$T$65,'406'!$T$67:$T$72,'406'!$T$74:$T$75,'406'!$T$77,'406'!$T$79</definedName>
    <definedName name="OSRRefT22x_0" localSheetId="80">'411'!$T$20:$T$29,'411'!$T$31:$T$40,'411'!$T$42,'411'!$T$44:$T$46,'411'!$T$48,'411'!$T$50,'411'!$T$52,'411'!$T$54,'411'!$T$56,'411'!$T$58,'411'!$T$60:$T$62,'411'!$T$64:$T$68,'411'!$T$70:$T$75,'411'!$T$77,'411'!$T$79,'411'!$T$81:$T$83,'411'!$T$85</definedName>
    <definedName name="OSRRefT22x_0" localSheetId="81">'412'!$T$26:$T$34,'412'!$T$36:$T$45,'412'!$T$47,'412'!$T$49,'412'!$T$51,'412'!$T$53,'412'!$T$55,'412'!$T$57,'412'!$T$59:$T$60,'412'!$T$62,'412'!$T$64:$T$65,'412'!$T$67:$T$72,'412'!$T$74,'412'!$T$76</definedName>
    <definedName name="OSRRefT22x_0" localSheetId="82">'413'!$T$27:$T$35,'413'!$T$37:$T$46,'413'!$T$48,'413'!$T$50,'413'!$T$52,'413'!$T$54,'413'!$T$56,'413'!$T$58,'413'!$T$60,'413'!$T$62:$T$66,'413'!$T$68:$T$69,'413'!$T$71</definedName>
    <definedName name="OSRRefT22x_0" localSheetId="83">'414'!$T$27:$T$35,'414'!$T$37:$T$46,'414'!$T$48,'414'!$T$50,'414'!$T$52,'414'!$T$54:$T$55,'414'!$T$57,'414'!$T$59,'414'!$T$61,'414'!$T$63,'414'!$T$65,'414'!$T$67,'414'!$T$69,'414'!$T$71:$T$77,'414'!$T$79,'414'!$T$81</definedName>
    <definedName name="OSRRefT22x_0" localSheetId="84">'415'!$T$26:$T$34,'415'!$T$36:$T$45,'415'!$T$47,'415'!$T$49,'415'!$T$51,'415'!$T$53:$T$54,'415'!$T$56,'415'!$T$58,'415'!$T$60,'415'!$T$62,'415'!$T$64,'415'!$T$66,'415'!$T$68:$T$72,'415'!$T$74,'415'!$T$76:$T$83,'415'!$T$85,'415'!$T$87:$T$88,'415'!$T$90</definedName>
    <definedName name="OSRRefT22x_0" localSheetId="85">'418'!$T$27:$T$35,'418'!$T$37:$T$46,'418'!$T$48,'418'!$T$50,'418'!$T$52,'418'!$T$54:$T$56,'418'!$T$58,'418'!$T$60,'418'!$T$62:$T$63,'418'!$T$65,'418'!$T$67:$T$69,'418'!$T$71,'418'!$T$73:$T$77,'418'!$T$79,'418'!$T$81,'418'!$T$83</definedName>
    <definedName name="OSRRefT22x_0" localSheetId="87">'423'!$T$21:$T$29,'423'!$T$31:$T$40,'423'!$T$42,'423'!$T$44,'423'!$T$46,'423'!$T$48</definedName>
    <definedName name="OSRRefT22x_0" localSheetId="88">'424'!$T$26:$T$33,'424'!$T$35:$T$44,'424'!$T$46,'424'!$T$48,'424'!$T$50,'424'!$T$52,'424'!$T$54,'424'!$T$56,'424'!$T$58:$T$59,'424'!$T$61,'424'!$T$63:$T$64,'424'!$T$66:$T$67</definedName>
    <definedName name="OSRRefT22x_0" localSheetId="89">'425'!$T$27:$T$35,'425'!$T$37:$T$46,'425'!$T$48,'425'!$T$50,'425'!$T$52,'425'!$T$54,'425'!$T$56,'425'!$T$58,'425'!$T$60,'425'!$T$62,'425'!$T$64:$T$65,'425'!$T$67:$T$68,'425'!$T$70:$T$73,'425'!$T$75:$T$76,'425'!$T$78</definedName>
    <definedName name="OSRRefT22x_0" localSheetId="92">'430'!$T$20:$T$28,'430'!$T$30:$T$39,'430'!$T$41,'430'!$T$43,'430'!$T$45,'430'!$T$47,'430'!$T$49,'430'!$T$51:$T$53,'430'!$T$55,'430'!$T$57,'430'!$T$59</definedName>
    <definedName name="OSRRefT22x_0" localSheetId="93">'433'!$T$27:$T$36,'433'!$T$38:$T$47,'433'!$T$49,'433'!$T$51,'433'!$T$53,'433'!$T$55,'433'!$T$57,'433'!$T$59,'433'!$T$61,'433'!$T$63,'433'!$T$65:$T$66,'433'!$T$68:$T$71,'433'!$T$73:$T$79,'433'!$T$81,'433'!$T$83,'433'!$T$85:$T$86</definedName>
    <definedName name="OSRRefT22x_0" localSheetId="94">'435'!$T$26:$T$33,'435'!$T$35:$T$44,'435'!$T$46,'435'!$T$48,'435'!$T$50,'435'!$T$52,'435'!$T$54:$T$55,'435'!$T$57</definedName>
    <definedName name="OSRRefT22x_0" localSheetId="95">'444'!$T$27:$T$36,'444'!$T$38:$T$47,'444'!$T$49,'444'!$T$51,'444'!$T$53,'444'!$T$55,'444'!$T$57,'444'!$T$59,'444'!$T$61,'444'!$T$63,'444'!$T$65,'444'!$T$67:$T$69,'444'!$T$71:$T$74,'444'!$T$76:$T$82,'444'!$T$84,'444'!$T$86,'444'!$T$88</definedName>
    <definedName name="OSRRefT22x_0" localSheetId="97">'450'!$T$26:$T$35,'450'!$T$37:$T$46,'450'!$T$48,'450'!$T$50:$T$51,'450'!$T$53,'450'!$T$55,'450'!$T$57,'450'!$T$59,'450'!$T$61,'450'!$T$63,'450'!$T$65,'450'!$T$67,'450'!$T$69:$T$71,'450'!$T$73:$T$78,'450'!$T$80,'450'!$T$82,'450'!$T$84:$T$85</definedName>
    <definedName name="OSRRefT22x_0" localSheetId="90">'455'!$T$20:$T$27,'455'!$T$29:$T$38</definedName>
    <definedName name="OSRRefT22x_0" localSheetId="77">'491'!$T$34:$T$43,'491'!$T$45:$T$54,'491'!$T$56,'491'!$T$58,'491'!$T$60,'491'!$T$62:$T$65,'491'!$T$67,'491'!$T$69,'491'!$T$71,'491'!$T$73:$T$74,'491'!$T$76,'491'!$T$78,'491'!$T$80,'491'!$T$82,'491'!$T$84:$T$87,'491'!$T$89:$T$91,'491'!$T$93:$T$97,'491'!$T$99,'491'!$T$101:$T$110,'491'!$T$112:$T$113,'491'!$T$115,'491'!$T$117:$T$119,'491'!$T$121</definedName>
    <definedName name="OSRRefT22x_0" localSheetId="91">'492'!$T$29:$T$38,'492'!$T$40:$T$49,'492'!$T$51,'492'!$T$53:$T$54,'492'!$T$56,'492'!$T$58:$T$59,'492'!$T$61,'492'!$T$63,'492'!$T$65,'492'!$T$67,'492'!$T$69,'492'!$T$71,'492'!$T$73:$T$75,'492'!$T$77:$T$80,'492'!$T$82:$T$90,'492'!$T$92,'492'!$T$94,'492'!$T$96:$T$97</definedName>
    <definedName name="OSRRefT22x_0" localSheetId="99">'501'!$T$21:$T$29,'501'!$T$31:$T$40,'501'!$T$42,'501'!$T$44,'501'!$T$46,'501'!$T$48,'501'!$T$50,'501'!$T$52,'501'!$T$54,'501'!$T$56,'501'!$T$58:$T$59,'501'!$T$61:$T$62,'501'!$T$64</definedName>
    <definedName name="OSRRefT22x_0" localSheetId="39">'Div 2'!$T$20:$T$30,'Div 2'!$T$32:$T$41,'Div 2'!$T$43,'Div 2'!$T$45,'Div 2'!$T$47,'Div 2'!$T$49,'Div 2'!$T$51,'Div 2'!$T$53,'Div 2'!$T$55,'Div 2'!$T$57,'Div 2'!$T$59,'Div 2'!$T$61,'Div 2'!$T$63:$T$65,'Div 2'!$T$67:$T$70,'Div 2'!$T$72:$T$75,'Div 2'!$T$77:$T$78,'Div 2'!$T$80:$T$81,'Div 2'!$T$83:$T$86,'Div 2'!$T$88:$T$89,'Div 2'!$T$91,'Div 2'!$T$93:$T$94</definedName>
    <definedName name="OSRRefT22x_0" localSheetId="47">'Div 3'!$T$154:$T$163,'Div 3'!$T$165:$T$174,'Div 3'!$T$176,'Div 3'!$T$178:$T$179,'Div 3'!$T$181,'Div 3'!$T$183:$T$185,'Div 3'!$T$187:$T$188,'Div 3'!$T$190:$T$191,'Div 3'!$T$193,'Div 3'!$T$195,'Div 3'!$T$197:$T$198,'Div 3'!$T$200,'Div 3'!$T$202,'Div 3'!$T$204,'Div 3'!$T$206,'Div 3'!$T$208,'Div 3'!$T$210,'Div 3'!$T$212,'Div 3'!$T$214:$T$216,'Div 3'!$T$218:$T$221,'Div 3'!$T$223:$T$228,'Div 3'!$T$230:$T$231,'Div 3'!$T$233:$T$240,'Div 3'!$T$242:$T$243,'Div 3'!$T$245,'Div 3'!$T$247:$T$249,'Div 3'!$T$251</definedName>
    <definedName name="OSRRefT22x_0" localSheetId="75">'Div 4'!$T$35:$T$44,'Div 4'!$T$46:$T$55,'Div 4'!$T$57,'Div 4'!$T$59:$T$60,'Div 4'!$T$62,'Div 4'!$T$64:$T$67,'Div 4'!$T$69:$T$70,'Div 4'!$T$72,'Div 4'!$T$74,'Div 4'!$T$76,'Div 4'!$T$78:$T$79,'Div 4'!$T$81,'Div 4'!$T$83,'Div 4'!$T$85,'Div 4'!$T$87,'Div 4'!$T$89,'Div 4'!$T$91:$T$94,'Div 4'!$T$96:$T$98,'Div 4'!$T$100:$T$104,'Div 4'!$T$106,'Div 4'!$T$108:$T$117,'Div 4'!$T$119:$T$120,'Div 4'!$T$122,'Div 4'!$T$124:$T$126,'Div 4'!$T$128</definedName>
    <definedName name="OSRRefT22x_0" localSheetId="98">'Div 5'!$T$21:$T$29,'Div 5'!$T$31:$T$40,'Div 5'!$T$42,'Div 5'!$T$44,'Div 5'!$T$46,'Div 5'!$T$48,'Div 5'!$T$50,'Div 5'!$T$52,'Div 5'!$T$54,'Div 5'!$T$56,'Div 5'!$T$58:$T$59,'Div 5'!$T$61:$T$62,'Div 5'!$T$64</definedName>
    <definedName name="OSRRefT22x_0" localSheetId="63">'Div 6'!$T$56:$T$65,'Div 6'!$T$67:$T$76,'Div 6'!$T$78,'Div 6'!$T$80,'Div 6'!$T$82,'Div 6'!$T$84,'Div 6'!$T$86,'Div 6'!$T$88,'Div 6'!$T$90:$T$91,'Div 6'!$T$93:$T$94,'Div 6'!$T$96</definedName>
    <definedName name="OSRRefT22x_0" localSheetId="2">Summary!$T$184:$T$193,Summary!$T$195:$T$204,Summary!$T$206,Summary!$T$208:$T$209,Summary!$T$211,Summary!$T$213:$T$216,Summary!$T$218:$T$219,Summary!$T$221:$T$223,Summary!$T$225,Summary!$T$227,Summary!$T$229:$T$230,Summary!$T$232:$T$233,Summary!$T$235,Summary!$T$237,Summary!$T$239,Summary!$T$241,Summary!$T$243,Summary!$T$245,Summary!$T$247:$T$250,Summary!$T$252:$T$255,Summary!$T$257:$T$262,Summary!$T$264:$T$265,Summary!$T$267:$T$276,Summary!$T$278:$T$279,Summary!$T$281,Summary!$T$283:$T$285,Summary!$T$287</definedName>
    <definedName name="OSRRefT25x_0" localSheetId="48">'300'!$T$241:$T$247</definedName>
    <definedName name="OSRRefT25x_0" localSheetId="49">'300 &amp; 317'!$T$264:$T$272</definedName>
    <definedName name="OSRRefT25x_0" localSheetId="50">'301'!$T$99:$T$101</definedName>
    <definedName name="OSRRefT25x_0" localSheetId="55">'308'!$T$111:$T$113</definedName>
    <definedName name="OSRRefT25x_0" localSheetId="76">'310 &amp; 491'!$T$137:$T$140</definedName>
    <definedName name="OSRRefT25x_0" localSheetId="56">'311'!$T$111:$T$113</definedName>
    <definedName name="OSRRefT25x_0" localSheetId="59">'315'!$T$110:$T$112</definedName>
    <definedName name="OSRRefT25x_0" localSheetId="61">'316'!$T$82:$T$83</definedName>
    <definedName name="OSRRefT25x_0" localSheetId="64">'317'!$T$99:$T$101</definedName>
    <definedName name="OSRRefT25x_0" localSheetId="62">'320'!$T$63:$T$66</definedName>
    <definedName name="OSRRefT25x_0" localSheetId="58">'331'!$T$141:$T$143</definedName>
    <definedName name="OSRRefT25x_0" localSheetId="60">'332'!$T$94:$T$99</definedName>
    <definedName name="OSRRefT25x_0" localSheetId="80">'411'!$T$88:$T$89</definedName>
    <definedName name="OSRRefT25x_0" localSheetId="82">'413'!$T$74</definedName>
    <definedName name="OSRRefT25x_0" localSheetId="87">'423'!$T$51</definedName>
    <definedName name="OSRRefT25x_0" localSheetId="88">'424'!$T$70</definedName>
    <definedName name="OSRRefT25x_0" localSheetId="89">'425'!$T$81</definedName>
    <definedName name="OSRRefT25x_0" localSheetId="90">'455'!$T$41:$T$44</definedName>
    <definedName name="OSRRefT25x_0" localSheetId="77">'491'!$T$124:$T$127</definedName>
    <definedName name="OSRRefT25x_0" localSheetId="99">'501'!$T$67</definedName>
    <definedName name="OSRRefT25x_0" localSheetId="47">'Div 3'!$T$254:$T$260</definedName>
    <definedName name="OSRRefT25x_0" localSheetId="75">'Div 4'!$T$131:$T$134</definedName>
    <definedName name="OSRRefT25x_0" localSheetId="98">'Div 5'!$T$67</definedName>
    <definedName name="OSRRefT25x_0" localSheetId="63">'Div 6'!$T$99:$T$101</definedName>
    <definedName name="OSRRefT25x_0" localSheetId="2">Summary!$T$290:$T$299</definedName>
    <definedName name="_xlnm.Print_Area" localSheetId="38">'100'!$A$1:$Z$34</definedName>
    <definedName name="_xlnm.Print_Area" localSheetId="40">'200'!$A$1:$Z$41</definedName>
    <definedName name="_xlnm.Print_Area" localSheetId="41">'201'!$A$1:$Z$83</definedName>
    <definedName name="_xlnm.Print_Area" localSheetId="42">'202'!$A$1:$Z$82</definedName>
    <definedName name="_xlnm.Print_Area" localSheetId="43">'203'!$A$1:$Z$86</definedName>
    <definedName name="_xlnm.Print_Area" localSheetId="44">'204'!$A$1:$Z$79</definedName>
    <definedName name="_xlnm.Print_Area" localSheetId="45">'205'!$A$1:$Z$68</definedName>
    <definedName name="_xlnm.Print_Area" localSheetId="46">'206'!$A$1:$Z$70</definedName>
    <definedName name="_xlnm.Print_Area" localSheetId="48">'300'!$A$1:$Z$259</definedName>
    <definedName name="_xlnm.Print_Area" localSheetId="49">'300 &amp; 317'!$A$1:$Z$284</definedName>
    <definedName name="_xlnm.Print_Area" localSheetId="50">'301'!$A$1:$Z$113</definedName>
    <definedName name="_xlnm.Print_Area" localSheetId="51">'306'!$A$1:$Z$69</definedName>
    <definedName name="_xlnm.Print_Area" localSheetId="53">'307'!$A$1:$Z$117</definedName>
    <definedName name="_xlnm.Print_Area" localSheetId="55">'308'!$A$1:$Z$125</definedName>
    <definedName name="_xlnm.Print_Area" localSheetId="66">'309'!$A$1:$Z$84</definedName>
    <definedName name="_xlnm.Print_Area" localSheetId="65">'310'!$A$1:$Z$120</definedName>
    <definedName name="_xlnm.Print_Area" localSheetId="76">'310 &amp; 491'!$A$1:$Z$152</definedName>
    <definedName name="_xlnm.Print_Area" localSheetId="56">'311'!$A$1:$Z$125</definedName>
    <definedName name="_xlnm.Print_Area" localSheetId="57">'312'!$A$1:$Z$32</definedName>
    <definedName name="_xlnm.Print_Area" localSheetId="67">'313'!$A$1:$Z$90</definedName>
    <definedName name="_xlnm.Print_Area" localSheetId="54">'314'!$A$1:$Z$99</definedName>
    <definedName name="_xlnm.Print_Area" localSheetId="59">'315'!$A$1:$Z$124</definedName>
    <definedName name="_xlnm.Print_Area" localSheetId="61">'316'!$A$1:$Z$95</definedName>
    <definedName name="_xlnm.Print_Area" localSheetId="64">'317'!$A$1:$Z$113</definedName>
    <definedName name="_xlnm.Print_Area" localSheetId="62">'320'!$A$1:$Z$78</definedName>
    <definedName name="_xlnm.Print_Area" localSheetId="68">'321'!$A$1:$Z$88</definedName>
    <definedName name="_xlnm.Print_Area" localSheetId="69">'322'!$A$1:$Z$90</definedName>
    <definedName name="_xlnm.Print_Area" localSheetId="70">'323'!$A$1:$Z$32</definedName>
    <definedName name="_xlnm.Print_Area" localSheetId="71">'324'!$A$1:$Z$38</definedName>
    <definedName name="_xlnm.Print_Area" localSheetId="72">'325'!$A$1:$Z$102</definedName>
    <definedName name="_xlnm.Print_Area" localSheetId="73">'326'!$A$1:$Z$132</definedName>
    <definedName name="_xlnm.Print_Area" localSheetId="74">'327'!$A$1:$Z$38</definedName>
    <definedName name="_xlnm.Print_Area" localSheetId="52">'330'!$A$1:$Z$133</definedName>
    <definedName name="_xlnm.Print_Area" localSheetId="58">'331'!$A$1:$Z$155</definedName>
    <definedName name="_xlnm.Print_Area" localSheetId="60">'332'!$A$1:$Z$111</definedName>
    <definedName name="_xlnm.Print_Area" localSheetId="78">'405'!$A$1:$Z$104</definedName>
    <definedName name="_xlnm.Print_Area" localSheetId="79">'406'!$A$1:$Z$93</definedName>
    <definedName name="_xlnm.Print_Area" localSheetId="80">'411'!$A$1:$Z$101</definedName>
    <definedName name="_xlnm.Print_Area" localSheetId="81">'412'!$A$1:$Z$90</definedName>
    <definedName name="_xlnm.Print_Area" localSheetId="82">'413'!$A$1:$Z$86</definedName>
    <definedName name="_xlnm.Print_Area" localSheetId="83">'414'!$A$1:$Z$95</definedName>
    <definedName name="_xlnm.Print_Area" localSheetId="84">'415'!$A$1:$Z$104</definedName>
    <definedName name="_xlnm.Print_Area" localSheetId="85">'418'!$A$1:$Z$97</definedName>
    <definedName name="_xlnm.Print_Area" localSheetId="86">'420'!$A$1:$Z$32</definedName>
    <definedName name="_xlnm.Print_Area" localSheetId="87">'423'!$A$1:$Z$63</definedName>
    <definedName name="_xlnm.Print_Area" localSheetId="88">'424'!$A$1:$Z$82</definedName>
    <definedName name="_xlnm.Print_Area" localSheetId="89">'425'!$A$1:$Z$93</definedName>
    <definedName name="_xlnm.Print_Area" localSheetId="92">'430'!$A$1:$Z$73</definedName>
    <definedName name="_xlnm.Print_Area" localSheetId="93">'433'!$A$1:$Z$100</definedName>
    <definedName name="_xlnm.Print_Area" localSheetId="94">'435'!$A$1:$Z$71</definedName>
    <definedName name="_xlnm.Print_Area" localSheetId="95">'444'!$A$1:$Z$102</definedName>
    <definedName name="_xlnm.Print_Area" localSheetId="96">'445'!$A$1:$Z$32</definedName>
    <definedName name="_xlnm.Print_Area" localSheetId="97">'450'!$A$1:$Z$99</definedName>
    <definedName name="_xlnm.Print_Area" localSheetId="90">'455'!$A$1:$Z$56</definedName>
    <definedName name="_xlnm.Print_Area" localSheetId="77">'491'!$A$1:$Z$139</definedName>
    <definedName name="_xlnm.Print_Area" localSheetId="91">'492'!$A$1:$Z$111</definedName>
    <definedName name="_xlnm.Print_Area" localSheetId="99">'501'!$A$1:$Z$79</definedName>
    <definedName name="_xlnm.Print_Area" localSheetId="100">Dept!$A$1:$Z$39</definedName>
    <definedName name="_xlnm.Print_Area" localSheetId="37">'Div 1'!$A$1:$Z$34</definedName>
    <definedName name="_xlnm.Print_Area" localSheetId="39">'Div 2'!$A$1:$Z$108</definedName>
    <definedName name="_xlnm.Print_Area" localSheetId="47">'Div 3'!$A$1:$Z$272</definedName>
    <definedName name="_xlnm.Print_Area" localSheetId="75">'Div 4'!$A$1:$Z$146</definedName>
    <definedName name="_xlnm.Print_Area" localSheetId="98">'Div 5'!$A$1:$Z$79</definedName>
    <definedName name="_xlnm.Print_Area" localSheetId="63">'Div 6'!$A$1:$Z$113</definedName>
    <definedName name="_xlnm.Print_Area" localSheetId="13">'OSR_300 &amp; 317_1C00ID4'!$A$1:$Z$39</definedName>
    <definedName name="_xlnm.Print_Area" localSheetId="14">'OSR_300 (2)_...6aa5a22d_14M6XO4'!$A$1:$Z$39</definedName>
    <definedName name="_xlnm.Print_Area" localSheetId="10">'OSR_300 (2)_7...54cb56fc_UFX0O2'!$A$1:$Z$39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2">'OSR_310 (2)_5...3d931dee_QNK8R2'!$A$1:$Z$39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(2)_...853a34aa_1UNC34K'!$A$1:$Z$39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101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(2)...32d16c57_IVJ1QO'!$A$1:$Z$39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102">'OSR_Summary (...56e5d78f_5JEYZH'!$A$1:$Z$39</definedName>
    <definedName name="_xlnm.Print_Area" localSheetId="3">OSR_Summary_18VAVWG!$A$1:$Z$39</definedName>
    <definedName name="_xlnm.Print_Area" localSheetId="2">Summary!$A$1:$Z$313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6">'309'!$A:$C,'309'!$1:$10</definedName>
    <definedName name="_xlnm.Print_Titles" localSheetId="65">'310'!$A:$C,'310'!$1:$10</definedName>
    <definedName name="_xlnm.Print_Titles" localSheetId="76">'310 &amp; 491'!$A:$C,'310 &amp; 491'!$1:$10</definedName>
    <definedName name="_xlnm.Print_Titles" localSheetId="56">'311'!$A:$C,'311'!$1:$10</definedName>
    <definedName name="_xlnm.Print_Titles" localSheetId="57">'312'!$A:$C,'312'!$1:$10</definedName>
    <definedName name="_xlnm.Print_Titles" localSheetId="67">'313'!$A:$C,'313'!$1:$10</definedName>
    <definedName name="_xlnm.Print_Titles" localSheetId="54">'314'!$A:$C,'314'!$1:$10</definedName>
    <definedName name="_xlnm.Print_Titles" localSheetId="59">'315'!$A:$C,'315'!$1:$10</definedName>
    <definedName name="_xlnm.Print_Titles" localSheetId="61">'316'!$A:$C,'316'!$1:$10</definedName>
    <definedName name="_xlnm.Print_Titles" localSheetId="64">'317'!$A:$C,'317'!$1:$10</definedName>
    <definedName name="_xlnm.Print_Titles" localSheetId="62">'320'!$A:$C,'320'!$1:$10</definedName>
    <definedName name="_xlnm.Print_Titles" localSheetId="68">'321'!$A:$C,'321'!$1:$10</definedName>
    <definedName name="_xlnm.Print_Titles" localSheetId="69">'322'!$A:$C,'322'!$1:$10</definedName>
    <definedName name="_xlnm.Print_Titles" localSheetId="70">'323'!$A:$C,'323'!$1:$10</definedName>
    <definedName name="_xlnm.Print_Titles" localSheetId="71">'324'!$A:$C,'324'!$1:$10</definedName>
    <definedName name="_xlnm.Print_Titles" localSheetId="72">'325'!$A:$C,'325'!$1:$10</definedName>
    <definedName name="_xlnm.Print_Titles" localSheetId="73">'326'!$A:$C,'326'!$1:$10</definedName>
    <definedName name="_xlnm.Print_Titles" localSheetId="74">'327'!$A:$C,'327'!$1:$10</definedName>
    <definedName name="_xlnm.Print_Titles" localSheetId="52">'330'!$A:$C,'330'!$1:$10</definedName>
    <definedName name="_xlnm.Print_Titles" localSheetId="58">'331'!$A:$C,'331'!$1:$10</definedName>
    <definedName name="_xlnm.Print_Titles" localSheetId="60">'332'!$A:$C,'332'!$1:$10</definedName>
    <definedName name="_xlnm.Print_Titles" localSheetId="78">'405'!$A:$C,'405'!$1:$10</definedName>
    <definedName name="_xlnm.Print_Titles" localSheetId="79">'406'!$A:$C,'406'!$1:$10</definedName>
    <definedName name="_xlnm.Print_Titles" localSheetId="80">'411'!$A:$C,'411'!$1:$10</definedName>
    <definedName name="_xlnm.Print_Titles" localSheetId="81">'412'!$A:$C,'412'!$1:$10</definedName>
    <definedName name="_xlnm.Print_Titles" localSheetId="82">'413'!$A:$C,'413'!$1:$10</definedName>
    <definedName name="_xlnm.Print_Titles" localSheetId="83">'414'!$A:$C,'414'!$1:$10</definedName>
    <definedName name="_xlnm.Print_Titles" localSheetId="84">'415'!$A:$C,'415'!$1:$10</definedName>
    <definedName name="_xlnm.Print_Titles" localSheetId="85">'418'!$A:$C,'418'!$1:$10</definedName>
    <definedName name="_xlnm.Print_Titles" localSheetId="86">'420'!$A:$C,'420'!$1:$10</definedName>
    <definedName name="_xlnm.Print_Titles" localSheetId="87">'423'!$A:$C,'423'!$1:$10</definedName>
    <definedName name="_xlnm.Print_Titles" localSheetId="88">'424'!$A:$C,'424'!$1:$10</definedName>
    <definedName name="_xlnm.Print_Titles" localSheetId="89">'425'!$A:$C,'425'!$1:$10</definedName>
    <definedName name="_xlnm.Print_Titles" localSheetId="92">'430'!$A:$C,'430'!$1:$10</definedName>
    <definedName name="_xlnm.Print_Titles" localSheetId="93">'433'!$A:$C,'433'!$1:$10</definedName>
    <definedName name="_xlnm.Print_Titles" localSheetId="94">'435'!$A:$C,'435'!$1:$10</definedName>
    <definedName name="_xlnm.Print_Titles" localSheetId="95">'444'!$A:$C,'444'!$1:$10</definedName>
    <definedName name="_xlnm.Print_Titles" localSheetId="96">'445'!$A:$C,'445'!$1:$10</definedName>
    <definedName name="_xlnm.Print_Titles" localSheetId="97">'450'!$A:$C,'450'!$1:$10</definedName>
    <definedName name="_xlnm.Print_Titles" localSheetId="90">'455'!$A:$C,'455'!$1:$10</definedName>
    <definedName name="_xlnm.Print_Titles" localSheetId="77">'491'!$A:$C,'491'!$1:$10</definedName>
    <definedName name="_xlnm.Print_Titles" localSheetId="91">'492'!$A:$C,'492'!$1:$10</definedName>
    <definedName name="_xlnm.Print_Titles" localSheetId="99">'501'!$A:$C,'501'!$1:$10</definedName>
    <definedName name="_xlnm.Print_Titles" localSheetId="100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5">'Div 4'!$A:$C,'Div 4'!$1:$10</definedName>
    <definedName name="_xlnm.Print_Titles" localSheetId="98">'Div 5'!$A:$C,'Div 5'!$1:$10</definedName>
    <definedName name="_xlnm.Print_Titles" localSheetId="63">'Div 6'!$A:$C,'Div 6'!$1:$10</definedName>
    <definedName name="_xlnm.Print_Titles" localSheetId="13">'OSR_300 &amp; 317_1C00ID4'!$A:$C,'OSR_300 &amp; 317_1C00ID4'!$1:$10</definedName>
    <definedName name="_xlnm.Print_Titles" localSheetId="14">'OSR_300 (2)_...6aa5a22d_14M6XO4'!$A:$C,'OSR_300 (2)_...6aa5a22d_14M6XO4'!$1:$10</definedName>
    <definedName name="_xlnm.Print_Titles" localSheetId="10">'OSR_300 (2)_7...54cb56fc_UFX0O2'!$A:$C,'OSR_300 (2)_7...54cb56fc_UFX0O2'!$1:$10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2">'OSR_310 (2)_5...3d931dee_QNK8R2'!$A:$C,'OSR_310 (2)_5...3d931dee_QNK8R2'!$1:$10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(2)_...853a34aa_1UNC34K'!$A:$C,'OSR_491 (2)_...853a34aa_1UNC34K'!$1:$10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101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(2)...32d16c57_IVJ1QO'!$A:$C,'OSR_Div 5 (2)...32d16c57_IVJ1QO'!$1:$10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102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1" i="110" l="1"/>
  <c r="X71" i="110"/>
  <c r="N71" i="110"/>
  <c r="L71" i="110"/>
  <c r="X67" i="110"/>
  <c r="Z67" i="110" s="1"/>
  <c r="P67" i="110"/>
  <c r="N67" i="110"/>
  <c r="L67" i="110"/>
  <c r="D67" i="110"/>
  <c r="B67" i="110"/>
  <c r="Z66" i="110"/>
  <c r="X66" i="110"/>
  <c r="V66" i="110"/>
  <c r="T66" i="110"/>
  <c r="P66" i="110"/>
  <c r="N66" i="110"/>
  <c r="L66" i="110"/>
  <c r="H66" i="110"/>
  <c r="D66" i="110"/>
  <c r="Z64" i="110"/>
  <c r="X64" i="110"/>
  <c r="N64" i="110"/>
  <c r="L64" i="110"/>
  <c r="J64" i="110"/>
  <c r="B64" i="110"/>
  <c r="Z63" i="110"/>
  <c r="X63" i="110"/>
  <c r="T63" i="110"/>
  <c r="R63" i="110"/>
  <c r="P63" i="110"/>
  <c r="L63" i="110"/>
  <c r="N63" i="110" s="1"/>
  <c r="H63" i="110"/>
  <c r="D63" i="110"/>
  <c r="B63" i="110"/>
  <c r="Z62" i="110"/>
  <c r="X62" i="110"/>
  <c r="N62" i="110"/>
  <c r="L62" i="110"/>
  <c r="J62" i="110"/>
  <c r="B62" i="110"/>
  <c r="Z61" i="110"/>
  <c r="X61" i="110"/>
  <c r="N61" i="110"/>
  <c r="L61" i="110"/>
  <c r="J61" i="110"/>
  <c r="B61" i="110"/>
  <c r="Z60" i="110"/>
  <c r="X60" i="110"/>
  <c r="V60" i="110"/>
  <c r="T60" i="110"/>
  <c r="P60" i="110"/>
  <c r="J60" i="110"/>
  <c r="H60" i="110"/>
  <c r="D60" i="110"/>
  <c r="L60" i="110" s="1"/>
  <c r="N60" i="110" s="1"/>
  <c r="B60" i="110"/>
  <c r="X59" i="110"/>
  <c r="Z59" i="110" s="1"/>
  <c r="N59" i="110"/>
  <c r="L59" i="110"/>
  <c r="B59" i="110"/>
  <c r="Z58" i="110"/>
  <c r="X58" i="110"/>
  <c r="V58" i="110"/>
  <c r="N58" i="110"/>
  <c r="L58" i="110"/>
  <c r="B58" i="110"/>
  <c r="T57" i="110"/>
  <c r="P57" i="110"/>
  <c r="X57" i="110" s="1"/>
  <c r="Z57" i="110" s="1"/>
  <c r="J57" i="110"/>
  <c r="H57" i="110"/>
  <c r="D57" i="110"/>
  <c r="L57" i="110" s="1"/>
  <c r="N57" i="110" s="1"/>
  <c r="B57" i="110"/>
  <c r="Z56" i="110"/>
  <c r="X56" i="110"/>
  <c r="N56" i="110"/>
  <c r="L56" i="110"/>
  <c r="J56" i="110"/>
  <c r="B56" i="110"/>
  <c r="T55" i="110"/>
  <c r="P55" i="110"/>
  <c r="X55" i="110" s="1"/>
  <c r="Z55" i="110" s="1"/>
  <c r="H55" i="110"/>
  <c r="D55" i="110"/>
  <c r="B55" i="110"/>
  <c r="Z54" i="110"/>
  <c r="X54" i="110"/>
  <c r="N54" i="110"/>
  <c r="L54" i="110"/>
  <c r="J54" i="110"/>
  <c r="B54" i="110"/>
  <c r="Z53" i="110"/>
  <c r="T53" i="110"/>
  <c r="X53" i="110" s="1"/>
  <c r="P53" i="110"/>
  <c r="L53" i="110"/>
  <c r="H53" i="110"/>
  <c r="D53" i="110"/>
  <c r="B53" i="110"/>
  <c r="Z52" i="110"/>
  <c r="X52" i="110"/>
  <c r="V52" i="110"/>
  <c r="N52" i="110"/>
  <c r="L52" i="110"/>
  <c r="B52" i="110"/>
  <c r="X51" i="110"/>
  <c r="Z51" i="110" s="1"/>
  <c r="V51" i="110"/>
  <c r="T51" i="110"/>
  <c r="P51" i="110"/>
  <c r="J51" i="110"/>
  <c r="H51" i="110"/>
  <c r="D51" i="110"/>
  <c r="L51" i="110" s="1"/>
  <c r="B51" i="110"/>
  <c r="Z50" i="110"/>
  <c r="X50" i="110"/>
  <c r="N50" i="110"/>
  <c r="L50" i="110"/>
  <c r="J50" i="110"/>
  <c r="B50" i="110"/>
  <c r="T49" i="110"/>
  <c r="P49" i="110"/>
  <c r="H49" i="110"/>
  <c r="D49" i="110"/>
  <c r="L49" i="110" s="1"/>
  <c r="N49" i="110" s="1"/>
  <c r="B49" i="110"/>
  <c r="Z48" i="110"/>
  <c r="X48" i="110"/>
  <c r="N48" i="110"/>
  <c r="L48" i="110"/>
  <c r="J48" i="110"/>
  <c r="B48" i="110"/>
  <c r="T47" i="110"/>
  <c r="P47" i="110"/>
  <c r="X47" i="110" s="1"/>
  <c r="Z47" i="110" s="1"/>
  <c r="N47" i="110"/>
  <c r="H47" i="110"/>
  <c r="L47" i="110" s="1"/>
  <c r="D47" i="110"/>
  <c r="B47" i="110"/>
  <c r="X46" i="110"/>
  <c r="Z46" i="110" s="1"/>
  <c r="N46" i="110"/>
  <c r="L46" i="110"/>
  <c r="B46" i="110"/>
  <c r="V45" i="110"/>
  <c r="T45" i="110"/>
  <c r="P45" i="110"/>
  <c r="L45" i="110"/>
  <c r="N45" i="110" s="1"/>
  <c r="J45" i="110"/>
  <c r="H45" i="110"/>
  <c r="D45" i="110"/>
  <c r="B45" i="110"/>
  <c r="Z44" i="110"/>
  <c r="X44" i="110"/>
  <c r="R44" i="110"/>
  <c r="N44" i="110"/>
  <c r="L44" i="110"/>
  <c r="J44" i="110"/>
  <c r="B44" i="110"/>
  <c r="X43" i="110"/>
  <c r="Z43" i="110" s="1"/>
  <c r="T43" i="110"/>
  <c r="P43" i="110"/>
  <c r="H43" i="110"/>
  <c r="D43" i="110"/>
  <c r="B43" i="110"/>
  <c r="Z42" i="110"/>
  <c r="X42" i="110"/>
  <c r="V42" i="110"/>
  <c r="N42" i="110"/>
  <c r="L42" i="110"/>
  <c r="J42" i="110"/>
  <c r="B42" i="110"/>
  <c r="T41" i="110"/>
  <c r="X41" i="110" s="1"/>
  <c r="P41" i="110"/>
  <c r="H41" i="110"/>
  <c r="D41" i="110"/>
  <c r="B41" i="110"/>
  <c r="Z40" i="110"/>
  <c r="X40" i="110"/>
  <c r="N40" i="110"/>
  <c r="L40" i="110"/>
  <c r="B40" i="110"/>
  <c r="Z39" i="110"/>
  <c r="X39" i="110"/>
  <c r="N39" i="110"/>
  <c r="L39" i="110"/>
  <c r="B39" i="110"/>
  <c r="Z38" i="110"/>
  <c r="X38" i="110"/>
  <c r="N38" i="110"/>
  <c r="L38" i="110"/>
  <c r="B38" i="110"/>
  <c r="Z37" i="110"/>
  <c r="X37" i="110"/>
  <c r="V37" i="110"/>
  <c r="L37" i="110"/>
  <c r="N37" i="110" s="1"/>
  <c r="B37" i="110"/>
  <c r="Z36" i="110"/>
  <c r="X36" i="110"/>
  <c r="V36" i="110"/>
  <c r="N36" i="110"/>
  <c r="L36" i="110"/>
  <c r="B36" i="110"/>
  <c r="Z35" i="110"/>
  <c r="X35" i="110"/>
  <c r="V35" i="110"/>
  <c r="N35" i="110"/>
  <c r="L35" i="110"/>
  <c r="B35" i="110"/>
  <c r="Z34" i="110"/>
  <c r="X34" i="110"/>
  <c r="N34" i="110"/>
  <c r="L34" i="110"/>
  <c r="B34" i="110"/>
  <c r="Z33" i="110"/>
  <c r="X33" i="110"/>
  <c r="V33" i="110"/>
  <c r="N33" i="110"/>
  <c r="L33" i="110"/>
  <c r="B33" i="110"/>
  <c r="Z32" i="110"/>
  <c r="X32" i="110"/>
  <c r="N32" i="110"/>
  <c r="L32" i="110"/>
  <c r="J32" i="110"/>
  <c r="B32" i="110"/>
  <c r="Z31" i="110"/>
  <c r="X31" i="110"/>
  <c r="V31" i="110"/>
  <c r="N31" i="110"/>
  <c r="L31" i="110"/>
  <c r="B31" i="110"/>
  <c r="X30" i="110"/>
  <c r="Z30" i="110" s="1"/>
  <c r="V30" i="110"/>
  <c r="T30" i="110"/>
  <c r="P30" i="110"/>
  <c r="J30" i="110"/>
  <c r="H30" i="110"/>
  <c r="D30" i="110"/>
  <c r="B30" i="110"/>
  <c r="X29" i="110"/>
  <c r="Z29" i="110" s="1"/>
  <c r="N29" i="110"/>
  <c r="L29" i="110"/>
  <c r="B29" i="110"/>
  <c r="Z28" i="110"/>
  <c r="X28" i="110"/>
  <c r="V28" i="110"/>
  <c r="N28" i="110"/>
  <c r="L28" i="110"/>
  <c r="J28" i="110"/>
  <c r="B28" i="110"/>
  <c r="X27" i="110"/>
  <c r="Z27" i="110" s="1"/>
  <c r="N27" i="110"/>
  <c r="L27" i="110"/>
  <c r="J27" i="110"/>
  <c r="B27" i="110"/>
  <c r="Z26" i="110"/>
  <c r="X26" i="110"/>
  <c r="N26" i="110"/>
  <c r="L26" i="110"/>
  <c r="J26" i="110"/>
  <c r="B26" i="110"/>
  <c r="Z25" i="110"/>
  <c r="X25" i="110"/>
  <c r="R25" i="110"/>
  <c r="N25" i="110"/>
  <c r="L25" i="110"/>
  <c r="B25" i="110"/>
  <c r="Z24" i="110"/>
  <c r="X24" i="110"/>
  <c r="V24" i="110"/>
  <c r="N24" i="110"/>
  <c r="L24" i="110"/>
  <c r="J24" i="110"/>
  <c r="B24" i="110"/>
  <c r="X23" i="110"/>
  <c r="Z23" i="110" s="1"/>
  <c r="L23" i="110"/>
  <c r="N23" i="110" s="1"/>
  <c r="J23" i="110"/>
  <c r="B23" i="110"/>
  <c r="Z22" i="110"/>
  <c r="X22" i="110"/>
  <c r="N22" i="110"/>
  <c r="L22" i="110"/>
  <c r="J22" i="110"/>
  <c r="B22" i="110"/>
  <c r="X21" i="110"/>
  <c r="Z21" i="110" s="1"/>
  <c r="R21" i="110"/>
  <c r="N21" i="110"/>
  <c r="L21" i="110"/>
  <c r="B21" i="110"/>
  <c r="V20" i="110"/>
  <c r="T20" i="110"/>
  <c r="X20" i="110" s="1"/>
  <c r="Z20" i="110" s="1"/>
  <c r="P20" i="110"/>
  <c r="N20" i="110"/>
  <c r="L20" i="110"/>
  <c r="H20" i="110"/>
  <c r="D20" i="110"/>
  <c r="B20" i="110"/>
  <c r="T19" i="110"/>
  <c r="V19" i="110" s="1"/>
  <c r="P19" i="110"/>
  <c r="X19" i="110" s="1"/>
  <c r="Z19" i="110" s="1"/>
  <c r="H19" i="110"/>
  <c r="D19" i="110"/>
  <c r="T17" i="110"/>
  <c r="Z15" i="110"/>
  <c r="X15" i="110"/>
  <c r="T15" i="110"/>
  <c r="P15" i="110"/>
  <c r="H15" i="110"/>
  <c r="D15" i="110"/>
  <c r="P13" i="110"/>
  <c r="X13" i="110" s="1"/>
  <c r="Z13" i="110" s="1"/>
  <c r="D13" i="110"/>
  <c r="B13" i="110"/>
  <c r="T12" i="110"/>
  <c r="V46" i="110" s="1"/>
  <c r="P12" i="110"/>
  <c r="R61" i="110" s="1"/>
  <c r="H12" i="110"/>
  <c r="J52" i="110" s="1"/>
  <c r="D6" i="110"/>
  <c r="D4" i="110"/>
  <c r="Z48" i="109"/>
  <c r="X48" i="109"/>
  <c r="N48" i="109"/>
  <c r="L48" i="109"/>
  <c r="F46" i="109"/>
  <c r="Z44" i="109"/>
  <c r="P44" i="109"/>
  <c r="X44" i="109" s="1"/>
  <c r="N44" i="109"/>
  <c r="F44" i="109"/>
  <c r="D44" i="109"/>
  <c r="L44" i="109" s="1"/>
  <c r="B44" i="109"/>
  <c r="Z43" i="109"/>
  <c r="X43" i="109"/>
  <c r="P43" i="109"/>
  <c r="N43" i="109"/>
  <c r="D43" i="109"/>
  <c r="D40" i="109" s="1"/>
  <c r="B43" i="109"/>
  <c r="Z42" i="109"/>
  <c r="P42" i="109"/>
  <c r="X42" i="109" s="1"/>
  <c r="L42" i="109"/>
  <c r="N42" i="109" s="1"/>
  <c r="D42" i="109"/>
  <c r="B42" i="109"/>
  <c r="X41" i="109"/>
  <c r="Z41" i="109" s="1"/>
  <c r="P41" i="109"/>
  <c r="N41" i="109"/>
  <c r="L41" i="109"/>
  <c r="F41" i="109"/>
  <c r="D41" i="109"/>
  <c r="B41" i="109"/>
  <c r="T40" i="109"/>
  <c r="R40" i="109"/>
  <c r="H40" i="109"/>
  <c r="Z38" i="109"/>
  <c r="X38" i="109"/>
  <c r="N38" i="109"/>
  <c r="L38" i="109"/>
  <c r="J38" i="109"/>
  <c r="B38" i="109"/>
  <c r="Z37" i="109"/>
  <c r="X37" i="109"/>
  <c r="N37" i="109"/>
  <c r="L37" i="109"/>
  <c r="B37" i="109"/>
  <c r="Z36" i="109"/>
  <c r="X36" i="109"/>
  <c r="N36" i="109"/>
  <c r="L36" i="109"/>
  <c r="J36" i="109"/>
  <c r="B36" i="109"/>
  <c r="Z35" i="109"/>
  <c r="X35" i="109"/>
  <c r="N35" i="109"/>
  <c r="L35" i="109"/>
  <c r="B35" i="109"/>
  <c r="Z34" i="109"/>
  <c r="X34" i="109"/>
  <c r="N34" i="109"/>
  <c r="L34" i="109"/>
  <c r="F34" i="109"/>
  <c r="B34" i="109"/>
  <c r="Z33" i="109"/>
  <c r="X33" i="109"/>
  <c r="N33" i="109"/>
  <c r="L33" i="109"/>
  <c r="B33" i="109"/>
  <c r="Z32" i="109"/>
  <c r="X32" i="109"/>
  <c r="N32" i="109"/>
  <c r="L32" i="109"/>
  <c r="B32" i="109"/>
  <c r="Z31" i="109"/>
  <c r="X31" i="109"/>
  <c r="N31" i="109"/>
  <c r="L31" i="109"/>
  <c r="J31" i="109"/>
  <c r="B31" i="109"/>
  <c r="Z30" i="109"/>
  <c r="X30" i="109"/>
  <c r="N30" i="109"/>
  <c r="L30" i="109"/>
  <c r="B30" i="109"/>
  <c r="Z29" i="109"/>
  <c r="X29" i="109"/>
  <c r="L29" i="109"/>
  <c r="N29" i="109" s="1"/>
  <c r="F29" i="109"/>
  <c r="B29" i="109"/>
  <c r="T28" i="109"/>
  <c r="P28" i="109"/>
  <c r="X28" i="109" s="1"/>
  <c r="Z28" i="109" s="1"/>
  <c r="H28" i="109"/>
  <c r="L28" i="109" s="1"/>
  <c r="F28" i="109"/>
  <c r="D28" i="109"/>
  <c r="B28" i="109"/>
  <c r="Z27" i="109"/>
  <c r="X27" i="109"/>
  <c r="N27" i="109"/>
  <c r="L27" i="109"/>
  <c r="B27" i="109"/>
  <c r="Z26" i="109"/>
  <c r="X26" i="109"/>
  <c r="L26" i="109"/>
  <c r="N26" i="109" s="1"/>
  <c r="J26" i="109"/>
  <c r="F26" i="109"/>
  <c r="B26" i="109"/>
  <c r="Z25" i="109"/>
  <c r="X25" i="109"/>
  <c r="N25" i="109"/>
  <c r="L25" i="109"/>
  <c r="B25" i="109"/>
  <c r="X24" i="109"/>
  <c r="Z24" i="109" s="1"/>
  <c r="N24" i="109"/>
  <c r="L24" i="109"/>
  <c r="J24" i="109"/>
  <c r="B24" i="109"/>
  <c r="X23" i="109"/>
  <c r="Z23" i="109" s="1"/>
  <c r="N23" i="109"/>
  <c r="L23" i="109"/>
  <c r="B23" i="109"/>
  <c r="Z22" i="109"/>
  <c r="X22" i="109"/>
  <c r="N22" i="109"/>
  <c r="L22" i="109"/>
  <c r="J22" i="109"/>
  <c r="F22" i="109"/>
  <c r="B22" i="109"/>
  <c r="Z21" i="109"/>
  <c r="X21" i="109"/>
  <c r="N21" i="109"/>
  <c r="L21" i="109"/>
  <c r="B21" i="109"/>
  <c r="X20" i="109"/>
  <c r="Z20" i="109" s="1"/>
  <c r="N20" i="109"/>
  <c r="L20" i="109"/>
  <c r="J20" i="109"/>
  <c r="B20" i="109"/>
  <c r="T19" i="109"/>
  <c r="P19" i="109"/>
  <c r="H19" i="109"/>
  <c r="D19" i="109"/>
  <c r="L19" i="109" s="1"/>
  <c r="B19" i="109"/>
  <c r="T18" i="109"/>
  <c r="P18" i="109"/>
  <c r="J18" i="109"/>
  <c r="H18" i="109"/>
  <c r="F18" i="109"/>
  <c r="D18" i="109"/>
  <c r="L18" i="109" s="1"/>
  <c r="T16" i="109"/>
  <c r="J16" i="109"/>
  <c r="F16" i="109"/>
  <c r="T14" i="109"/>
  <c r="P14" i="109"/>
  <c r="N14" i="109"/>
  <c r="L14" i="109"/>
  <c r="J14" i="109"/>
  <c r="H14" i="109"/>
  <c r="F14" i="109"/>
  <c r="D14" i="109"/>
  <c r="T12" i="109"/>
  <c r="P12" i="109"/>
  <c r="H12" i="109"/>
  <c r="J53" i="109" s="1"/>
  <c r="D12" i="109"/>
  <c r="F53" i="109" s="1"/>
  <c r="D6" i="109"/>
  <c r="D4" i="109"/>
  <c r="Z91" i="108"/>
  <c r="X91" i="108"/>
  <c r="L91" i="108"/>
  <c r="N91" i="108" s="1"/>
  <c r="Z87" i="108"/>
  <c r="X87" i="108"/>
  <c r="V87" i="108"/>
  <c r="T87" i="108"/>
  <c r="P87" i="108"/>
  <c r="H87" i="108"/>
  <c r="D87" i="108"/>
  <c r="Z85" i="108"/>
  <c r="X85" i="108"/>
  <c r="N85" i="108"/>
  <c r="L85" i="108"/>
  <c r="B85" i="108"/>
  <c r="Z84" i="108"/>
  <c r="X84" i="108"/>
  <c r="N84" i="108"/>
  <c r="L84" i="108"/>
  <c r="B84" i="108"/>
  <c r="T83" i="108"/>
  <c r="P83" i="108"/>
  <c r="X83" i="108" s="1"/>
  <c r="N83" i="108"/>
  <c r="L83" i="108"/>
  <c r="J83" i="108"/>
  <c r="H83" i="108"/>
  <c r="D83" i="108"/>
  <c r="B83" i="108"/>
  <c r="X82" i="108"/>
  <c r="Z82" i="108" s="1"/>
  <c r="L82" i="108"/>
  <c r="N82" i="108" s="1"/>
  <c r="B82" i="108"/>
  <c r="T81" i="108"/>
  <c r="R81" i="108"/>
  <c r="P81" i="108"/>
  <c r="X81" i="108" s="1"/>
  <c r="Z81" i="108" s="1"/>
  <c r="H81" i="108"/>
  <c r="L81" i="108" s="1"/>
  <c r="D81" i="108"/>
  <c r="B81" i="108"/>
  <c r="Z80" i="108"/>
  <c r="X80" i="108"/>
  <c r="N80" i="108"/>
  <c r="L80" i="108"/>
  <c r="B80" i="108"/>
  <c r="T79" i="108"/>
  <c r="P79" i="108"/>
  <c r="X79" i="108" s="1"/>
  <c r="Z79" i="108" s="1"/>
  <c r="H79" i="108"/>
  <c r="D79" i="108"/>
  <c r="L79" i="108" s="1"/>
  <c r="N79" i="108" s="1"/>
  <c r="B79" i="108"/>
  <c r="X78" i="108"/>
  <c r="Z78" i="108" s="1"/>
  <c r="N78" i="108"/>
  <c r="L78" i="108"/>
  <c r="B78" i="108"/>
  <c r="Z77" i="108"/>
  <c r="X77" i="108"/>
  <c r="N77" i="108"/>
  <c r="L77" i="108"/>
  <c r="B77" i="108"/>
  <c r="Z76" i="108"/>
  <c r="X76" i="108"/>
  <c r="L76" i="108"/>
  <c r="N76" i="108" s="1"/>
  <c r="B76" i="108"/>
  <c r="X75" i="108"/>
  <c r="Z75" i="108" s="1"/>
  <c r="L75" i="108"/>
  <c r="N75" i="108" s="1"/>
  <c r="B75" i="108"/>
  <c r="X74" i="108"/>
  <c r="Z74" i="108" s="1"/>
  <c r="L74" i="108"/>
  <c r="N74" i="108" s="1"/>
  <c r="B74" i="108"/>
  <c r="Z73" i="108"/>
  <c r="X73" i="108"/>
  <c r="N73" i="108"/>
  <c r="L73" i="108"/>
  <c r="B73" i="108"/>
  <c r="T72" i="108"/>
  <c r="R72" i="108"/>
  <c r="P72" i="108"/>
  <c r="L72" i="108"/>
  <c r="H72" i="108"/>
  <c r="D72" i="108"/>
  <c r="B72" i="108"/>
  <c r="X71" i="108"/>
  <c r="Z71" i="108" s="1"/>
  <c r="N71" i="108"/>
  <c r="L71" i="108"/>
  <c r="J71" i="108"/>
  <c r="B71" i="108"/>
  <c r="X70" i="108"/>
  <c r="Z70" i="108" s="1"/>
  <c r="L70" i="108"/>
  <c r="N70" i="108" s="1"/>
  <c r="B70" i="108"/>
  <c r="Z69" i="108"/>
  <c r="X69" i="108"/>
  <c r="L69" i="108"/>
  <c r="N69" i="108" s="1"/>
  <c r="B69" i="108"/>
  <c r="Z68" i="108"/>
  <c r="T68" i="108"/>
  <c r="X68" i="108" s="1"/>
  <c r="P68" i="108"/>
  <c r="L68" i="108"/>
  <c r="N68" i="108" s="1"/>
  <c r="H68" i="108"/>
  <c r="D68" i="108"/>
  <c r="B68" i="108"/>
  <c r="Z67" i="108"/>
  <c r="X67" i="108"/>
  <c r="V67" i="108"/>
  <c r="L67" i="108"/>
  <c r="N67" i="108" s="1"/>
  <c r="B67" i="108"/>
  <c r="X66" i="108"/>
  <c r="T66" i="108"/>
  <c r="P66" i="108"/>
  <c r="H66" i="108"/>
  <c r="D66" i="108"/>
  <c r="B66" i="108"/>
  <c r="Z65" i="108"/>
  <c r="X65" i="108"/>
  <c r="N65" i="108"/>
  <c r="L65" i="108"/>
  <c r="B65" i="108"/>
  <c r="T64" i="108"/>
  <c r="Z64" i="108" s="1"/>
  <c r="P64" i="108"/>
  <c r="X64" i="108" s="1"/>
  <c r="H64" i="108"/>
  <c r="N64" i="108" s="1"/>
  <c r="D64" i="108"/>
  <c r="L64" i="108" s="1"/>
  <c r="B64" i="108"/>
  <c r="X63" i="108"/>
  <c r="Z63" i="108" s="1"/>
  <c r="N63" i="108"/>
  <c r="L63" i="108"/>
  <c r="B63" i="108"/>
  <c r="T62" i="108"/>
  <c r="P62" i="108"/>
  <c r="X62" i="108" s="1"/>
  <c r="Z62" i="108" s="1"/>
  <c r="L62" i="108"/>
  <c r="H62" i="108"/>
  <c r="N62" i="108" s="1"/>
  <c r="D62" i="108"/>
  <c r="B62" i="108"/>
  <c r="X61" i="108"/>
  <c r="Z61" i="108" s="1"/>
  <c r="N61" i="108"/>
  <c r="L61" i="108"/>
  <c r="B61" i="108"/>
  <c r="T60" i="108"/>
  <c r="P60" i="108"/>
  <c r="H60" i="108"/>
  <c r="D60" i="108"/>
  <c r="B60" i="108"/>
  <c r="Z59" i="108"/>
  <c r="X59" i="108"/>
  <c r="R59" i="108"/>
  <c r="N59" i="108"/>
  <c r="L59" i="108"/>
  <c r="B59" i="108"/>
  <c r="X58" i="108"/>
  <c r="T58" i="108"/>
  <c r="Z58" i="108" s="1"/>
  <c r="P58" i="108"/>
  <c r="N58" i="108"/>
  <c r="H58" i="108"/>
  <c r="D58" i="108"/>
  <c r="L58" i="108" s="1"/>
  <c r="B58" i="108"/>
  <c r="Z57" i="108"/>
  <c r="X57" i="108"/>
  <c r="N57" i="108"/>
  <c r="L57" i="108"/>
  <c r="B57" i="108"/>
  <c r="T56" i="108"/>
  <c r="Z56" i="108" s="1"/>
  <c r="P56" i="108"/>
  <c r="N56" i="108"/>
  <c r="L56" i="108"/>
  <c r="J56" i="108"/>
  <c r="H56" i="108"/>
  <c r="D56" i="108"/>
  <c r="B56" i="108"/>
  <c r="Z55" i="108"/>
  <c r="X55" i="108"/>
  <c r="L55" i="108"/>
  <c r="N55" i="108" s="1"/>
  <c r="B55" i="108"/>
  <c r="X54" i="108"/>
  <c r="V54" i="108"/>
  <c r="T54" i="108"/>
  <c r="P54" i="108"/>
  <c r="H54" i="108"/>
  <c r="D54" i="108"/>
  <c r="B54" i="108"/>
  <c r="X53" i="108"/>
  <c r="Z53" i="108" s="1"/>
  <c r="N53" i="108"/>
  <c r="L53" i="108"/>
  <c r="B53" i="108"/>
  <c r="T52" i="108"/>
  <c r="Z52" i="108" s="1"/>
  <c r="P52" i="108"/>
  <c r="X52" i="108" s="1"/>
  <c r="L52" i="108"/>
  <c r="H52" i="108"/>
  <c r="D52" i="108"/>
  <c r="B52" i="108"/>
  <c r="X51" i="108"/>
  <c r="Z51" i="108" s="1"/>
  <c r="R51" i="108"/>
  <c r="N51" i="108"/>
  <c r="L51" i="108"/>
  <c r="B51" i="108"/>
  <c r="X50" i="108"/>
  <c r="Z50" i="108" s="1"/>
  <c r="L50" i="108"/>
  <c r="N50" i="108" s="1"/>
  <c r="B50" i="108"/>
  <c r="Z49" i="108"/>
  <c r="T49" i="108"/>
  <c r="P49" i="108"/>
  <c r="X49" i="108" s="1"/>
  <c r="H49" i="108"/>
  <c r="D49" i="108"/>
  <c r="B49" i="108"/>
  <c r="X48" i="108"/>
  <c r="Z48" i="108" s="1"/>
  <c r="N48" i="108"/>
  <c r="L48" i="108"/>
  <c r="B48" i="108"/>
  <c r="T47" i="108"/>
  <c r="P47" i="108"/>
  <c r="X47" i="108" s="1"/>
  <c r="Z47" i="108" s="1"/>
  <c r="H47" i="108"/>
  <c r="D47" i="108"/>
  <c r="L47" i="108" s="1"/>
  <c r="N47" i="108" s="1"/>
  <c r="B47" i="108"/>
  <c r="Z46" i="108"/>
  <c r="X46" i="108"/>
  <c r="N46" i="108"/>
  <c r="L46" i="108"/>
  <c r="B46" i="108"/>
  <c r="Z45" i="108"/>
  <c r="X45" i="108"/>
  <c r="N45" i="108"/>
  <c r="L45" i="108"/>
  <c r="B45" i="108"/>
  <c r="Z44" i="108"/>
  <c r="X44" i="108"/>
  <c r="N44" i="108"/>
  <c r="L44" i="108"/>
  <c r="B44" i="108"/>
  <c r="X43" i="108"/>
  <c r="Z43" i="108" s="1"/>
  <c r="L43" i="108"/>
  <c r="N43" i="108" s="1"/>
  <c r="B43" i="108"/>
  <c r="Z42" i="108"/>
  <c r="X42" i="108"/>
  <c r="N42" i="108"/>
  <c r="L42" i="108"/>
  <c r="B42" i="108"/>
  <c r="X41" i="108"/>
  <c r="Z41" i="108" s="1"/>
  <c r="N41" i="108"/>
  <c r="L41" i="108"/>
  <c r="B41" i="108"/>
  <c r="Z40" i="108"/>
  <c r="X40" i="108"/>
  <c r="N40" i="108"/>
  <c r="L40" i="108"/>
  <c r="B40" i="108"/>
  <c r="Z39" i="108"/>
  <c r="X39" i="108"/>
  <c r="N39" i="108"/>
  <c r="L39" i="108"/>
  <c r="B39" i="108"/>
  <c r="X38" i="108"/>
  <c r="Z38" i="108" s="1"/>
  <c r="L38" i="108"/>
  <c r="N38" i="108" s="1"/>
  <c r="B38" i="108"/>
  <c r="Z37" i="108"/>
  <c r="X37" i="108"/>
  <c r="V37" i="108"/>
  <c r="N37" i="108"/>
  <c r="L37" i="108"/>
  <c r="B37" i="108"/>
  <c r="T36" i="108"/>
  <c r="P36" i="108"/>
  <c r="H36" i="108"/>
  <c r="D36" i="108"/>
  <c r="L36" i="108" s="1"/>
  <c r="B36" i="108"/>
  <c r="Z35" i="108"/>
  <c r="X35" i="108"/>
  <c r="N35" i="108"/>
  <c r="L35" i="108"/>
  <c r="B35" i="108"/>
  <c r="X34" i="108"/>
  <c r="Z34" i="108" s="1"/>
  <c r="L34" i="108"/>
  <c r="N34" i="108" s="1"/>
  <c r="J34" i="108"/>
  <c r="B34" i="108"/>
  <c r="Z33" i="108"/>
  <c r="X33" i="108"/>
  <c r="N33" i="108"/>
  <c r="L33" i="108"/>
  <c r="B33" i="108"/>
  <c r="Z32" i="108"/>
  <c r="X32" i="108"/>
  <c r="N32" i="108"/>
  <c r="L32" i="108"/>
  <c r="B32" i="108"/>
  <c r="Z31" i="108"/>
  <c r="X31" i="108"/>
  <c r="N31" i="108"/>
  <c r="L31" i="108"/>
  <c r="B31" i="108"/>
  <c r="Z30" i="108"/>
  <c r="X30" i="108"/>
  <c r="L30" i="108"/>
  <c r="N30" i="108" s="1"/>
  <c r="B30" i="108"/>
  <c r="Z29" i="108"/>
  <c r="X29" i="108"/>
  <c r="N29" i="108"/>
  <c r="L29" i="108"/>
  <c r="B29" i="108"/>
  <c r="X28" i="108"/>
  <c r="Z28" i="108" s="1"/>
  <c r="L28" i="108"/>
  <c r="N28" i="108" s="1"/>
  <c r="B28" i="108"/>
  <c r="X27" i="108"/>
  <c r="Z27" i="108" s="1"/>
  <c r="V27" i="108"/>
  <c r="N27" i="108"/>
  <c r="L27" i="108"/>
  <c r="B27" i="108"/>
  <c r="Z26" i="108"/>
  <c r="X26" i="108"/>
  <c r="N26" i="108"/>
  <c r="L26" i="108"/>
  <c r="B26" i="108"/>
  <c r="T25" i="108"/>
  <c r="Z25" i="108" s="1"/>
  <c r="P25" i="108"/>
  <c r="X25" i="108" s="1"/>
  <c r="H25" i="108"/>
  <c r="D25" i="108"/>
  <c r="B25" i="108"/>
  <c r="T24" i="108"/>
  <c r="X24" i="108" s="1"/>
  <c r="P24" i="108"/>
  <c r="H24" i="108"/>
  <c r="D24" i="108"/>
  <c r="T22" i="108"/>
  <c r="Z20" i="108"/>
  <c r="X20" i="108"/>
  <c r="V20" i="108"/>
  <c r="N20" i="108"/>
  <c r="L20" i="108"/>
  <c r="B20" i="108"/>
  <c r="Z19" i="108"/>
  <c r="X19" i="108"/>
  <c r="N19" i="108"/>
  <c r="L19" i="108"/>
  <c r="B19" i="108"/>
  <c r="Z18" i="108"/>
  <c r="X18" i="108"/>
  <c r="V18" i="108"/>
  <c r="L18" i="108"/>
  <c r="N18" i="108" s="1"/>
  <c r="B18" i="108"/>
  <c r="V17" i="108"/>
  <c r="T17" i="108"/>
  <c r="P17" i="108"/>
  <c r="X17" i="108" s="1"/>
  <c r="H17" i="108"/>
  <c r="D17" i="108"/>
  <c r="L17" i="108" s="1"/>
  <c r="N17" i="108" s="1"/>
  <c r="Z15" i="108"/>
  <c r="P15" i="108"/>
  <c r="X15" i="108" s="1"/>
  <c r="N15" i="108"/>
  <c r="D15" i="108"/>
  <c r="B15" i="108"/>
  <c r="Z14" i="108"/>
  <c r="X14" i="108"/>
  <c r="P14" i="108"/>
  <c r="N14" i="108"/>
  <c r="L14" i="108"/>
  <c r="D14" i="108"/>
  <c r="B14" i="108"/>
  <c r="Z13" i="108"/>
  <c r="X13" i="108"/>
  <c r="P13" i="108"/>
  <c r="P12" i="108" s="1"/>
  <c r="R27" i="108" s="1"/>
  <c r="N13" i="108"/>
  <c r="L13" i="108"/>
  <c r="D13" i="108"/>
  <c r="B13" i="108"/>
  <c r="T12" i="108"/>
  <c r="H12" i="108"/>
  <c r="J75" i="108" s="1"/>
  <c r="D6" i="108"/>
  <c r="D4" i="108"/>
  <c r="F29" i="107"/>
  <c r="R26" i="107"/>
  <c r="J26" i="107"/>
  <c r="Z24" i="107"/>
  <c r="X24" i="107"/>
  <c r="N24" i="107"/>
  <c r="L24" i="107"/>
  <c r="F24" i="107"/>
  <c r="J22" i="107"/>
  <c r="F22" i="107"/>
  <c r="X20" i="107"/>
  <c r="T20" i="107"/>
  <c r="Z20" i="107" s="1"/>
  <c r="P20" i="107"/>
  <c r="J20" i="107"/>
  <c r="H20" i="107"/>
  <c r="N20" i="107" s="1"/>
  <c r="D20" i="107"/>
  <c r="L20" i="107" s="1"/>
  <c r="Z18" i="107"/>
  <c r="T18" i="107"/>
  <c r="P18" i="107"/>
  <c r="X18" i="107" s="1"/>
  <c r="H18" i="107"/>
  <c r="N18" i="107" s="1"/>
  <c r="F18" i="107"/>
  <c r="D18" i="107"/>
  <c r="L18" i="107" s="1"/>
  <c r="F16" i="107"/>
  <c r="Z14" i="107"/>
  <c r="X14" i="107"/>
  <c r="T14" i="107"/>
  <c r="P14" i="107"/>
  <c r="J14" i="107"/>
  <c r="H14" i="107"/>
  <c r="N14" i="107" s="1"/>
  <c r="D14" i="107"/>
  <c r="L14" i="107" s="1"/>
  <c r="T12" i="107"/>
  <c r="P12" i="107"/>
  <c r="L12" i="107"/>
  <c r="H12" i="107"/>
  <c r="J29" i="107" s="1"/>
  <c r="D12" i="107"/>
  <c r="F26" i="107" s="1"/>
  <c r="D6" i="107"/>
  <c r="D4" i="107"/>
  <c r="X94" i="106"/>
  <c r="Z94" i="106" s="1"/>
  <c r="L94" i="106"/>
  <c r="N94" i="106" s="1"/>
  <c r="Z90" i="106"/>
  <c r="T90" i="106"/>
  <c r="P90" i="106"/>
  <c r="X90" i="106" s="1"/>
  <c r="J90" i="106"/>
  <c r="H90" i="106"/>
  <c r="N90" i="106" s="1"/>
  <c r="D90" i="106"/>
  <c r="L90" i="106" s="1"/>
  <c r="Z88" i="106"/>
  <c r="X88" i="106"/>
  <c r="N88" i="106"/>
  <c r="L88" i="106"/>
  <c r="B88" i="106"/>
  <c r="Z87" i="106"/>
  <c r="T87" i="106"/>
  <c r="P87" i="106"/>
  <c r="X87" i="106" s="1"/>
  <c r="H87" i="106"/>
  <c r="N87" i="106" s="1"/>
  <c r="D87" i="106"/>
  <c r="L87" i="106" s="1"/>
  <c r="B87" i="106"/>
  <c r="X86" i="106"/>
  <c r="Z86" i="106" s="1"/>
  <c r="N86" i="106"/>
  <c r="L86" i="106"/>
  <c r="B86" i="106"/>
  <c r="X85" i="106"/>
  <c r="Z85" i="106" s="1"/>
  <c r="V85" i="106"/>
  <c r="T85" i="106"/>
  <c r="P85" i="106"/>
  <c r="H85" i="106"/>
  <c r="D85" i="106"/>
  <c r="L85" i="106" s="1"/>
  <c r="N85" i="106" s="1"/>
  <c r="B85" i="106"/>
  <c r="X84" i="106"/>
  <c r="Z84" i="106" s="1"/>
  <c r="L84" i="106"/>
  <c r="N84" i="106" s="1"/>
  <c r="B84" i="106"/>
  <c r="T83" i="106"/>
  <c r="P83" i="106"/>
  <c r="H83" i="106"/>
  <c r="L83" i="106" s="1"/>
  <c r="N83" i="106" s="1"/>
  <c r="D83" i="106"/>
  <c r="B83" i="106"/>
  <c r="Z82" i="106"/>
  <c r="X82" i="106"/>
  <c r="L82" i="106"/>
  <c r="N82" i="106" s="1"/>
  <c r="B82" i="106"/>
  <c r="Z81" i="106"/>
  <c r="X81" i="106"/>
  <c r="N81" i="106"/>
  <c r="L81" i="106"/>
  <c r="J81" i="106"/>
  <c r="B81" i="106"/>
  <c r="Z80" i="106"/>
  <c r="X80" i="106"/>
  <c r="N80" i="106"/>
  <c r="L80" i="106"/>
  <c r="B80" i="106"/>
  <c r="Z79" i="106"/>
  <c r="X79" i="106"/>
  <c r="N79" i="106"/>
  <c r="L79" i="106"/>
  <c r="B79" i="106"/>
  <c r="Z78" i="106"/>
  <c r="X78" i="106"/>
  <c r="L78" i="106"/>
  <c r="N78" i="106" s="1"/>
  <c r="B78" i="106"/>
  <c r="X77" i="106"/>
  <c r="Z77" i="106" s="1"/>
  <c r="L77" i="106"/>
  <c r="N77" i="106" s="1"/>
  <c r="J77" i="106"/>
  <c r="B77" i="106"/>
  <c r="X76" i="106"/>
  <c r="Z76" i="106" s="1"/>
  <c r="L76" i="106"/>
  <c r="N76" i="106" s="1"/>
  <c r="B76" i="106"/>
  <c r="T75" i="106"/>
  <c r="P75" i="106"/>
  <c r="X75" i="106" s="1"/>
  <c r="Z75" i="106" s="1"/>
  <c r="H75" i="106"/>
  <c r="D75" i="106"/>
  <c r="L75" i="106" s="1"/>
  <c r="B75" i="106"/>
  <c r="X74" i="106"/>
  <c r="Z74" i="106" s="1"/>
  <c r="N74" i="106"/>
  <c r="L74" i="106"/>
  <c r="B74" i="106"/>
  <c r="X73" i="106"/>
  <c r="Z73" i="106" s="1"/>
  <c r="V73" i="106"/>
  <c r="N73" i="106"/>
  <c r="L73" i="106"/>
  <c r="B73" i="106"/>
  <c r="Z72" i="106"/>
  <c r="X72" i="106"/>
  <c r="N72" i="106"/>
  <c r="L72" i="106"/>
  <c r="B72" i="106"/>
  <c r="X71" i="106"/>
  <c r="Z71" i="106" s="1"/>
  <c r="L71" i="106"/>
  <c r="N71" i="106" s="1"/>
  <c r="B71" i="106"/>
  <c r="X70" i="106"/>
  <c r="T70" i="106"/>
  <c r="Z70" i="106" s="1"/>
  <c r="P70" i="106"/>
  <c r="H70" i="106"/>
  <c r="D70" i="106"/>
  <c r="L70" i="106" s="1"/>
  <c r="B70" i="106"/>
  <c r="Z69" i="106"/>
  <c r="X69" i="106"/>
  <c r="N69" i="106"/>
  <c r="L69" i="106"/>
  <c r="B69" i="106"/>
  <c r="X68" i="106"/>
  <c r="Z68" i="106" s="1"/>
  <c r="L68" i="106"/>
  <c r="N68" i="106" s="1"/>
  <c r="B68" i="106"/>
  <c r="X67" i="106"/>
  <c r="Z67" i="106" s="1"/>
  <c r="N67" i="106"/>
  <c r="L67" i="106"/>
  <c r="B67" i="106"/>
  <c r="T66" i="106"/>
  <c r="Z66" i="106" s="1"/>
  <c r="P66" i="106"/>
  <c r="X66" i="106" s="1"/>
  <c r="N66" i="106"/>
  <c r="L66" i="106"/>
  <c r="H66" i="106"/>
  <c r="D66" i="106"/>
  <c r="B66" i="106"/>
  <c r="Z65" i="106"/>
  <c r="X65" i="106"/>
  <c r="L65" i="106"/>
  <c r="N65" i="106" s="1"/>
  <c r="J65" i="106"/>
  <c r="B65" i="106"/>
  <c r="T64" i="106"/>
  <c r="P64" i="106"/>
  <c r="X64" i="106" s="1"/>
  <c r="Z64" i="106" s="1"/>
  <c r="J64" i="106"/>
  <c r="H64" i="106"/>
  <c r="D64" i="106"/>
  <c r="L64" i="106" s="1"/>
  <c r="B64" i="106"/>
  <c r="Z63" i="106"/>
  <c r="X63" i="106"/>
  <c r="L63" i="106"/>
  <c r="N63" i="106" s="1"/>
  <c r="B63" i="106"/>
  <c r="X62" i="106"/>
  <c r="T62" i="106"/>
  <c r="Z62" i="106" s="1"/>
  <c r="P62" i="106"/>
  <c r="H62" i="106"/>
  <c r="N62" i="106" s="1"/>
  <c r="D62" i="106"/>
  <c r="L62" i="106" s="1"/>
  <c r="B62" i="106"/>
  <c r="Z61" i="106"/>
  <c r="X61" i="106"/>
  <c r="N61" i="106"/>
  <c r="L61" i="106"/>
  <c r="B61" i="106"/>
  <c r="X60" i="106"/>
  <c r="Z60" i="106" s="1"/>
  <c r="T60" i="106"/>
  <c r="P60" i="106"/>
  <c r="H60" i="106"/>
  <c r="D60" i="106"/>
  <c r="L60" i="106" s="1"/>
  <c r="B60" i="106"/>
  <c r="Z59" i="106"/>
  <c r="X59" i="106"/>
  <c r="N59" i="106"/>
  <c r="L59" i="106"/>
  <c r="B59" i="106"/>
  <c r="T58" i="106"/>
  <c r="P58" i="106"/>
  <c r="H58" i="106"/>
  <c r="D58" i="106"/>
  <c r="L58" i="106" s="1"/>
  <c r="N58" i="106" s="1"/>
  <c r="B58" i="106"/>
  <c r="X57" i="106"/>
  <c r="Z57" i="106" s="1"/>
  <c r="N57" i="106"/>
  <c r="L57" i="106"/>
  <c r="B57" i="106"/>
  <c r="T56" i="106"/>
  <c r="P56" i="106"/>
  <c r="X56" i="106" s="1"/>
  <c r="L56" i="106"/>
  <c r="H56" i="106"/>
  <c r="N56" i="106" s="1"/>
  <c r="D56" i="106"/>
  <c r="B56" i="106"/>
  <c r="X55" i="106"/>
  <c r="Z55" i="106" s="1"/>
  <c r="N55" i="106"/>
  <c r="L55" i="106"/>
  <c r="J55" i="106"/>
  <c r="B55" i="106"/>
  <c r="T54" i="106"/>
  <c r="P54" i="106"/>
  <c r="X54" i="106" s="1"/>
  <c r="L54" i="106"/>
  <c r="N54" i="106" s="1"/>
  <c r="H54" i="106"/>
  <c r="D54" i="106"/>
  <c r="B54" i="106"/>
  <c r="Z53" i="106"/>
  <c r="X53" i="106"/>
  <c r="L53" i="106"/>
  <c r="N53" i="106" s="1"/>
  <c r="J53" i="106"/>
  <c r="B53" i="106"/>
  <c r="T52" i="106"/>
  <c r="P52" i="106"/>
  <c r="X52" i="106" s="1"/>
  <c r="Z52" i="106" s="1"/>
  <c r="H52" i="106"/>
  <c r="D52" i="106"/>
  <c r="B52" i="106"/>
  <c r="Z51" i="106"/>
  <c r="X51" i="106"/>
  <c r="L51" i="106"/>
  <c r="N51" i="106" s="1"/>
  <c r="B51" i="106"/>
  <c r="X50" i="106"/>
  <c r="T50" i="106"/>
  <c r="Z50" i="106" s="1"/>
  <c r="P50" i="106"/>
  <c r="J50" i="106"/>
  <c r="H50" i="106"/>
  <c r="N50" i="106" s="1"/>
  <c r="D50" i="106"/>
  <c r="L50" i="106" s="1"/>
  <c r="B50" i="106"/>
  <c r="Z49" i="106"/>
  <c r="X49" i="106"/>
  <c r="N49" i="106"/>
  <c r="L49" i="106"/>
  <c r="J49" i="106"/>
  <c r="B49" i="106"/>
  <c r="Z48" i="106"/>
  <c r="X48" i="106"/>
  <c r="T48" i="106"/>
  <c r="P48" i="106"/>
  <c r="H48" i="106"/>
  <c r="D48" i="106"/>
  <c r="L48" i="106" s="1"/>
  <c r="B48" i="106"/>
  <c r="Z47" i="106"/>
  <c r="X47" i="106"/>
  <c r="N47" i="106"/>
  <c r="L47" i="106"/>
  <c r="B47" i="106"/>
  <c r="Z46" i="106"/>
  <c r="X46" i="106"/>
  <c r="V46" i="106"/>
  <c r="N46" i="106"/>
  <c r="L46" i="106"/>
  <c r="B46" i="106"/>
  <c r="Z45" i="106"/>
  <c r="X45" i="106"/>
  <c r="N45" i="106"/>
  <c r="L45" i="106"/>
  <c r="J45" i="106"/>
  <c r="B45" i="106"/>
  <c r="X44" i="106"/>
  <c r="Z44" i="106" s="1"/>
  <c r="L44" i="106"/>
  <c r="N44" i="106" s="1"/>
  <c r="J44" i="106"/>
  <c r="B44" i="106"/>
  <c r="Z43" i="106"/>
  <c r="X43" i="106"/>
  <c r="V43" i="106"/>
  <c r="N43" i="106"/>
  <c r="L43" i="106"/>
  <c r="B43" i="106"/>
  <c r="Z42" i="106"/>
  <c r="X42" i="106"/>
  <c r="L42" i="106"/>
  <c r="N42" i="106" s="1"/>
  <c r="B42" i="106"/>
  <c r="Z41" i="106"/>
  <c r="X41" i="106"/>
  <c r="V41" i="106"/>
  <c r="L41" i="106"/>
  <c r="N41" i="106" s="1"/>
  <c r="J41" i="106"/>
  <c r="B41" i="106"/>
  <c r="Z40" i="106"/>
  <c r="X40" i="106"/>
  <c r="N40" i="106"/>
  <c r="L40" i="106"/>
  <c r="J40" i="106"/>
  <c r="B40" i="106"/>
  <c r="Z39" i="106"/>
  <c r="X39" i="106"/>
  <c r="V39" i="106"/>
  <c r="L39" i="106"/>
  <c r="N39" i="106" s="1"/>
  <c r="B39" i="106"/>
  <c r="Z38" i="106"/>
  <c r="X38" i="106"/>
  <c r="N38" i="106"/>
  <c r="L38" i="106"/>
  <c r="B38" i="106"/>
  <c r="T37" i="106"/>
  <c r="P37" i="106"/>
  <c r="N37" i="106"/>
  <c r="J37" i="106"/>
  <c r="H37" i="106"/>
  <c r="D37" i="106"/>
  <c r="L37" i="106" s="1"/>
  <c r="B37" i="106"/>
  <c r="X36" i="106"/>
  <c r="Z36" i="106" s="1"/>
  <c r="L36" i="106"/>
  <c r="N36" i="106" s="1"/>
  <c r="B36" i="106"/>
  <c r="X35" i="106"/>
  <c r="Z35" i="106" s="1"/>
  <c r="N35" i="106"/>
  <c r="L35" i="106"/>
  <c r="B35" i="106"/>
  <c r="X34" i="106"/>
  <c r="Z34" i="106" s="1"/>
  <c r="N34" i="106"/>
  <c r="L34" i="106"/>
  <c r="B34" i="106"/>
  <c r="Z33" i="106"/>
  <c r="X33" i="106"/>
  <c r="V33" i="106"/>
  <c r="N33" i="106"/>
  <c r="L33" i="106"/>
  <c r="B33" i="106"/>
  <c r="Z32" i="106"/>
  <c r="X32" i="106"/>
  <c r="V32" i="106"/>
  <c r="N32" i="106"/>
  <c r="L32" i="106"/>
  <c r="B32" i="106"/>
  <c r="X31" i="106"/>
  <c r="Z31" i="106" s="1"/>
  <c r="N31" i="106"/>
  <c r="L31" i="106"/>
  <c r="J31" i="106"/>
  <c r="B31" i="106"/>
  <c r="X30" i="106"/>
  <c r="Z30" i="106" s="1"/>
  <c r="N30" i="106"/>
  <c r="L30" i="106"/>
  <c r="B30" i="106"/>
  <c r="X29" i="106"/>
  <c r="Z29" i="106" s="1"/>
  <c r="V29" i="106"/>
  <c r="N29" i="106"/>
  <c r="L29" i="106"/>
  <c r="B29" i="106"/>
  <c r="X28" i="106"/>
  <c r="Z28" i="106" s="1"/>
  <c r="V28" i="106"/>
  <c r="L28" i="106"/>
  <c r="N28" i="106" s="1"/>
  <c r="B28" i="106"/>
  <c r="X27" i="106"/>
  <c r="Z27" i="106" s="1"/>
  <c r="L27" i="106"/>
  <c r="N27" i="106" s="1"/>
  <c r="J27" i="106"/>
  <c r="B27" i="106"/>
  <c r="X26" i="106"/>
  <c r="T26" i="106"/>
  <c r="Z26" i="106" s="1"/>
  <c r="P26" i="106"/>
  <c r="L26" i="106"/>
  <c r="J26" i="106"/>
  <c r="H26" i="106"/>
  <c r="D26" i="106"/>
  <c r="B26" i="106"/>
  <c r="T25" i="106"/>
  <c r="P25" i="106"/>
  <c r="H25" i="106"/>
  <c r="J25" i="106" s="1"/>
  <c r="D25" i="106"/>
  <c r="L25" i="106" s="1"/>
  <c r="H23" i="106"/>
  <c r="Z21" i="106"/>
  <c r="X21" i="106"/>
  <c r="N21" i="106"/>
  <c r="L21" i="106"/>
  <c r="J21" i="106"/>
  <c r="B21" i="106"/>
  <c r="Z20" i="106"/>
  <c r="X20" i="106"/>
  <c r="N20" i="106"/>
  <c r="L20" i="106"/>
  <c r="J20" i="106"/>
  <c r="B20" i="106"/>
  <c r="X19" i="106"/>
  <c r="Z19" i="106" s="1"/>
  <c r="N19" i="106"/>
  <c r="L19" i="106"/>
  <c r="J19" i="106"/>
  <c r="B19" i="106"/>
  <c r="Z18" i="106"/>
  <c r="T18" i="106"/>
  <c r="P18" i="106"/>
  <c r="X18" i="106" s="1"/>
  <c r="L18" i="106"/>
  <c r="N18" i="106" s="1"/>
  <c r="H18" i="106"/>
  <c r="D18" i="106"/>
  <c r="Z16" i="106"/>
  <c r="P16" i="106"/>
  <c r="X16" i="106" s="1"/>
  <c r="N16" i="106"/>
  <c r="L16" i="106"/>
  <c r="D16" i="106"/>
  <c r="B16" i="106"/>
  <c r="Z15" i="106"/>
  <c r="P15" i="106"/>
  <c r="X15" i="106" s="1"/>
  <c r="N15" i="106"/>
  <c r="D15" i="106"/>
  <c r="L15" i="106" s="1"/>
  <c r="B15" i="106"/>
  <c r="P14" i="106"/>
  <c r="X14" i="106" s="1"/>
  <c r="Z14" i="106" s="1"/>
  <c r="D14" i="106"/>
  <c r="L14" i="106" s="1"/>
  <c r="N14" i="106" s="1"/>
  <c r="B14" i="106"/>
  <c r="Z13" i="106"/>
  <c r="P13" i="106"/>
  <c r="X13" i="106" s="1"/>
  <c r="N13" i="106"/>
  <c r="D13" i="106"/>
  <c r="B13" i="106"/>
  <c r="T12" i="106"/>
  <c r="V82" i="106" s="1"/>
  <c r="H12" i="106"/>
  <c r="J67" i="106" s="1"/>
  <c r="D6" i="106"/>
  <c r="D4" i="106"/>
  <c r="X63" i="105"/>
  <c r="Z63" i="105" s="1"/>
  <c r="R63" i="105"/>
  <c r="N63" i="105"/>
  <c r="L63" i="105"/>
  <c r="X59" i="105"/>
  <c r="V59" i="105"/>
  <c r="T59" i="105"/>
  <c r="Z59" i="105" s="1"/>
  <c r="P59" i="105"/>
  <c r="N59" i="105"/>
  <c r="L59" i="105"/>
  <c r="H59" i="105"/>
  <c r="D59" i="105"/>
  <c r="Z57" i="105"/>
  <c r="X57" i="105"/>
  <c r="V57" i="105"/>
  <c r="N57" i="105"/>
  <c r="L57" i="105"/>
  <c r="B57" i="105"/>
  <c r="Z56" i="105"/>
  <c r="T56" i="105"/>
  <c r="P56" i="105"/>
  <c r="X56" i="105" s="1"/>
  <c r="H56" i="105"/>
  <c r="L56" i="105" s="1"/>
  <c r="D56" i="105"/>
  <c r="B56" i="105"/>
  <c r="Z55" i="105"/>
  <c r="X55" i="105"/>
  <c r="R55" i="105"/>
  <c r="N55" i="105"/>
  <c r="L55" i="105"/>
  <c r="B55" i="105"/>
  <c r="X54" i="105"/>
  <c r="Z54" i="105" s="1"/>
  <c r="N54" i="105"/>
  <c r="L54" i="105"/>
  <c r="J54" i="105"/>
  <c r="B54" i="105"/>
  <c r="V53" i="105"/>
  <c r="T53" i="105"/>
  <c r="X53" i="105" s="1"/>
  <c r="P53" i="105"/>
  <c r="H53" i="105"/>
  <c r="D53" i="105"/>
  <c r="L53" i="105" s="1"/>
  <c r="B53" i="105"/>
  <c r="X52" i="105"/>
  <c r="Z52" i="105" s="1"/>
  <c r="V52" i="105"/>
  <c r="N52" i="105"/>
  <c r="L52" i="105"/>
  <c r="B52" i="105"/>
  <c r="X51" i="105"/>
  <c r="V51" i="105"/>
  <c r="T51" i="105"/>
  <c r="P51" i="105"/>
  <c r="N51" i="105"/>
  <c r="L51" i="105"/>
  <c r="H51" i="105"/>
  <c r="D51" i="105"/>
  <c r="B51" i="105"/>
  <c r="X50" i="105"/>
  <c r="Z50" i="105" s="1"/>
  <c r="V50" i="105"/>
  <c r="R50" i="105"/>
  <c r="L50" i="105"/>
  <c r="N50" i="105" s="1"/>
  <c r="B50" i="105"/>
  <c r="T49" i="105"/>
  <c r="Z49" i="105" s="1"/>
  <c r="P49" i="105"/>
  <c r="X49" i="105" s="1"/>
  <c r="N49" i="105"/>
  <c r="H49" i="105"/>
  <c r="D49" i="105"/>
  <c r="L49" i="105" s="1"/>
  <c r="B49" i="105"/>
  <c r="X48" i="105"/>
  <c r="Z48" i="105" s="1"/>
  <c r="N48" i="105"/>
  <c r="L48" i="105"/>
  <c r="B48" i="105"/>
  <c r="X47" i="105"/>
  <c r="Z47" i="105" s="1"/>
  <c r="T47" i="105"/>
  <c r="P47" i="105"/>
  <c r="N47" i="105"/>
  <c r="L47" i="105"/>
  <c r="J47" i="105"/>
  <c r="H47" i="105"/>
  <c r="D47" i="105"/>
  <c r="B47" i="105"/>
  <c r="Z46" i="105"/>
  <c r="X46" i="105"/>
  <c r="L46" i="105"/>
  <c r="N46" i="105" s="1"/>
  <c r="J46" i="105"/>
  <c r="B46" i="105"/>
  <c r="T45" i="105"/>
  <c r="P45" i="105"/>
  <c r="H45" i="105"/>
  <c r="D45" i="105"/>
  <c r="B45" i="105"/>
  <c r="Z44" i="105"/>
  <c r="X44" i="105"/>
  <c r="V44" i="105"/>
  <c r="N44" i="105"/>
  <c r="L44" i="105"/>
  <c r="B44" i="105"/>
  <c r="Z43" i="105"/>
  <c r="X43" i="105"/>
  <c r="N43" i="105"/>
  <c r="L43" i="105"/>
  <c r="B43" i="105"/>
  <c r="X42" i="105"/>
  <c r="Z42" i="105" s="1"/>
  <c r="V42" i="105"/>
  <c r="R42" i="105"/>
  <c r="L42" i="105"/>
  <c r="N42" i="105" s="1"/>
  <c r="B42" i="105"/>
  <c r="Z41" i="105"/>
  <c r="X41" i="105"/>
  <c r="N41" i="105"/>
  <c r="L41" i="105"/>
  <c r="J41" i="105"/>
  <c r="B41" i="105"/>
  <c r="Z40" i="105"/>
  <c r="X40" i="105"/>
  <c r="V40" i="105"/>
  <c r="N40" i="105"/>
  <c r="L40" i="105"/>
  <c r="B40" i="105"/>
  <c r="Z39" i="105"/>
  <c r="X39" i="105"/>
  <c r="N39" i="105"/>
  <c r="L39" i="105"/>
  <c r="B39" i="105"/>
  <c r="Z38" i="105"/>
  <c r="X38" i="105"/>
  <c r="V38" i="105"/>
  <c r="R38" i="105"/>
  <c r="N38" i="105"/>
  <c r="L38" i="105"/>
  <c r="B38" i="105"/>
  <c r="Z37" i="105"/>
  <c r="X37" i="105"/>
  <c r="N37" i="105"/>
  <c r="L37" i="105"/>
  <c r="J37" i="105"/>
  <c r="B37" i="105"/>
  <c r="Z36" i="105"/>
  <c r="X36" i="105"/>
  <c r="V36" i="105"/>
  <c r="N36" i="105"/>
  <c r="L36" i="105"/>
  <c r="F36" i="105"/>
  <c r="B36" i="105"/>
  <c r="Z35" i="105"/>
  <c r="X35" i="105"/>
  <c r="N35" i="105"/>
  <c r="L35" i="105"/>
  <c r="B35" i="105"/>
  <c r="X34" i="105"/>
  <c r="V34" i="105"/>
  <c r="T34" i="105"/>
  <c r="P34" i="105"/>
  <c r="N34" i="105"/>
  <c r="L34" i="105"/>
  <c r="H34" i="105"/>
  <c r="D34" i="105"/>
  <c r="B34" i="105"/>
  <c r="Z33" i="105"/>
  <c r="X33" i="105"/>
  <c r="V33" i="105"/>
  <c r="L33" i="105"/>
  <c r="N33" i="105" s="1"/>
  <c r="B33" i="105"/>
  <c r="Z32" i="105"/>
  <c r="X32" i="105"/>
  <c r="N32" i="105"/>
  <c r="L32" i="105"/>
  <c r="B32" i="105"/>
  <c r="Z31" i="105"/>
  <c r="X31" i="105"/>
  <c r="N31" i="105"/>
  <c r="L31" i="105"/>
  <c r="J31" i="105"/>
  <c r="F31" i="105"/>
  <c r="B31" i="105"/>
  <c r="Z30" i="105"/>
  <c r="X30" i="105"/>
  <c r="V30" i="105"/>
  <c r="N30" i="105"/>
  <c r="L30" i="105"/>
  <c r="B30" i="105"/>
  <c r="Z29" i="105"/>
  <c r="X29" i="105"/>
  <c r="V29" i="105"/>
  <c r="L29" i="105"/>
  <c r="N29" i="105" s="1"/>
  <c r="B29" i="105"/>
  <c r="Z28" i="105"/>
  <c r="X28" i="105"/>
  <c r="N28" i="105"/>
  <c r="L28" i="105"/>
  <c r="B28" i="105"/>
  <c r="X27" i="105"/>
  <c r="Z27" i="105" s="1"/>
  <c r="N27" i="105"/>
  <c r="L27" i="105"/>
  <c r="J27" i="105"/>
  <c r="F27" i="105"/>
  <c r="B27" i="105"/>
  <c r="Z26" i="105"/>
  <c r="X26" i="105"/>
  <c r="V26" i="105"/>
  <c r="N26" i="105"/>
  <c r="L26" i="105"/>
  <c r="B26" i="105"/>
  <c r="Z25" i="105"/>
  <c r="X25" i="105"/>
  <c r="V25" i="105"/>
  <c r="T25" i="105"/>
  <c r="P25" i="105"/>
  <c r="L25" i="105"/>
  <c r="N25" i="105" s="1"/>
  <c r="H25" i="105"/>
  <c r="D25" i="105"/>
  <c r="B25" i="105"/>
  <c r="T24" i="105"/>
  <c r="P24" i="105"/>
  <c r="X24" i="105" s="1"/>
  <c r="Z24" i="105" s="1"/>
  <c r="H24" i="105"/>
  <c r="D24" i="105"/>
  <c r="D22" i="105"/>
  <c r="Z20" i="105"/>
  <c r="X20" i="105"/>
  <c r="N20" i="105"/>
  <c r="L20" i="105"/>
  <c r="B20" i="105"/>
  <c r="Z19" i="105"/>
  <c r="X19" i="105"/>
  <c r="V19" i="105"/>
  <c r="N19" i="105"/>
  <c r="L19" i="105"/>
  <c r="B19" i="105"/>
  <c r="Z18" i="105"/>
  <c r="X18" i="105"/>
  <c r="L18" i="105"/>
  <c r="N18" i="105" s="1"/>
  <c r="J18" i="105"/>
  <c r="B18" i="105"/>
  <c r="T17" i="105"/>
  <c r="T22" i="105" s="1"/>
  <c r="T61" i="105" s="1"/>
  <c r="P17" i="105"/>
  <c r="H17" i="105"/>
  <c r="F17" i="105"/>
  <c r="D17" i="105"/>
  <c r="Z15" i="105"/>
  <c r="X15" i="105"/>
  <c r="P15" i="105"/>
  <c r="N15" i="105"/>
  <c r="D15" i="105"/>
  <c r="L15" i="105" s="1"/>
  <c r="B15" i="105"/>
  <c r="X14" i="105"/>
  <c r="Z14" i="105" s="1"/>
  <c r="P14" i="105"/>
  <c r="P12" i="105" s="1"/>
  <c r="R48" i="105" s="1"/>
  <c r="D14" i="105"/>
  <c r="L14" i="105" s="1"/>
  <c r="N14" i="105" s="1"/>
  <c r="B14" i="105"/>
  <c r="Z13" i="105"/>
  <c r="X13" i="105"/>
  <c r="P13" i="105"/>
  <c r="N13" i="105"/>
  <c r="L13" i="105"/>
  <c r="D13" i="105"/>
  <c r="D12" i="105" s="1"/>
  <c r="F45" i="105" s="1"/>
  <c r="B13" i="105"/>
  <c r="Z12" i="105"/>
  <c r="X12" i="105"/>
  <c r="T12" i="105"/>
  <c r="V55" i="105" s="1"/>
  <c r="H12" i="105"/>
  <c r="J59" i="105" s="1"/>
  <c r="D6" i="105"/>
  <c r="D4" i="105"/>
  <c r="X92" i="104"/>
  <c r="Z92" i="104" s="1"/>
  <c r="L92" i="104"/>
  <c r="N92" i="104" s="1"/>
  <c r="Z88" i="104"/>
  <c r="T88" i="104"/>
  <c r="P88" i="104"/>
  <c r="X88" i="104" s="1"/>
  <c r="N88" i="104"/>
  <c r="L88" i="104"/>
  <c r="H88" i="104"/>
  <c r="D88" i="104"/>
  <c r="Z86" i="104"/>
  <c r="X86" i="104"/>
  <c r="L86" i="104"/>
  <c r="N86" i="104" s="1"/>
  <c r="J86" i="104"/>
  <c r="B86" i="104"/>
  <c r="Z85" i="104"/>
  <c r="X85" i="104"/>
  <c r="N85" i="104"/>
  <c r="L85" i="104"/>
  <c r="B85" i="104"/>
  <c r="Z84" i="104"/>
  <c r="X84" i="104"/>
  <c r="T84" i="104"/>
  <c r="P84" i="104"/>
  <c r="H84" i="104"/>
  <c r="D84" i="104"/>
  <c r="L84" i="104" s="1"/>
  <c r="N84" i="104" s="1"/>
  <c r="B84" i="104"/>
  <c r="Z83" i="104"/>
  <c r="X83" i="104"/>
  <c r="N83" i="104"/>
  <c r="L83" i="104"/>
  <c r="B83" i="104"/>
  <c r="T82" i="104"/>
  <c r="P82" i="104"/>
  <c r="N82" i="104"/>
  <c r="L82" i="104"/>
  <c r="H82" i="104"/>
  <c r="D82" i="104"/>
  <c r="B82" i="104"/>
  <c r="X81" i="104"/>
  <c r="Z81" i="104" s="1"/>
  <c r="L81" i="104"/>
  <c r="N81" i="104" s="1"/>
  <c r="B81" i="104"/>
  <c r="T80" i="104"/>
  <c r="P80" i="104"/>
  <c r="X80" i="104" s="1"/>
  <c r="H80" i="104"/>
  <c r="L80" i="104" s="1"/>
  <c r="D80" i="104"/>
  <c r="B80" i="104"/>
  <c r="Z79" i="104"/>
  <c r="X79" i="104"/>
  <c r="N79" i="104"/>
  <c r="L79" i="104"/>
  <c r="B79" i="104"/>
  <c r="Z78" i="104"/>
  <c r="X78" i="104"/>
  <c r="L78" i="104"/>
  <c r="N78" i="104" s="1"/>
  <c r="J78" i="104"/>
  <c r="B78" i="104"/>
  <c r="X77" i="104"/>
  <c r="Z77" i="104" s="1"/>
  <c r="L77" i="104"/>
  <c r="N77" i="104" s="1"/>
  <c r="B77" i="104"/>
  <c r="Z76" i="104"/>
  <c r="X76" i="104"/>
  <c r="N76" i="104"/>
  <c r="L76" i="104"/>
  <c r="B76" i="104"/>
  <c r="Z75" i="104"/>
  <c r="X75" i="104"/>
  <c r="N75" i="104"/>
  <c r="L75" i="104"/>
  <c r="B75" i="104"/>
  <c r="Z74" i="104"/>
  <c r="X74" i="104"/>
  <c r="L74" i="104"/>
  <c r="N74" i="104" s="1"/>
  <c r="J74" i="104"/>
  <c r="B74" i="104"/>
  <c r="X73" i="104"/>
  <c r="Z73" i="104" s="1"/>
  <c r="L73" i="104"/>
  <c r="N73" i="104" s="1"/>
  <c r="B73" i="104"/>
  <c r="X72" i="104"/>
  <c r="Z72" i="104" s="1"/>
  <c r="T72" i="104"/>
  <c r="P72" i="104"/>
  <c r="H72" i="104"/>
  <c r="D72" i="104"/>
  <c r="L72" i="104" s="1"/>
  <c r="N72" i="104" s="1"/>
  <c r="B72" i="104"/>
  <c r="Z71" i="104"/>
  <c r="X71" i="104"/>
  <c r="L71" i="104"/>
  <c r="N71" i="104" s="1"/>
  <c r="B71" i="104"/>
  <c r="X70" i="104"/>
  <c r="Z70" i="104" s="1"/>
  <c r="L70" i="104"/>
  <c r="N70" i="104" s="1"/>
  <c r="B70" i="104"/>
  <c r="X69" i="104"/>
  <c r="Z69" i="104" s="1"/>
  <c r="L69" i="104"/>
  <c r="N69" i="104" s="1"/>
  <c r="J69" i="104"/>
  <c r="B69" i="104"/>
  <c r="Z68" i="104"/>
  <c r="X68" i="104"/>
  <c r="L68" i="104"/>
  <c r="N68" i="104" s="1"/>
  <c r="B68" i="104"/>
  <c r="Z67" i="104"/>
  <c r="T67" i="104"/>
  <c r="P67" i="104"/>
  <c r="X67" i="104" s="1"/>
  <c r="H67" i="104"/>
  <c r="D67" i="104"/>
  <c r="L67" i="104" s="1"/>
  <c r="B67" i="104"/>
  <c r="X66" i="104"/>
  <c r="Z66" i="104" s="1"/>
  <c r="N66" i="104"/>
  <c r="L66" i="104"/>
  <c r="B66" i="104"/>
  <c r="X65" i="104"/>
  <c r="Z65" i="104" s="1"/>
  <c r="V65" i="104"/>
  <c r="L65" i="104"/>
  <c r="N65" i="104" s="1"/>
  <c r="B65" i="104"/>
  <c r="T64" i="104"/>
  <c r="P64" i="104"/>
  <c r="H64" i="104"/>
  <c r="L64" i="104" s="1"/>
  <c r="D64" i="104"/>
  <c r="B64" i="104"/>
  <c r="Z63" i="104"/>
  <c r="X63" i="104"/>
  <c r="N63" i="104"/>
  <c r="L63" i="104"/>
  <c r="B63" i="104"/>
  <c r="T62" i="104"/>
  <c r="P62" i="104"/>
  <c r="X62" i="104" s="1"/>
  <c r="Z62" i="104" s="1"/>
  <c r="N62" i="104"/>
  <c r="L62" i="104"/>
  <c r="H62" i="104"/>
  <c r="D62" i="104"/>
  <c r="B62" i="104"/>
  <c r="X61" i="104"/>
  <c r="Z61" i="104" s="1"/>
  <c r="N61" i="104"/>
  <c r="L61" i="104"/>
  <c r="J61" i="104"/>
  <c r="B61" i="104"/>
  <c r="X60" i="104"/>
  <c r="Z60" i="104" s="1"/>
  <c r="T60" i="104"/>
  <c r="P60" i="104"/>
  <c r="J60" i="104"/>
  <c r="H60" i="104"/>
  <c r="D60" i="104"/>
  <c r="B60" i="104"/>
  <c r="X59" i="104"/>
  <c r="Z59" i="104" s="1"/>
  <c r="N59" i="104"/>
  <c r="L59" i="104"/>
  <c r="J59" i="104"/>
  <c r="B59" i="104"/>
  <c r="T58" i="104"/>
  <c r="X58" i="104" s="1"/>
  <c r="P58" i="104"/>
  <c r="H58" i="104"/>
  <c r="D58" i="104"/>
  <c r="L58" i="104" s="1"/>
  <c r="B58" i="104"/>
  <c r="X57" i="104"/>
  <c r="Z57" i="104" s="1"/>
  <c r="N57" i="104"/>
  <c r="L57" i="104"/>
  <c r="B57" i="104"/>
  <c r="Z56" i="104"/>
  <c r="X56" i="104"/>
  <c r="T56" i="104"/>
  <c r="P56" i="104"/>
  <c r="H56" i="104"/>
  <c r="D56" i="104"/>
  <c r="L56" i="104" s="1"/>
  <c r="N56" i="104" s="1"/>
  <c r="B56" i="104"/>
  <c r="Z55" i="104"/>
  <c r="X55" i="104"/>
  <c r="L55" i="104"/>
  <c r="N55" i="104" s="1"/>
  <c r="B55" i="104"/>
  <c r="X54" i="104"/>
  <c r="V54" i="104"/>
  <c r="T54" i="104"/>
  <c r="P54" i="104"/>
  <c r="L54" i="104"/>
  <c r="N54" i="104" s="1"/>
  <c r="H54" i="104"/>
  <c r="D54" i="104"/>
  <c r="B54" i="104"/>
  <c r="X53" i="104"/>
  <c r="Z53" i="104" s="1"/>
  <c r="L53" i="104"/>
  <c r="N53" i="104" s="1"/>
  <c r="B53" i="104"/>
  <c r="T52" i="104"/>
  <c r="P52" i="104"/>
  <c r="H52" i="104"/>
  <c r="L52" i="104" s="1"/>
  <c r="D52" i="104"/>
  <c r="B52" i="104"/>
  <c r="Z51" i="104"/>
  <c r="X51" i="104"/>
  <c r="V51" i="104"/>
  <c r="N51" i="104"/>
  <c r="L51" i="104"/>
  <c r="B51" i="104"/>
  <c r="T50" i="104"/>
  <c r="P50" i="104"/>
  <c r="X50" i="104" s="1"/>
  <c r="Z50" i="104" s="1"/>
  <c r="L50" i="104"/>
  <c r="N50" i="104" s="1"/>
  <c r="H50" i="104"/>
  <c r="D50" i="104"/>
  <c r="B50" i="104"/>
  <c r="Z49" i="104"/>
  <c r="X49" i="104"/>
  <c r="L49" i="104"/>
  <c r="N49" i="104" s="1"/>
  <c r="J49" i="104"/>
  <c r="B49" i="104"/>
  <c r="X48" i="104"/>
  <c r="Z48" i="104" s="1"/>
  <c r="T48" i="104"/>
  <c r="P48" i="104"/>
  <c r="H48" i="104"/>
  <c r="D48" i="104"/>
  <c r="B48" i="104"/>
  <c r="Z47" i="104"/>
  <c r="X47" i="104"/>
  <c r="N47" i="104"/>
  <c r="L47" i="104"/>
  <c r="J47" i="104"/>
  <c r="B47" i="104"/>
  <c r="Z46" i="104"/>
  <c r="X46" i="104"/>
  <c r="N46" i="104"/>
  <c r="L46" i="104"/>
  <c r="B46" i="104"/>
  <c r="Z45" i="104"/>
  <c r="X45" i="104"/>
  <c r="V45" i="104"/>
  <c r="N45" i="104"/>
  <c r="L45" i="104"/>
  <c r="J45" i="104"/>
  <c r="B45" i="104"/>
  <c r="X44" i="104"/>
  <c r="Z44" i="104" s="1"/>
  <c r="L44" i="104"/>
  <c r="N44" i="104" s="1"/>
  <c r="B44" i="104"/>
  <c r="Z43" i="104"/>
  <c r="X43" i="104"/>
  <c r="N43" i="104"/>
  <c r="L43" i="104"/>
  <c r="J43" i="104"/>
  <c r="B43" i="104"/>
  <c r="Z42" i="104"/>
  <c r="X42" i="104"/>
  <c r="N42" i="104"/>
  <c r="L42" i="104"/>
  <c r="B42" i="104"/>
  <c r="X41" i="104"/>
  <c r="Z41" i="104" s="1"/>
  <c r="V41" i="104"/>
  <c r="L41" i="104"/>
  <c r="N41" i="104" s="1"/>
  <c r="J41" i="104"/>
  <c r="B41" i="104"/>
  <c r="Z40" i="104"/>
  <c r="X40" i="104"/>
  <c r="N40" i="104"/>
  <c r="L40" i="104"/>
  <c r="B40" i="104"/>
  <c r="X39" i="104"/>
  <c r="Z39" i="104" s="1"/>
  <c r="N39" i="104"/>
  <c r="L39" i="104"/>
  <c r="J39" i="104"/>
  <c r="B39" i="104"/>
  <c r="Z38" i="104"/>
  <c r="X38" i="104"/>
  <c r="N38" i="104"/>
  <c r="L38" i="104"/>
  <c r="B38" i="104"/>
  <c r="X37" i="104"/>
  <c r="Z37" i="104" s="1"/>
  <c r="V37" i="104"/>
  <c r="T37" i="104"/>
  <c r="P37" i="104"/>
  <c r="L37" i="104"/>
  <c r="N37" i="104" s="1"/>
  <c r="H37" i="104"/>
  <c r="D37" i="104"/>
  <c r="B37" i="104"/>
  <c r="Z36" i="104"/>
  <c r="X36" i="104"/>
  <c r="N36" i="104"/>
  <c r="L36" i="104"/>
  <c r="J36" i="104"/>
  <c r="B36" i="104"/>
  <c r="Z35" i="104"/>
  <c r="X35" i="104"/>
  <c r="N35" i="104"/>
  <c r="L35" i="104"/>
  <c r="B35" i="104"/>
  <c r="Z34" i="104"/>
  <c r="X34" i="104"/>
  <c r="L34" i="104"/>
  <c r="N34" i="104" s="1"/>
  <c r="J34" i="104"/>
  <c r="B34" i="104"/>
  <c r="Z33" i="104"/>
  <c r="X33" i="104"/>
  <c r="N33" i="104"/>
  <c r="L33" i="104"/>
  <c r="B33" i="104"/>
  <c r="Z32" i="104"/>
  <c r="X32" i="104"/>
  <c r="N32" i="104"/>
  <c r="L32" i="104"/>
  <c r="J32" i="104"/>
  <c r="B32" i="104"/>
  <c r="Z31" i="104"/>
  <c r="X31" i="104"/>
  <c r="N31" i="104"/>
  <c r="L31" i="104"/>
  <c r="B31" i="104"/>
  <c r="Z30" i="104"/>
  <c r="X30" i="104"/>
  <c r="L30" i="104"/>
  <c r="N30" i="104" s="1"/>
  <c r="J30" i="104"/>
  <c r="B30" i="104"/>
  <c r="X29" i="104"/>
  <c r="Z29" i="104" s="1"/>
  <c r="N29" i="104"/>
  <c r="L29" i="104"/>
  <c r="B29" i="104"/>
  <c r="Z28" i="104"/>
  <c r="X28" i="104"/>
  <c r="N28" i="104"/>
  <c r="L28" i="104"/>
  <c r="J28" i="104"/>
  <c r="B28" i="104"/>
  <c r="X27" i="104"/>
  <c r="Z27" i="104" s="1"/>
  <c r="N27" i="104"/>
  <c r="L27" i="104"/>
  <c r="B27" i="104"/>
  <c r="Z26" i="104"/>
  <c r="T26" i="104"/>
  <c r="P26" i="104"/>
  <c r="X26" i="104" s="1"/>
  <c r="H26" i="104"/>
  <c r="D26" i="104"/>
  <c r="L26" i="104" s="1"/>
  <c r="N26" i="104" s="1"/>
  <c r="B26" i="104"/>
  <c r="T25" i="104"/>
  <c r="P25" i="104"/>
  <c r="H25" i="104"/>
  <c r="J25" i="104" s="1"/>
  <c r="D25" i="104"/>
  <c r="H23" i="104"/>
  <c r="Z21" i="104"/>
  <c r="X21" i="104"/>
  <c r="N21" i="104"/>
  <c r="L21" i="104"/>
  <c r="J21" i="104"/>
  <c r="B21" i="104"/>
  <c r="Z20" i="104"/>
  <c r="X20" i="104"/>
  <c r="V20" i="104"/>
  <c r="N20" i="104"/>
  <c r="L20" i="104"/>
  <c r="J20" i="104"/>
  <c r="B20" i="104"/>
  <c r="Z19" i="104"/>
  <c r="X19" i="104"/>
  <c r="L19" i="104"/>
  <c r="N19" i="104" s="1"/>
  <c r="B19" i="104"/>
  <c r="T18" i="104"/>
  <c r="P18" i="104"/>
  <c r="N18" i="104"/>
  <c r="L18" i="104"/>
  <c r="J18" i="104"/>
  <c r="H18" i="104"/>
  <c r="D18" i="104"/>
  <c r="Z16" i="104"/>
  <c r="P16" i="104"/>
  <c r="N16" i="104"/>
  <c r="D16" i="104"/>
  <c r="L16" i="104" s="1"/>
  <c r="B16" i="104"/>
  <c r="Z15" i="104"/>
  <c r="X15" i="104"/>
  <c r="P15" i="104"/>
  <c r="N15" i="104"/>
  <c r="D15" i="104"/>
  <c r="L15" i="104" s="1"/>
  <c r="B15" i="104"/>
  <c r="X14" i="104"/>
  <c r="Z14" i="104" s="1"/>
  <c r="P14" i="104"/>
  <c r="D14" i="104"/>
  <c r="L14" i="104" s="1"/>
  <c r="N14" i="104" s="1"/>
  <c r="B14" i="104"/>
  <c r="Z13" i="104"/>
  <c r="P13" i="104"/>
  <c r="X13" i="104" s="1"/>
  <c r="N13" i="104"/>
  <c r="D13" i="104"/>
  <c r="B13" i="104"/>
  <c r="T12" i="104"/>
  <c r="V81" i="104" s="1"/>
  <c r="H12" i="104"/>
  <c r="J79" i="104" s="1"/>
  <c r="D6" i="104"/>
  <c r="D4" i="104"/>
  <c r="R67" i="103"/>
  <c r="Z65" i="103"/>
  <c r="X65" i="103"/>
  <c r="N65" i="103"/>
  <c r="L65" i="103"/>
  <c r="J65" i="103"/>
  <c r="R63" i="103"/>
  <c r="T61" i="103"/>
  <c r="Z61" i="103" s="1"/>
  <c r="P61" i="103"/>
  <c r="X61" i="103" s="1"/>
  <c r="J61" i="103"/>
  <c r="H61" i="103"/>
  <c r="F61" i="103"/>
  <c r="D61" i="103"/>
  <c r="X59" i="103"/>
  <c r="Z59" i="103" s="1"/>
  <c r="L59" i="103"/>
  <c r="N59" i="103" s="1"/>
  <c r="B59" i="103"/>
  <c r="X58" i="103"/>
  <c r="Z58" i="103" s="1"/>
  <c r="T58" i="103"/>
  <c r="P58" i="103"/>
  <c r="H58" i="103"/>
  <c r="D58" i="103"/>
  <c r="L58" i="103" s="1"/>
  <c r="N58" i="103" s="1"/>
  <c r="B58" i="103"/>
  <c r="Z57" i="103"/>
  <c r="X57" i="103"/>
  <c r="L57" i="103"/>
  <c r="N57" i="103" s="1"/>
  <c r="J57" i="103"/>
  <c r="B57" i="103"/>
  <c r="T56" i="103"/>
  <c r="P56" i="103"/>
  <c r="J56" i="103"/>
  <c r="H56" i="103"/>
  <c r="L56" i="103" s="1"/>
  <c r="F56" i="103"/>
  <c r="D56" i="103"/>
  <c r="B56" i="103"/>
  <c r="X55" i="103"/>
  <c r="Z55" i="103" s="1"/>
  <c r="L55" i="103"/>
  <c r="N55" i="103" s="1"/>
  <c r="J55" i="103"/>
  <c r="F55" i="103"/>
  <c r="B55" i="103"/>
  <c r="V54" i="103"/>
  <c r="T54" i="103"/>
  <c r="P54" i="103"/>
  <c r="H54" i="103"/>
  <c r="D54" i="103"/>
  <c r="L54" i="103" s="1"/>
  <c r="B54" i="103"/>
  <c r="X53" i="103"/>
  <c r="Z53" i="103" s="1"/>
  <c r="R53" i="103"/>
  <c r="N53" i="103"/>
  <c r="L53" i="103"/>
  <c r="B53" i="103"/>
  <c r="X52" i="103"/>
  <c r="Z52" i="103" s="1"/>
  <c r="L52" i="103"/>
  <c r="N52" i="103" s="1"/>
  <c r="J52" i="103"/>
  <c r="B52" i="103"/>
  <c r="X51" i="103"/>
  <c r="Z51" i="103" s="1"/>
  <c r="V51" i="103"/>
  <c r="N51" i="103"/>
  <c r="L51" i="103"/>
  <c r="B51" i="103"/>
  <c r="X50" i="103"/>
  <c r="T50" i="103"/>
  <c r="R50" i="103"/>
  <c r="P50" i="103"/>
  <c r="H50" i="103"/>
  <c r="D50" i="103"/>
  <c r="L50" i="103" s="1"/>
  <c r="N50" i="103" s="1"/>
  <c r="B50" i="103"/>
  <c r="Z49" i="103"/>
  <c r="X49" i="103"/>
  <c r="V49" i="103"/>
  <c r="R49" i="103"/>
  <c r="N49" i="103"/>
  <c r="L49" i="103"/>
  <c r="B49" i="103"/>
  <c r="V48" i="103"/>
  <c r="T48" i="103"/>
  <c r="Z48" i="103" s="1"/>
  <c r="P48" i="103"/>
  <c r="X48" i="103" s="1"/>
  <c r="N48" i="103"/>
  <c r="L48" i="103"/>
  <c r="J48" i="103"/>
  <c r="H48" i="103"/>
  <c r="D48" i="103"/>
  <c r="B48" i="103"/>
  <c r="X47" i="103"/>
  <c r="Z47" i="103" s="1"/>
  <c r="V47" i="103"/>
  <c r="N47" i="103"/>
  <c r="L47" i="103"/>
  <c r="J47" i="103"/>
  <c r="B47" i="103"/>
  <c r="T46" i="103"/>
  <c r="P46" i="103"/>
  <c r="X46" i="103" s="1"/>
  <c r="L46" i="103"/>
  <c r="J46" i="103"/>
  <c r="H46" i="103"/>
  <c r="D46" i="103"/>
  <c r="B46" i="103"/>
  <c r="Z45" i="103"/>
  <c r="X45" i="103"/>
  <c r="N45" i="103"/>
  <c r="L45" i="103"/>
  <c r="J45" i="103"/>
  <c r="B45" i="103"/>
  <c r="T44" i="103"/>
  <c r="P44" i="103"/>
  <c r="X44" i="103" s="1"/>
  <c r="Z44" i="103" s="1"/>
  <c r="H44" i="103"/>
  <c r="F44" i="103"/>
  <c r="D44" i="103"/>
  <c r="L44" i="103" s="1"/>
  <c r="B44" i="103"/>
  <c r="Z43" i="103"/>
  <c r="X43" i="103"/>
  <c r="L43" i="103"/>
  <c r="N43" i="103" s="1"/>
  <c r="J43" i="103"/>
  <c r="B43" i="103"/>
  <c r="Z42" i="103"/>
  <c r="X42" i="103"/>
  <c r="V42" i="103"/>
  <c r="T42" i="103"/>
  <c r="P42" i="103"/>
  <c r="J42" i="103"/>
  <c r="H42" i="103"/>
  <c r="D42" i="103"/>
  <c r="B42" i="103"/>
  <c r="Z41" i="103"/>
  <c r="X41" i="103"/>
  <c r="N41" i="103"/>
  <c r="L41" i="103"/>
  <c r="J41" i="103"/>
  <c r="B41" i="103"/>
  <c r="V40" i="103"/>
  <c r="T40" i="103"/>
  <c r="P40" i="103"/>
  <c r="H40" i="103"/>
  <c r="N40" i="103" s="1"/>
  <c r="D40" i="103"/>
  <c r="L40" i="103" s="1"/>
  <c r="B40" i="103"/>
  <c r="Z39" i="103"/>
  <c r="X39" i="103"/>
  <c r="V39" i="103"/>
  <c r="N39" i="103"/>
  <c r="L39" i="103"/>
  <c r="J39" i="103"/>
  <c r="B39" i="103"/>
  <c r="Z38" i="103"/>
  <c r="X38" i="103"/>
  <c r="R38" i="103"/>
  <c r="N38" i="103"/>
  <c r="L38" i="103"/>
  <c r="J38" i="103"/>
  <c r="B38" i="103"/>
  <c r="Z37" i="103"/>
  <c r="X37" i="103"/>
  <c r="V37" i="103"/>
  <c r="N37" i="103"/>
  <c r="L37" i="103"/>
  <c r="J37" i="103"/>
  <c r="F37" i="103"/>
  <c r="B37" i="103"/>
  <c r="Z36" i="103"/>
  <c r="X36" i="103"/>
  <c r="N36" i="103"/>
  <c r="L36" i="103"/>
  <c r="J36" i="103"/>
  <c r="F36" i="103"/>
  <c r="B36" i="103"/>
  <c r="Z35" i="103"/>
  <c r="X35" i="103"/>
  <c r="V35" i="103"/>
  <c r="N35" i="103"/>
  <c r="L35" i="103"/>
  <c r="J35" i="103"/>
  <c r="B35" i="103"/>
  <c r="Z34" i="103"/>
  <c r="X34" i="103"/>
  <c r="R34" i="103"/>
  <c r="N34" i="103"/>
  <c r="L34" i="103"/>
  <c r="J34" i="103"/>
  <c r="B34" i="103"/>
  <c r="Z33" i="103"/>
  <c r="X33" i="103"/>
  <c r="V33" i="103"/>
  <c r="N33" i="103"/>
  <c r="L33" i="103"/>
  <c r="J33" i="103"/>
  <c r="F33" i="103"/>
  <c r="B33" i="103"/>
  <c r="Z32" i="103"/>
  <c r="X32" i="103"/>
  <c r="N32" i="103"/>
  <c r="L32" i="103"/>
  <c r="J32" i="103"/>
  <c r="F32" i="103"/>
  <c r="B32" i="103"/>
  <c r="X31" i="103"/>
  <c r="Z31" i="103" s="1"/>
  <c r="V31" i="103"/>
  <c r="N31" i="103"/>
  <c r="L31" i="103"/>
  <c r="J31" i="103"/>
  <c r="B31" i="103"/>
  <c r="Z30" i="103"/>
  <c r="X30" i="103"/>
  <c r="R30" i="103"/>
  <c r="N30" i="103"/>
  <c r="L30" i="103"/>
  <c r="J30" i="103"/>
  <c r="B30" i="103"/>
  <c r="V29" i="103"/>
  <c r="T29" i="103"/>
  <c r="R29" i="103"/>
  <c r="P29" i="103"/>
  <c r="L29" i="103"/>
  <c r="N29" i="103" s="1"/>
  <c r="J29" i="103"/>
  <c r="H29" i="103"/>
  <c r="D29" i="103"/>
  <c r="B29" i="103"/>
  <c r="Z28" i="103"/>
  <c r="X28" i="103"/>
  <c r="V28" i="103"/>
  <c r="R28" i="103"/>
  <c r="N28" i="103"/>
  <c r="L28" i="103"/>
  <c r="J28" i="103"/>
  <c r="F28" i="103"/>
  <c r="B28" i="103"/>
  <c r="Z27" i="103"/>
  <c r="X27" i="103"/>
  <c r="V27" i="103"/>
  <c r="N27" i="103"/>
  <c r="L27" i="103"/>
  <c r="J27" i="103"/>
  <c r="B27" i="103"/>
  <c r="X26" i="103"/>
  <c r="Z26" i="103" s="1"/>
  <c r="V26" i="103"/>
  <c r="L26" i="103"/>
  <c r="N26" i="103" s="1"/>
  <c r="J26" i="103"/>
  <c r="B26" i="103"/>
  <c r="Z25" i="103"/>
  <c r="X25" i="103"/>
  <c r="V25" i="103"/>
  <c r="R25" i="103"/>
  <c r="N25" i="103"/>
  <c r="L25" i="103"/>
  <c r="J25" i="103"/>
  <c r="B25" i="103"/>
  <c r="X24" i="103"/>
  <c r="Z24" i="103" s="1"/>
  <c r="V24" i="103"/>
  <c r="R24" i="103"/>
  <c r="L24" i="103"/>
  <c r="N24" i="103" s="1"/>
  <c r="J24" i="103"/>
  <c r="B24" i="103"/>
  <c r="Z23" i="103"/>
  <c r="X23" i="103"/>
  <c r="V23" i="103"/>
  <c r="N23" i="103"/>
  <c r="L23" i="103"/>
  <c r="J23" i="103"/>
  <c r="B23" i="103"/>
  <c r="X22" i="103"/>
  <c r="Z22" i="103" s="1"/>
  <c r="V22" i="103"/>
  <c r="L22" i="103"/>
  <c r="N22" i="103" s="1"/>
  <c r="J22" i="103"/>
  <c r="B22" i="103"/>
  <c r="Z21" i="103"/>
  <c r="X21" i="103"/>
  <c r="V21" i="103"/>
  <c r="R21" i="103"/>
  <c r="N21" i="103"/>
  <c r="L21" i="103"/>
  <c r="J21" i="103"/>
  <c r="B21" i="103"/>
  <c r="X20" i="103"/>
  <c r="Z20" i="103" s="1"/>
  <c r="V20" i="103"/>
  <c r="R20" i="103"/>
  <c r="L20" i="103"/>
  <c r="N20" i="103" s="1"/>
  <c r="J20" i="103"/>
  <c r="F20" i="103"/>
  <c r="B20" i="103"/>
  <c r="V19" i="103"/>
  <c r="T19" i="103"/>
  <c r="P19" i="103"/>
  <c r="X19" i="103" s="1"/>
  <c r="Z19" i="103" s="1"/>
  <c r="J19" i="103"/>
  <c r="H19" i="103"/>
  <c r="D19" i="103"/>
  <c r="B19" i="103"/>
  <c r="T18" i="103"/>
  <c r="P18" i="103"/>
  <c r="X18" i="103" s="1"/>
  <c r="J18" i="103"/>
  <c r="H18" i="103"/>
  <c r="D18" i="103"/>
  <c r="L18" i="103" s="1"/>
  <c r="P16" i="103"/>
  <c r="J16" i="103"/>
  <c r="T14" i="103"/>
  <c r="Z14" i="103" s="1"/>
  <c r="P14" i="103"/>
  <c r="X14" i="103" s="1"/>
  <c r="J14" i="103"/>
  <c r="H14" i="103"/>
  <c r="D14" i="103"/>
  <c r="T12" i="103"/>
  <c r="V45" i="103" s="1"/>
  <c r="P12" i="103"/>
  <c r="R61" i="103" s="1"/>
  <c r="N12" i="103"/>
  <c r="L12" i="103"/>
  <c r="H12" i="103"/>
  <c r="D12" i="103"/>
  <c r="F45" i="103" s="1"/>
  <c r="D6" i="103"/>
  <c r="D4" i="103"/>
  <c r="Z85" i="102"/>
  <c r="X85" i="102"/>
  <c r="L85" i="102"/>
  <c r="N85" i="102" s="1"/>
  <c r="X81" i="102"/>
  <c r="Z81" i="102" s="1"/>
  <c r="P81" i="102"/>
  <c r="N81" i="102"/>
  <c r="D81" i="102"/>
  <c r="L81" i="102" s="1"/>
  <c r="B81" i="102"/>
  <c r="T80" i="102"/>
  <c r="P80" i="102"/>
  <c r="X80" i="102" s="1"/>
  <c r="N80" i="102"/>
  <c r="H80" i="102"/>
  <c r="Z78" i="102"/>
  <c r="X78" i="102"/>
  <c r="N78" i="102"/>
  <c r="L78" i="102"/>
  <c r="B78" i="102"/>
  <c r="T77" i="102"/>
  <c r="P77" i="102"/>
  <c r="N77" i="102"/>
  <c r="L77" i="102"/>
  <c r="H77" i="102"/>
  <c r="D77" i="102"/>
  <c r="B77" i="102"/>
  <c r="Z76" i="102"/>
  <c r="X76" i="102"/>
  <c r="N76" i="102"/>
  <c r="L76" i="102"/>
  <c r="J76" i="102"/>
  <c r="B76" i="102"/>
  <c r="X75" i="102"/>
  <c r="Z75" i="102" s="1"/>
  <c r="L75" i="102"/>
  <c r="N75" i="102" s="1"/>
  <c r="B75" i="102"/>
  <c r="Z74" i="102"/>
  <c r="X74" i="102"/>
  <c r="T74" i="102"/>
  <c r="P74" i="102"/>
  <c r="H74" i="102"/>
  <c r="D74" i="102"/>
  <c r="L74" i="102" s="1"/>
  <c r="N74" i="102" s="1"/>
  <c r="B74" i="102"/>
  <c r="Z73" i="102"/>
  <c r="X73" i="102"/>
  <c r="N73" i="102"/>
  <c r="L73" i="102"/>
  <c r="B73" i="102"/>
  <c r="X72" i="102"/>
  <c r="Z72" i="102" s="1"/>
  <c r="V72" i="102"/>
  <c r="N72" i="102"/>
  <c r="L72" i="102"/>
  <c r="B72" i="102"/>
  <c r="Z71" i="102"/>
  <c r="X71" i="102"/>
  <c r="N71" i="102"/>
  <c r="L71" i="102"/>
  <c r="B71" i="102"/>
  <c r="Z70" i="102"/>
  <c r="X70" i="102"/>
  <c r="N70" i="102"/>
  <c r="L70" i="102"/>
  <c r="J70" i="102"/>
  <c r="B70" i="102"/>
  <c r="Z69" i="102"/>
  <c r="T69" i="102"/>
  <c r="P69" i="102"/>
  <c r="X69" i="102" s="1"/>
  <c r="H69" i="102"/>
  <c r="D69" i="102"/>
  <c r="L69" i="102" s="1"/>
  <c r="B69" i="102"/>
  <c r="Z68" i="102"/>
  <c r="X68" i="102"/>
  <c r="N68" i="102"/>
  <c r="L68" i="102"/>
  <c r="B68" i="102"/>
  <c r="X67" i="102"/>
  <c r="Z67" i="102" s="1"/>
  <c r="L67" i="102"/>
  <c r="N67" i="102" s="1"/>
  <c r="B67" i="102"/>
  <c r="Z66" i="102"/>
  <c r="T66" i="102"/>
  <c r="P66" i="102"/>
  <c r="X66" i="102" s="1"/>
  <c r="H66" i="102"/>
  <c r="D66" i="102"/>
  <c r="L66" i="102" s="1"/>
  <c r="N66" i="102" s="1"/>
  <c r="B66" i="102"/>
  <c r="Z65" i="102"/>
  <c r="X65" i="102"/>
  <c r="V65" i="102"/>
  <c r="N65" i="102"/>
  <c r="L65" i="102"/>
  <c r="B65" i="102"/>
  <c r="Z64" i="102"/>
  <c r="X64" i="102"/>
  <c r="N64" i="102"/>
  <c r="L64" i="102"/>
  <c r="B64" i="102"/>
  <c r="T63" i="102"/>
  <c r="P63" i="102"/>
  <c r="X63" i="102" s="1"/>
  <c r="J63" i="102"/>
  <c r="H63" i="102"/>
  <c r="L63" i="102" s="1"/>
  <c r="D63" i="102"/>
  <c r="B63" i="102"/>
  <c r="Z62" i="102"/>
  <c r="X62" i="102"/>
  <c r="N62" i="102"/>
  <c r="L62" i="102"/>
  <c r="J62" i="102"/>
  <c r="B62" i="102"/>
  <c r="T61" i="102"/>
  <c r="P61" i="102"/>
  <c r="X61" i="102" s="1"/>
  <c r="Z61" i="102" s="1"/>
  <c r="H61" i="102"/>
  <c r="D61" i="102"/>
  <c r="L61" i="102" s="1"/>
  <c r="B61" i="102"/>
  <c r="Z60" i="102"/>
  <c r="X60" i="102"/>
  <c r="N60" i="102"/>
  <c r="L60" i="102"/>
  <c r="J60" i="102"/>
  <c r="B60" i="102"/>
  <c r="Z59" i="102"/>
  <c r="X59" i="102"/>
  <c r="T59" i="102"/>
  <c r="P59" i="102"/>
  <c r="L59" i="102"/>
  <c r="H59" i="102"/>
  <c r="D59" i="102"/>
  <c r="B59" i="102"/>
  <c r="Z58" i="102"/>
  <c r="X58" i="102"/>
  <c r="N58" i="102"/>
  <c r="L58" i="102"/>
  <c r="B58" i="102"/>
  <c r="T57" i="102"/>
  <c r="P57" i="102"/>
  <c r="H57" i="102"/>
  <c r="N57" i="102" s="1"/>
  <c r="D57" i="102"/>
  <c r="L57" i="102" s="1"/>
  <c r="B57" i="102"/>
  <c r="Z56" i="102"/>
  <c r="X56" i="102"/>
  <c r="N56" i="102"/>
  <c r="L56" i="102"/>
  <c r="B56" i="102"/>
  <c r="T55" i="102"/>
  <c r="Z55" i="102" s="1"/>
  <c r="P55" i="102"/>
  <c r="N55" i="102"/>
  <c r="H55" i="102"/>
  <c r="D55" i="102"/>
  <c r="L55" i="102" s="1"/>
  <c r="B55" i="102"/>
  <c r="Z54" i="102"/>
  <c r="X54" i="102"/>
  <c r="N54" i="102"/>
  <c r="L54" i="102"/>
  <c r="B54" i="102"/>
  <c r="X53" i="102"/>
  <c r="T53" i="102"/>
  <c r="P53" i="102"/>
  <c r="N53" i="102"/>
  <c r="L53" i="102"/>
  <c r="H53" i="102"/>
  <c r="D53" i="102"/>
  <c r="B53" i="102"/>
  <c r="Z52" i="102"/>
  <c r="X52" i="102"/>
  <c r="N52" i="102"/>
  <c r="L52" i="102"/>
  <c r="J52" i="102"/>
  <c r="B52" i="102"/>
  <c r="T51" i="102"/>
  <c r="P51" i="102"/>
  <c r="X51" i="102" s="1"/>
  <c r="J51" i="102"/>
  <c r="H51" i="102"/>
  <c r="D51" i="102"/>
  <c r="B51" i="102"/>
  <c r="Z50" i="102"/>
  <c r="X50" i="102"/>
  <c r="N50" i="102"/>
  <c r="L50" i="102"/>
  <c r="B50" i="102"/>
  <c r="Z49" i="102"/>
  <c r="T49" i="102"/>
  <c r="P49" i="102"/>
  <c r="X49" i="102" s="1"/>
  <c r="L49" i="102"/>
  <c r="H49" i="102"/>
  <c r="N49" i="102" s="1"/>
  <c r="D49" i="102"/>
  <c r="B49" i="102"/>
  <c r="Z48" i="102"/>
  <c r="X48" i="102"/>
  <c r="L48" i="102"/>
  <c r="N48" i="102" s="1"/>
  <c r="B48" i="102"/>
  <c r="X47" i="102"/>
  <c r="Z47" i="102" s="1"/>
  <c r="T47" i="102"/>
  <c r="P47" i="102"/>
  <c r="H47" i="102"/>
  <c r="D47" i="102"/>
  <c r="L47" i="102" s="1"/>
  <c r="B47" i="102"/>
  <c r="Z46" i="102"/>
  <c r="X46" i="102"/>
  <c r="N46" i="102"/>
  <c r="L46" i="102"/>
  <c r="J46" i="102"/>
  <c r="B46" i="102"/>
  <c r="Z45" i="102"/>
  <c r="X45" i="102"/>
  <c r="V45" i="102"/>
  <c r="N45" i="102"/>
  <c r="L45" i="102"/>
  <c r="B45" i="102"/>
  <c r="X44" i="102"/>
  <c r="Z44" i="102" s="1"/>
  <c r="N44" i="102"/>
  <c r="L44" i="102"/>
  <c r="B44" i="102"/>
  <c r="X43" i="102"/>
  <c r="Z43" i="102" s="1"/>
  <c r="L43" i="102"/>
  <c r="N43" i="102" s="1"/>
  <c r="B43" i="102"/>
  <c r="Z42" i="102"/>
  <c r="X42" i="102"/>
  <c r="N42" i="102"/>
  <c r="L42" i="102"/>
  <c r="B42" i="102"/>
  <c r="Z41" i="102"/>
  <c r="X41" i="102"/>
  <c r="N41" i="102"/>
  <c r="L41" i="102"/>
  <c r="B41" i="102"/>
  <c r="Z40" i="102"/>
  <c r="X40" i="102"/>
  <c r="L40" i="102"/>
  <c r="N40" i="102" s="1"/>
  <c r="J40" i="102"/>
  <c r="B40" i="102"/>
  <c r="Z39" i="102"/>
  <c r="X39" i="102"/>
  <c r="N39" i="102"/>
  <c r="L39" i="102"/>
  <c r="B39" i="102"/>
  <c r="Z38" i="102"/>
  <c r="X38" i="102"/>
  <c r="V38" i="102"/>
  <c r="N38" i="102"/>
  <c r="L38" i="102"/>
  <c r="J38" i="102"/>
  <c r="B38" i="102"/>
  <c r="Z37" i="102"/>
  <c r="X37" i="102"/>
  <c r="N37" i="102"/>
  <c r="L37" i="102"/>
  <c r="B37" i="102"/>
  <c r="X36" i="102"/>
  <c r="Z36" i="102" s="1"/>
  <c r="T36" i="102"/>
  <c r="P36" i="102"/>
  <c r="N36" i="102"/>
  <c r="L36" i="102"/>
  <c r="H36" i="102"/>
  <c r="D36" i="102"/>
  <c r="B36" i="102"/>
  <c r="X35" i="102"/>
  <c r="Z35" i="102" s="1"/>
  <c r="N35" i="102"/>
  <c r="L35" i="102"/>
  <c r="B35" i="102"/>
  <c r="Z34" i="102"/>
  <c r="X34" i="102"/>
  <c r="V34" i="102"/>
  <c r="N34" i="102"/>
  <c r="L34" i="102"/>
  <c r="J34" i="102"/>
  <c r="B34" i="102"/>
  <c r="Z33" i="102"/>
  <c r="X33" i="102"/>
  <c r="L33" i="102"/>
  <c r="N33" i="102" s="1"/>
  <c r="B33" i="102"/>
  <c r="Z32" i="102"/>
  <c r="X32" i="102"/>
  <c r="N32" i="102"/>
  <c r="L32" i="102"/>
  <c r="B32" i="102"/>
  <c r="Z31" i="102"/>
  <c r="X31" i="102"/>
  <c r="L31" i="102"/>
  <c r="N31" i="102" s="1"/>
  <c r="J31" i="102"/>
  <c r="B31" i="102"/>
  <c r="Z30" i="102"/>
  <c r="X30" i="102"/>
  <c r="N30" i="102"/>
  <c r="L30" i="102"/>
  <c r="B30" i="102"/>
  <c r="Z29" i="102"/>
  <c r="X29" i="102"/>
  <c r="L29" i="102"/>
  <c r="N29" i="102" s="1"/>
  <c r="J29" i="102"/>
  <c r="B29" i="102"/>
  <c r="Z28" i="102"/>
  <c r="X28" i="102"/>
  <c r="N28" i="102"/>
  <c r="L28" i="102"/>
  <c r="B28" i="102"/>
  <c r="X27" i="102"/>
  <c r="Z27" i="102" s="1"/>
  <c r="N27" i="102"/>
  <c r="L27" i="102"/>
  <c r="B27" i="102"/>
  <c r="T26" i="102"/>
  <c r="P26" i="102"/>
  <c r="H26" i="102"/>
  <c r="L26" i="102" s="1"/>
  <c r="D26" i="102"/>
  <c r="B26" i="102"/>
  <c r="T25" i="102"/>
  <c r="P25" i="102"/>
  <c r="X25" i="102" s="1"/>
  <c r="H25" i="102"/>
  <c r="N25" i="102" s="1"/>
  <c r="D25" i="102"/>
  <c r="L25" i="102" s="1"/>
  <c r="J23" i="102"/>
  <c r="H23" i="102"/>
  <c r="Z21" i="102"/>
  <c r="X21" i="102"/>
  <c r="N21" i="102"/>
  <c r="L21" i="102"/>
  <c r="B21" i="102"/>
  <c r="Z20" i="102"/>
  <c r="X20" i="102"/>
  <c r="N20" i="102"/>
  <c r="L20" i="102"/>
  <c r="J20" i="102"/>
  <c r="B20" i="102"/>
  <c r="Z19" i="102"/>
  <c r="X19" i="102"/>
  <c r="L19" i="102"/>
  <c r="N19" i="102" s="1"/>
  <c r="J19" i="102"/>
  <c r="B19" i="102"/>
  <c r="T18" i="102"/>
  <c r="P18" i="102"/>
  <c r="H18" i="102"/>
  <c r="N18" i="102" s="1"/>
  <c r="D18" i="102"/>
  <c r="L18" i="102" s="1"/>
  <c r="Z16" i="102"/>
  <c r="P16" i="102"/>
  <c r="X16" i="102" s="1"/>
  <c r="D16" i="102"/>
  <c r="L16" i="102" s="1"/>
  <c r="N16" i="102" s="1"/>
  <c r="B16" i="102"/>
  <c r="Z15" i="102"/>
  <c r="X15" i="102"/>
  <c r="P15" i="102"/>
  <c r="N15" i="102"/>
  <c r="L15" i="102"/>
  <c r="D15" i="102"/>
  <c r="B15" i="102"/>
  <c r="Z14" i="102"/>
  <c r="X14" i="102"/>
  <c r="P14" i="102"/>
  <c r="N14" i="102"/>
  <c r="L14" i="102"/>
  <c r="D14" i="102"/>
  <c r="B14" i="102"/>
  <c r="P13" i="102"/>
  <c r="D13" i="102"/>
  <c r="B13" i="102"/>
  <c r="T12" i="102"/>
  <c r="V78" i="102" s="1"/>
  <c r="H12" i="102"/>
  <c r="J71" i="102" s="1"/>
  <c r="D6" i="102"/>
  <c r="D4" i="102"/>
  <c r="Z74" i="101"/>
  <c r="X74" i="101"/>
  <c r="R74" i="101"/>
  <c r="N74" i="101"/>
  <c r="L74" i="101"/>
  <c r="Z70" i="101"/>
  <c r="P70" i="101"/>
  <c r="X70" i="101" s="1"/>
  <c r="N70" i="101"/>
  <c r="L70" i="101"/>
  <c r="D70" i="101"/>
  <c r="B70" i="101"/>
  <c r="Z69" i="101"/>
  <c r="X69" i="101"/>
  <c r="T69" i="101"/>
  <c r="P69" i="101"/>
  <c r="N69" i="101"/>
  <c r="H69" i="101"/>
  <c r="D69" i="101"/>
  <c r="L69" i="101" s="1"/>
  <c r="Z67" i="101"/>
  <c r="X67" i="101"/>
  <c r="V67" i="101"/>
  <c r="N67" i="101"/>
  <c r="L67" i="101"/>
  <c r="J67" i="101"/>
  <c r="B67" i="101"/>
  <c r="Z66" i="101"/>
  <c r="X66" i="101"/>
  <c r="N66" i="101"/>
  <c r="L66" i="101"/>
  <c r="B66" i="101"/>
  <c r="Z65" i="101"/>
  <c r="X65" i="101"/>
  <c r="T65" i="101"/>
  <c r="P65" i="101"/>
  <c r="L65" i="101"/>
  <c r="H65" i="101"/>
  <c r="J65" i="101" s="1"/>
  <c r="D65" i="101"/>
  <c r="B65" i="101"/>
  <c r="Z64" i="101"/>
  <c r="X64" i="101"/>
  <c r="L64" i="101"/>
  <c r="N64" i="101" s="1"/>
  <c r="J64" i="101"/>
  <c r="B64" i="101"/>
  <c r="Z63" i="101"/>
  <c r="X63" i="101"/>
  <c r="N63" i="101"/>
  <c r="L63" i="101"/>
  <c r="B63" i="101"/>
  <c r="X62" i="101"/>
  <c r="Z62" i="101" s="1"/>
  <c r="V62" i="101"/>
  <c r="T62" i="101"/>
  <c r="P62" i="101"/>
  <c r="N62" i="101"/>
  <c r="L62" i="101"/>
  <c r="H62" i="101"/>
  <c r="D62" i="101"/>
  <c r="B62" i="101"/>
  <c r="X61" i="101"/>
  <c r="Z61" i="101" s="1"/>
  <c r="L61" i="101"/>
  <c r="N61" i="101" s="1"/>
  <c r="B61" i="101"/>
  <c r="V60" i="101"/>
  <c r="T60" i="101"/>
  <c r="P60" i="101"/>
  <c r="X60" i="101" s="1"/>
  <c r="N60" i="101"/>
  <c r="L60" i="101"/>
  <c r="J60" i="101"/>
  <c r="H60" i="101"/>
  <c r="D60" i="101"/>
  <c r="B60" i="101"/>
  <c r="Z59" i="101"/>
  <c r="X59" i="101"/>
  <c r="V59" i="101"/>
  <c r="N59" i="101"/>
  <c r="L59" i="101"/>
  <c r="J59" i="101"/>
  <c r="B59" i="101"/>
  <c r="X58" i="101"/>
  <c r="Z58" i="101" s="1"/>
  <c r="L58" i="101"/>
  <c r="N58" i="101" s="1"/>
  <c r="J58" i="101"/>
  <c r="B58" i="101"/>
  <c r="X57" i="101"/>
  <c r="Z57" i="101" s="1"/>
  <c r="T57" i="101"/>
  <c r="P57" i="101"/>
  <c r="H57" i="101"/>
  <c r="D57" i="101"/>
  <c r="B57" i="101"/>
  <c r="Z56" i="101"/>
  <c r="X56" i="101"/>
  <c r="L56" i="101"/>
  <c r="N56" i="101" s="1"/>
  <c r="J56" i="101"/>
  <c r="B56" i="101"/>
  <c r="T55" i="101"/>
  <c r="X55" i="101" s="1"/>
  <c r="P55" i="101"/>
  <c r="H55" i="101"/>
  <c r="D55" i="101"/>
  <c r="L55" i="101" s="1"/>
  <c r="B55" i="101"/>
  <c r="Z54" i="101"/>
  <c r="X54" i="101"/>
  <c r="N54" i="101"/>
  <c r="L54" i="101"/>
  <c r="B54" i="101"/>
  <c r="Z53" i="101"/>
  <c r="X53" i="101"/>
  <c r="T53" i="101"/>
  <c r="P53" i="101"/>
  <c r="N53" i="101"/>
  <c r="H53" i="101"/>
  <c r="D53" i="101"/>
  <c r="L53" i="101" s="1"/>
  <c r="B53" i="101"/>
  <c r="Z52" i="101"/>
  <c r="X52" i="101"/>
  <c r="N52" i="101"/>
  <c r="L52" i="101"/>
  <c r="B52" i="101"/>
  <c r="T51" i="101"/>
  <c r="P51" i="101"/>
  <c r="L51" i="101"/>
  <c r="N51" i="101" s="1"/>
  <c r="J51" i="101"/>
  <c r="H51" i="101"/>
  <c r="D51" i="101"/>
  <c r="B51" i="101"/>
  <c r="X50" i="101"/>
  <c r="Z50" i="101" s="1"/>
  <c r="V50" i="101"/>
  <c r="N50" i="101"/>
  <c r="L50" i="101"/>
  <c r="J50" i="101"/>
  <c r="B50" i="101"/>
  <c r="T49" i="101"/>
  <c r="R49" i="101"/>
  <c r="P49" i="101"/>
  <c r="H49" i="101"/>
  <c r="L49" i="101" s="1"/>
  <c r="D49" i="101"/>
  <c r="B49" i="101"/>
  <c r="X48" i="101"/>
  <c r="Z48" i="101" s="1"/>
  <c r="V48" i="101"/>
  <c r="N48" i="101"/>
  <c r="L48" i="101"/>
  <c r="J48" i="101"/>
  <c r="B48" i="101"/>
  <c r="T47" i="101"/>
  <c r="P47" i="101"/>
  <c r="X47" i="101" s="1"/>
  <c r="Z47" i="101" s="1"/>
  <c r="L47" i="101"/>
  <c r="N47" i="101" s="1"/>
  <c r="H47" i="101"/>
  <c r="D47" i="101"/>
  <c r="B47" i="101"/>
  <c r="Z46" i="101"/>
  <c r="X46" i="101"/>
  <c r="L46" i="101"/>
  <c r="N46" i="101" s="1"/>
  <c r="J46" i="101"/>
  <c r="B46" i="101"/>
  <c r="X45" i="101"/>
  <c r="Z45" i="101" s="1"/>
  <c r="T45" i="101"/>
  <c r="P45" i="101"/>
  <c r="L45" i="101"/>
  <c r="J45" i="101"/>
  <c r="H45" i="101"/>
  <c r="D45" i="101"/>
  <c r="B45" i="101"/>
  <c r="Z44" i="101"/>
  <c r="X44" i="101"/>
  <c r="N44" i="101"/>
  <c r="L44" i="101"/>
  <c r="J44" i="101"/>
  <c r="B44" i="101"/>
  <c r="Z43" i="101"/>
  <c r="X43" i="101"/>
  <c r="N43" i="101"/>
  <c r="L43" i="101"/>
  <c r="B43" i="101"/>
  <c r="X42" i="101"/>
  <c r="Z42" i="101" s="1"/>
  <c r="V42" i="101"/>
  <c r="N42" i="101"/>
  <c r="L42" i="101"/>
  <c r="J42" i="101"/>
  <c r="B42" i="101"/>
  <c r="Z41" i="101"/>
  <c r="X41" i="101"/>
  <c r="N41" i="101"/>
  <c r="L41" i="101"/>
  <c r="B41" i="101"/>
  <c r="Z40" i="101"/>
  <c r="X40" i="101"/>
  <c r="N40" i="101"/>
  <c r="L40" i="101"/>
  <c r="J40" i="101"/>
  <c r="B40" i="101"/>
  <c r="X39" i="101"/>
  <c r="Z39" i="101" s="1"/>
  <c r="N39" i="101"/>
  <c r="L39" i="101"/>
  <c r="B39" i="101"/>
  <c r="Z38" i="101"/>
  <c r="X38" i="101"/>
  <c r="V38" i="101"/>
  <c r="N38" i="101"/>
  <c r="L38" i="101"/>
  <c r="J38" i="101"/>
  <c r="B38" i="101"/>
  <c r="Z37" i="101"/>
  <c r="X37" i="101"/>
  <c r="N37" i="101"/>
  <c r="L37" i="101"/>
  <c r="B37" i="101"/>
  <c r="Z36" i="101"/>
  <c r="X36" i="101"/>
  <c r="N36" i="101"/>
  <c r="L36" i="101"/>
  <c r="J36" i="101"/>
  <c r="B36" i="101"/>
  <c r="Z35" i="101"/>
  <c r="X35" i="101"/>
  <c r="N35" i="101"/>
  <c r="L35" i="101"/>
  <c r="B35" i="101"/>
  <c r="X34" i="101"/>
  <c r="Z34" i="101" s="1"/>
  <c r="V34" i="101"/>
  <c r="T34" i="101"/>
  <c r="P34" i="101"/>
  <c r="N34" i="101"/>
  <c r="L34" i="101"/>
  <c r="H34" i="101"/>
  <c r="D34" i="101"/>
  <c r="B34" i="101"/>
  <c r="X33" i="101"/>
  <c r="Z33" i="101" s="1"/>
  <c r="L33" i="101"/>
  <c r="N33" i="101" s="1"/>
  <c r="J33" i="101"/>
  <c r="B33" i="101"/>
  <c r="Z32" i="101"/>
  <c r="X32" i="101"/>
  <c r="V32" i="101"/>
  <c r="N32" i="101"/>
  <c r="L32" i="101"/>
  <c r="J32" i="101"/>
  <c r="B32" i="101"/>
  <c r="Z31" i="101"/>
  <c r="X31" i="101"/>
  <c r="N31" i="101"/>
  <c r="L31" i="101"/>
  <c r="J31" i="101"/>
  <c r="B31" i="101"/>
  <c r="Z30" i="101"/>
  <c r="X30" i="101"/>
  <c r="V30" i="101"/>
  <c r="N30" i="101"/>
  <c r="L30" i="101"/>
  <c r="B30" i="101"/>
  <c r="X29" i="101"/>
  <c r="Z29" i="101" s="1"/>
  <c r="L29" i="101"/>
  <c r="N29" i="101" s="1"/>
  <c r="J29" i="101"/>
  <c r="B29" i="101"/>
  <c r="Z28" i="101"/>
  <c r="X28" i="101"/>
  <c r="V28" i="101"/>
  <c r="N28" i="101"/>
  <c r="L28" i="101"/>
  <c r="J28" i="101"/>
  <c r="B28" i="101"/>
  <c r="Z27" i="101"/>
  <c r="X27" i="101"/>
  <c r="N27" i="101"/>
  <c r="L27" i="101"/>
  <c r="J27" i="101"/>
  <c r="B27" i="101"/>
  <c r="Z26" i="101"/>
  <c r="X26" i="101"/>
  <c r="V26" i="101"/>
  <c r="N26" i="101"/>
  <c r="L26" i="101"/>
  <c r="B26" i="101"/>
  <c r="Z25" i="101"/>
  <c r="T25" i="101"/>
  <c r="P25" i="101"/>
  <c r="X25" i="101" s="1"/>
  <c r="H25" i="101"/>
  <c r="D25" i="101"/>
  <c r="L25" i="101" s="1"/>
  <c r="N25" i="101" s="1"/>
  <c r="B25" i="101"/>
  <c r="T24" i="101"/>
  <c r="P24" i="101"/>
  <c r="X24" i="101" s="1"/>
  <c r="Z24" i="101" s="1"/>
  <c r="H24" i="101"/>
  <c r="D24" i="101"/>
  <c r="Z20" i="101"/>
  <c r="X20" i="101"/>
  <c r="N20" i="101"/>
  <c r="L20" i="101"/>
  <c r="B20" i="101"/>
  <c r="Z19" i="101"/>
  <c r="X19" i="101"/>
  <c r="V19" i="101"/>
  <c r="N19" i="101"/>
  <c r="L19" i="101"/>
  <c r="J19" i="101"/>
  <c r="B19" i="101"/>
  <c r="Z18" i="101"/>
  <c r="X18" i="101"/>
  <c r="N18" i="101"/>
  <c r="L18" i="101"/>
  <c r="J18" i="101"/>
  <c r="B18" i="101"/>
  <c r="X17" i="101"/>
  <c r="Z17" i="101" s="1"/>
  <c r="T17" i="101"/>
  <c r="P17" i="101"/>
  <c r="L17" i="101"/>
  <c r="J17" i="101"/>
  <c r="H17" i="101"/>
  <c r="D17" i="101"/>
  <c r="X15" i="101"/>
  <c r="Z15" i="101" s="1"/>
  <c r="P15" i="101"/>
  <c r="N15" i="101"/>
  <c r="L15" i="101"/>
  <c r="D15" i="101"/>
  <c r="B15" i="101"/>
  <c r="Z14" i="101"/>
  <c r="P14" i="101"/>
  <c r="P12" i="101" s="1"/>
  <c r="R41" i="101" s="1"/>
  <c r="N14" i="101"/>
  <c r="L14" i="101"/>
  <c r="D14" i="101"/>
  <c r="B14" i="101"/>
  <c r="Z13" i="101"/>
  <c r="X13" i="101"/>
  <c r="P13" i="101"/>
  <c r="D13" i="101"/>
  <c r="B13" i="101"/>
  <c r="T12" i="101"/>
  <c r="V52" i="101" s="1"/>
  <c r="H12" i="101"/>
  <c r="J61" i="101" s="1"/>
  <c r="D6" i="101"/>
  <c r="D4" i="101"/>
  <c r="V60" i="100"/>
  <c r="V57" i="100"/>
  <c r="Z55" i="100"/>
  <c r="X55" i="100"/>
  <c r="V55" i="100"/>
  <c r="N55" i="100"/>
  <c r="L55" i="100"/>
  <c r="J55" i="100"/>
  <c r="F55" i="100"/>
  <c r="R53" i="100"/>
  <c r="F53" i="100"/>
  <c r="P51" i="100"/>
  <c r="X51" i="100" s="1"/>
  <c r="Z51" i="100" s="1"/>
  <c r="N51" i="100"/>
  <c r="L51" i="100"/>
  <c r="F51" i="100"/>
  <c r="D51" i="100"/>
  <c r="B51" i="100"/>
  <c r="T50" i="100"/>
  <c r="P50" i="100"/>
  <c r="X50" i="100" s="1"/>
  <c r="Z50" i="100" s="1"/>
  <c r="H50" i="100"/>
  <c r="F50" i="100"/>
  <c r="D50" i="100"/>
  <c r="L50" i="100" s="1"/>
  <c r="N50" i="100" s="1"/>
  <c r="Z48" i="100"/>
  <c r="X48" i="100"/>
  <c r="L48" i="100"/>
  <c r="N48" i="100" s="1"/>
  <c r="F48" i="100"/>
  <c r="B48" i="100"/>
  <c r="Z47" i="100"/>
  <c r="X47" i="100"/>
  <c r="V47" i="100"/>
  <c r="T47" i="100"/>
  <c r="P47" i="100"/>
  <c r="H47" i="100"/>
  <c r="F47" i="100"/>
  <c r="D47" i="100"/>
  <c r="B47" i="100"/>
  <c r="Z46" i="100"/>
  <c r="X46" i="100"/>
  <c r="V46" i="100"/>
  <c r="N46" i="100"/>
  <c r="L46" i="100"/>
  <c r="F46" i="100"/>
  <c r="B46" i="100"/>
  <c r="Z45" i="100"/>
  <c r="V45" i="100"/>
  <c r="T45" i="100"/>
  <c r="P45" i="100"/>
  <c r="X45" i="100" s="1"/>
  <c r="H45" i="100"/>
  <c r="N45" i="100" s="1"/>
  <c r="F45" i="100"/>
  <c r="D45" i="100"/>
  <c r="L45" i="100" s="1"/>
  <c r="B45" i="100"/>
  <c r="X44" i="100"/>
  <c r="Z44" i="100" s="1"/>
  <c r="V44" i="100"/>
  <c r="R44" i="100"/>
  <c r="N44" i="100"/>
  <c r="L44" i="100"/>
  <c r="B44" i="100"/>
  <c r="V43" i="100"/>
  <c r="T43" i="100"/>
  <c r="R43" i="100"/>
  <c r="P43" i="100"/>
  <c r="X43" i="100" s="1"/>
  <c r="Z43" i="100" s="1"/>
  <c r="N43" i="100"/>
  <c r="L43" i="100"/>
  <c r="H43" i="100"/>
  <c r="D43" i="100"/>
  <c r="B43" i="100"/>
  <c r="Z42" i="100"/>
  <c r="X42" i="100"/>
  <c r="R42" i="100"/>
  <c r="N42" i="100"/>
  <c r="L42" i="100"/>
  <c r="B42" i="100"/>
  <c r="V41" i="100"/>
  <c r="T41" i="100"/>
  <c r="R41" i="100"/>
  <c r="P41" i="100"/>
  <c r="N41" i="100"/>
  <c r="L41" i="100"/>
  <c r="H41" i="100"/>
  <c r="D41" i="100"/>
  <c r="B41" i="100"/>
  <c r="Z40" i="100"/>
  <c r="X40" i="100"/>
  <c r="V40" i="100"/>
  <c r="N40" i="100"/>
  <c r="L40" i="100"/>
  <c r="F40" i="100"/>
  <c r="B40" i="100"/>
  <c r="Z39" i="100"/>
  <c r="X39" i="100"/>
  <c r="N39" i="100"/>
  <c r="L39" i="100"/>
  <c r="J39" i="100"/>
  <c r="B39" i="100"/>
  <c r="Z38" i="100"/>
  <c r="X38" i="100"/>
  <c r="V38" i="100"/>
  <c r="N38" i="100"/>
  <c r="L38" i="100"/>
  <c r="F38" i="100"/>
  <c r="B38" i="100"/>
  <c r="Z37" i="100"/>
  <c r="X37" i="100"/>
  <c r="V37" i="100"/>
  <c r="R37" i="100"/>
  <c r="N37" i="100"/>
  <c r="L37" i="100"/>
  <c r="B37" i="100"/>
  <c r="Z36" i="100"/>
  <c r="X36" i="100"/>
  <c r="V36" i="100"/>
  <c r="N36" i="100"/>
  <c r="L36" i="100"/>
  <c r="F36" i="100"/>
  <c r="B36" i="100"/>
  <c r="Z35" i="100"/>
  <c r="X35" i="100"/>
  <c r="N35" i="100"/>
  <c r="L35" i="100"/>
  <c r="B35" i="100"/>
  <c r="Z34" i="100"/>
  <c r="X34" i="100"/>
  <c r="V34" i="100"/>
  <c r="N34" i="100"/>
  <c r="L34" i="100"/>
  <c r="F34" i="100"/>
  <c r="B34" i="100"/>
  <c r="Z33" i="100"/>
  <c r="X33" i="100"/>
  <c r="V33" i="100"/>
  <c r="R33" i="100"/>
  <c r="N33" i="100"/>
  <c r="L33" i="100"/>
  <c r="B33" i="100"/>
  <c r="Z32" i="100"/>
  <c r="X32" i="100"/>
  <c r="V32" i="100"/>
  <c r="R32" i="100"/>
  <c r="N32" i="100"/>
  <c r="L32" i="100"/>
  <c r="F32" i="100"/>
  <c r="B32" i="100"/>
  <c r="X31" i="100"/>
  <c r="Z31" i="100" s="1"/>
  <c r="N31" i="100"/>
  <c r="L31" i="100"/>
  <c r="B31" i="100"/>
  <c r="X30" i="100"/>
  <c r="Z30" i="100" s="1"/>
  <c r="V30" i="100"/>
  <c r="T30" i="100"/>
  <c r="P30" i="100"/>
  <c r="H30" i="100"/>
  <c r="D30" i="100"/>
  <c r="B30" i="100"/>
  <c r="X29" i="100"/>
  <c r="Z29" i="100" s="1"/>
  <c r="L29" i="100"/>
  <c r="N29" i="100" s="1"/>
  <c r="J29" i="100"/>
  <c r="F29" i="100"/>
  <c r="B29" i="100"/>
  <c r="Z28" i="100"/>
  <c r="X28" i="100"/>
  <c r="V28" i="100"/>
  <c r="R28" i="100"/>
  <c r="N28" i="100"/>
  <c r="L28" i="100"/>
  <c r="B28" i="100"/>
  <c r="X27" i="100"/>
  <c r="Z27" i="100" s="1"/>
  <c r="V27" i="100"/>
  <c r="N27" i="100"/>
  <c r="L27" i="100"/>
  <c r="F27" i="100"/>
  <c r="B27" i="100"/>
  <c r="Z26" i="100"/>
  <c r="X26" i="100"/>
  <c r="N26" i="100"/>
  <c r="L26" i="100"/>
  <c r="F26" i="100"/>
  <c r="B26" i="100"/>
  <c r="Z25" i="100"/>
  <c r="X25" i="100"/>
  <c r="L25" i="100"/>
  <c r="N25" i="100" s="1"/>
  <c r="F25" i="100"/>
  <c r="B25" i="100"/>
  <c r="X24" i="100"/>
  <c r="Z24" i="100" s="1"/>
  <c r="V24" i="100"/>
  <c r="R24" i="100"/>
  <c r="N24" i="100"/>
  <c r="L24" i="100"/>
  <c r="B24" i="100"/>
  <c r="Z23" i="100"/>
  <c r="X23" i="100"/>
  <c r="V23" i="100"/>
  <c r="N23" i="100"/>
  <c r="L23" i="100"/>
  <c r="F23" i="100"/>
  <c r="B23" i="100"/>
  <c r="X22" i="100"/>
  <c r="Z22" i="100" s="1"/>
  <c r="V22" i="100"/>
  <c r="R22" i="100"/>
  <c r="L22" i="100"/>
  <c r="N22" i="100" s="1"/>
  <c r="F22" i="100"/>
  <c r="B22" i="100"/>
  <c r="Z21" i="100"/>
  <c r="X21" i="100"/>
  <c r="L21" i="100"/>
  <c r="N21" i="100" s="1"/>
  <c r="F21" i="100"/>
  <c r="B21" i="100"/>
  <c r="V20" i="100"/>
  <c r="T20" i="100"/>
  <c r="R20" i="100"/>
  <c r="P20" i="100"/>
  <c r="H20" i="100"/>
  <c r="F20" i="100"/>
  <c r="D20" i="100"/>
  <c r="L20" i="100" s="1"/>
  <c r="B20" i="100"/>
  <c r="V19" i="100"/>
  <c r="T19" i="100"/>
  <c r="P19" i="100"/>
  <c r="J19" i="100"/>
  <c r="H19" i="100"/>
  <c r="F19" i="100"/>
  <c r="D19" i="100"/>
  <c r="V17" i="100"/>
  <c r="F17" i="100"/>
  <c r="Z15" i="100"/>
  <c r="X15" i="100"/>
  <c r="V15" i="100"/>
  <c r="N15" i="100"/>
  <c r="L15" i="100"/>
  <c r="F15" i="100"/>
  <c r="B15" i="100"/>
  <c r="T14" i="100"/>
  <c r="T17" i="100" s="1"/>
  <c r="R14" i="100"/>
  <c r="P14" i="100"/>
  <c r="X14" i="100" s="1"/>
  <c r="N14" i="100"/>
  <c r="H14" i="100"/>
  <c r="F14" i="100"/>
  <c r="D14" i="100"/>
  <c r="Z12" i="100"/>
  <c r="X12" i="100"/>
  <c r="T12" i="100"/>
  <c r="V29" i="100" s="1"/>
  <c r="P12" i="100"/>
  <c r="R45" i="100" s="1"/>
  <c r="H12" i="100"/>
  <c r="D12" i="100"/>
  <c r="F42" i="100" s="1"/>
  <c r="D6" i="100"/>
  <c r="D4" i="100"/>
  <c r="V29" i="99"/>
  <c r="V26" i="99"/>
  <c r="Z24" i="99"/>
  <c r="X24" i="99"/>
  <c r="V24" i="99"/>
  <c r="R24" i="99"/>
  <c r="N24" i="99"/>
  <c r="L24" i="99"/>
  <c r="R22" i="99"/>
  <c r="Z20" i="99"/>
  <c r="T20" i="99"/>
  <c r="R20" i="99"/>
  <c r="P20" i="99"/>
  <c r="X20" i="99" s="1"/>
  <c r="N20" i="99"/>
  <c r="L20" i="99"/>
  <c r="H20" i="99"/>
  <c r="D20" i="99"/>
  <c r="Z18" i="99"/>
  <c r="T18" i="99"/>
  <c r="R18" i="99"/>
  <c r="P18" i="99"/>
  <c r="X18" i="99" s="1"/>
  <c r="H18" i="99"/>
  <c r="N18" i="99" s="1"/>
  <c r="D18" i="99"/>
  <c r="L18" i="99" s="1"/>
  <c r="R16" i="99"/>
  <c r="Z14" i="99"/>
  <c r="T14" i="99"/>
  <c r="R14" i="99"/>
  <c r="P14" i="99"/>
  <c r="H14" i="99"/>
  <c r="N14" i="99" s="1"/>
  <c r="D14" i="99"/>
  <c r="L14" i="99" s="1"/>
  <c r="Z12" i="99"/>
  <c r="T12" i="99"/>
  <c r="V22" i="99" s="1"/>
  <c r="P12" i="99"/>
  <c r="X12" i="99" s="1"/>
  <c r="H12" i="99"/>
  <c r="D12" i="99"/>
  <c r="D6" i="99"/>
  <c r="D4" i="99"/>
  <c r="X89" i="98"/>
  <c r="Z89" i="98" s="1"/>
  <c r="N89" i="98"/>
  <c r="L89" i="98"/>
  <c r="J89" i="98"/>
  <c r="T85" i="98"/>
  <c r="Z85" i="98" s="1"/>
  <c r="P85" i="98"/>
  <c r="X85" i="98" s="1"/>
  <c r="N85" i="98"/>
  <c r="H85" i="98"/>
  <c r="D85" i="98"/>
  <c r="L85" i="98" s="1"/>
  <c r="Z83" i="98"/>
  <c r="X83" i="98"/>
  <c r="N83" i="98"/>
  <c r="L83" i="98"/>
  <c r="J83" i="98"/>
  <c r="B83" i="98"/>
  <c r="X82" i="98"/>
  <c r="T82" i="98"/>
  <c r="P82" i="98"/>
  <c r="N82" i="98"/>
  <c r="H82" i="98"/>
  <c r="D82" i="98"/>
  <c r="L82" i="98" s="1"/>
  <c r="B82" i="98"/>
  <c r="Z81" i="98"/>
  <c r="X81" i="98"/>
  <c r="N81" i="98"/>
  <c r="L81" i="98"/>
  <c r="B81" i="98"/>
  <c r="X80" i="98"/>
  <c r="V80" i="98"/>
  <c r="T80" i="98"/>
  <c r="Z80" i="98" s="1"/>
  <c r="P80" i="98"/>
  <c r="N80" i="98"/>
  <c r="L80" i="98"/>
  <c r="J80" i="98"/>
  <c r="H80" i="98"/>
  <c r="D80" i="98"/>
  <c r="B80" i="98"/>
  <c r="X79" i="98"/>
  <c r="Z79" i="98" s="1"/>
  <c r="L79" i="98"/>
  <c r="N79" i="98" s="1"/>
  <c r="J79" i="98"/>
  <c r="B79" i="98"/>
  <c r="T78" i="98"/>
  <c r="P78" i="98"/>
  <c r="H78" i="98"/>
  <c r="L78" i="98" s="1"/>
  <c r="D78" i="98"/>
  <c r="B78" i="98"/>
  <c r="X77" i="98"/>
  <c r="Z77" i="98" s="1"/>
  <c r="V77" i="98"/>
  <c r="N77" i="98"/>
  <c r="L77" i="98"/>
  <c r="B77" i="98"/>
  <c r="Z76" i="98"/>
  <c r="X76" i="98"/>
  <c r="L76" i="98"/>
  <c r="N76" i="98" s="1"/>
  <c r="J76" i="98"/>
  <c r="B76" i="98"/>
  <c r="X75" i="98"/>
  <c r="Z75" i="98" s="1"/>
  <c r="N75" i="98"/>
  <c r="L75" i="98"/>
  <c r="J75" i="98"/>
  <c r="B75" i="98"/>
  <c r="X74" i="98"/>
  <c r="Z74" i="98" s="1"/>
  <c r="L74" i="98"/>
  <c r="N74" i="98" s="1"/>
  <c r="J74" i="98"/>
  <c r="B74" i="98"/>
  <c r="X73" i="98"/>
  <c r="Z73" i="98" s="1"/>
  <c r="N73" i="98"/>
  <c r="L73" i="98"/>
  <c r="B73" i="98"/>
  <c r="T72" i="98"/>
  <c r="P72" i="98"/>
  <c r="X72" i="98" s="1"/>
  <c r="Z72" i="98" s="1"/>
  <c r="N72" i="98"/>
  <c r="L72" i="98"/>
  <c r="H72" i="98"/>
  <c r="D72" i="98"/>
  <c r="B72" i="98"/>
  <c r="Z71" i="98"/>
  <c r="X71" i="98"/>
  <c r="N71" i="98"/>
  <c r="L71" i="98"/>
  <c r="J71" i="98"/>
  <c r="B71" i="98"/>
  <c r="X70" i="98"/>
  <c r="Z70" i="98" s="1"/>
  <c r="T70" i="98"/>
  <c r="P70" i="98"/>
  <c r="H70" i="98"/>
  <c r="D70" i="98"/>
  <c r="B70" i="98"/>
  <c r="X69" i="98"/>
  <c r="Z69" i="98" s="1"/>
  <c r="L69" i="98"/>
  <c r="N69" i="98" s="1"/>
  <c r="J69" i="98"/>
  <c r="B69" i="98"/>
  <c r="X68" i="98"/>
  <c r="Z68" i="98" s="1"/>
  <c r="N68" i="98"/>
  <c r="L68" i="98"/>
  <c r="B68" i="98"/>
  <c r="Z67" i="98"/>
  <c r="X67" i="98"/>
  <c r="L67" i="98"/>
  <c r="N67" i="98" s="1"/>
  <c r="J67" i="98"/>
  <c r="B67" i="98"/>
  <c r="T66" i="98"/>
  <c r="P66" i="98"/>
  <c r="X66" i="98" s="1"/>
  <c r="H66" i="98"/>
  <c r="L66" i="98" s="1"/>
  <c r="D66" i="98"/>
  <c r="B66" i="98"/>
  <c r="X65" i="98"/>
  <c r="Z65" i="98" s="1"/>
  <c r="N65" i="98"/>
  <c r="L65" i="98"/>
  <c r="B65" i="98"/>
  <c r="T64" i="98"/>
  <c r="P64" i="98"/>
  <c r="X64" i="98" s="1"/>
  <c r="Z64" i="98" s="1"/>
  <c r="N64" i="98"/>
  <c r="L64" i="98"/>
  <c r="H64" i="98"/>
  <c r="D64" i="98"/>
  <c r="B64" i="98"/>
  <c r="Z63" i="98"/>
  <c r="X63" i="98"/>
  <c r="N63" i="98"/>
  <c r="L63" i="98"/>
  <c r="J63" i="98"/>
  <c r="B63" i="98"/>
  <c r="X62" i="98"/>
  <c r="Z62" i="98" s="1"/>
  <c r="L62" i="98"/>
  <c r="N62" i="98" s="1"/>
  <c r="J62" i="98"/>
  <c r="B62" i="98"/>
  <c r="Z61" i="98"/>
  <c r="T61" i="98"/>
  <c r="P61" i="98"/>
  <c r="X61" i="98" s="1"/>
  <c r="H61" i="98"/>
  <c r="N61" i="98" s="1"/>
  <c r="D61" i="98"/>
  <c r="L61" i="98" s="1"/>
  <c r="B61" i="98"/>
  <c r="X60" i="98"/>
  <c r="Z60" i="98" s="1"/>
  <c r="N60" i="98"/>
  <c r="L60" i="98"/>
  <c r="B60" i="98"/>
  <c r="X59" i="98"/>
  <c r="Z59" i="98" s="1"/>
  <c r="T59" i="98"/>
  <c r="P59" i="98"/>
  <c r="H59" i="98"/>
  <c r="D59" i="98"/>
  <c r="L59" i="98" s="1"/>
  <c r="N59" i="98" s="1"/>
  <c r="B59" i="98"/>
  <c r="X58" i="98"/>
  <c r="Z58" i="98" s="1"/>
  <c r="L58" i="98"/>
  <c r="N58" i="98" s="1"/>
  <c r="J58" i="98"/>
  <c r="B58" i="98"/>
  <c r="T57" i="98"/>
  <c r="P57" i="98"/>
  <c r="H57" i="98"/>
  <c r="D57" i="98"/>
  <c r="B57" i="98"/>
  <c r="X56" i="98"/>
  <c r="Z56" i="98" s="1"/>
  <c r="L56" i="98"/>
  <c r="N56" i="98" s="1"/>
  <c r="J56" i="98"/>
  <c r="B56" i="98"/>
  <c r="Z55" i="98"/>
  <c r="X55" i="98"/>
  <c r="N55" i="98"/>
  <c r="L55" i="98"/>
  <c r="J55" i="98"/>
  <c r="B55" i="98"/>
  <c r="X54" i="98"/>
  <c r="Z54" i="98" s="1"/>
  <c r="L54" i="98"/>
  <c r="N54" i="98" s="1"/>
  <c r="J54" i="98"/>
  <c r="B54" i="98"/>
  <c r="T53" i="98"/>
  <c r="P53" i="98"/>
  <c r="X53" i="98" s="1"/>
  <c r="Z53" i="98" s="1"/>
  <c r="H53" i="98"/>
  <c r="N53" i="98" s="1"/>
  <c r="D53" i="98"/>
  <c r="L53" i="98" s="1"/>
  <c r="B53" i="98"/>
  <c r="X52" i="98"/>
  <c r="Z52" i="98" s="1"/>
  <c r="N52" i="98"/>
  <c r="L52" i="98"/>
  <c r="B52" i="98"/>
  <c r="Z51" i="98"/>
  <c r="X51" i="98"/>
  <c r="T51" i="98"/>
  <c r="P51" i="98"/>
  <c r="L51" i="98"/>
  <c r="N51" i="98" s="1"/>
  <c r="H51" i="98"/>
  <c r="D51" i="98"/>
  <c r="B51" i="98"/>
  <c r="Z50" i="98"/>
  <c r="X50" i="98"/>
  <c r="L50" i="98"/>
  <c r="N50" i="98" s="1"/>
  <c r="J50" i="98"/>
  <c r="B50" i="98"/>
  <c r="V49" i="98"/>
  <c r="T49" i="98"/>
  <c r="P49" i="98"/>
  <c r="H49" i="98"/>
  <c r="D49" i="98"/>
  <c r="B49" i="98"/>
  <c r="X48" i="98"/>
  <c r="Z48" i="98" s="1"/>
  <c r="L48" i="98"/>
  <c r="N48" i="98" s="1"/>
  <c r="J48" i="98"/>
  <c r="B48" i="98"/>
  <c r="T47" i="98"/>
  <c r="P47" i="98"/>
  <c r="N47" i="98"/>
  <c r="H47" i="98"/>
  <c r="J47" i="98" s="1"/>
  <c r="D47" i="98"/>
  <c r="L47" i="98" s="1"/>
  <c r="B47" i="98"/>
  <c r="Z46" i="98"/>
  <c r="X46" i="98"/>
  <c r="N46" i="98"/>
  <c r="L46" i="98"/>
  <c r="B46" i="98"/>
  <c r="Z45" i="98"/>
  <c r="X45" i="98"/>
  <c r="N45" i="98"/>
  <c r="L45" i="98"/>
  <c r="J45" i="98"/>
  <c r="B45" i="98"/>
  <c r="X44" i="98"/>
  <c r="Z44" i="98" s="1"/>
  <c r="N44" i="98"/>
  <c r="L44" i="98"/>
  <c r="B44" i="98"/>
  <c r="X43" i="98"/>
  <c r="Z43" i="98" s="1"/>
  <c r="N43" i="98"/>
  <c r="L43" i="98"/>
  <c r="J43" i="98"/>
  <c r="B43" i="98"/>
  <c r="Z42" i="98"/>
  <c r="X42" i="98"/>
  <c r="V42" i="98"/>
  <c r="N42" i="98"/>
  <c r="L42" i="98"/>
  <c r="B42" i="98"/>
  <c r="X41" i="98"/>
  <c r="Z41" i="98" s="1"/>
  <c r="L41" i="98"/>
  <c r="N41" i="98" s="1"/>
  <c r="J41" i="98"/>
  <c r="B41" i="98"/>
  <c r="X40" i="98"/>
  <c r="Z40" i="98" s="1"/>
  <c r="N40" i="98"/>
  <c r="L40" i="98"/>
  <c r="B40" i="98"/>
  <c r="Z39" i="98"/>
  <c r="X39" i="98"/>
  <c r="N39" i="98"/>
  <c r="L39" i="98"/>
  <c r="J39" i="98"/>
  <c r="B39" i="98"/>
  <c r="X38" i="98"/>
  <c r="Z38" i="98" s="1"/>
  <c r="V38" i="98"/>
  <c r="N38" i="98"/>
  <c r="L38" i="98"/>
  <c r="B38" i="98"/>
  <c r="Z37" i="98"/>
  <c r="X37" i="98"/>
  <c r="N37" i="98"/>
  <c r="L37" i="98"/>
  <c r="J37" i="98"/>
  <c r="B37" i="98"/>
  <c r="T36" i="98"/>
  <c r="X36" i="98" s="1"/>
  <c r="P36" i="98"/>
  <c r="H36" i="98"/>
  <c r="J36" i="98" s="1"/>
  <c r="D36" i="98"/>
  <c r="L36" i="98" s="1"/>
  <c r="B36" i="98"/>
  <c r="X35" i="98"/>
  <c r="Z35" i="98" s="1"/>
  <c r="N35" i="98"/>
  <c r="L35" i="98"/>
  <c r="J35" i="98"/>
  <c r="B35" i="98"/>
  <c r="X34" i="98"/>
  <c r="Z34" i="98" s="1"/>
  <c r="L34" i="98"/>
  <c r="N34" i="98" s="1"/>
  <c r="J34" i="98"/>
  <c r="B34" i="98"/>
  <c r="X33" i="98"/>
  <c r="Z33" i="98" s="1"/>
  <c r="N33" i="98"/>
  <c r="L33" i="98"/>
  <c r="J33" i="98"/>
  <c r="B33" i="98"/>
  <c r="Z32" i="98"/>
  <c r="X32" i="98"/>
  <c r="N32" i="98"/>
  <c r="L32" i="98"/>
  <c r="J32" i="98"/>
  <c r="B32" i="98"/>
  <c r="X31" i="98"/>
  <c r="Z31" i="98" s="1"/>
  <c r="N31" i="98"/>
  <c r="L31" i="98"/>
  <c r="J31" i="98"/>
  <c r="B31" i="98"/>
  <c r="Z30" i="98"/>
  <c r="X30" i="98"/>
  <c r="L30" i="98"/>
  <c r="N30" i="98" s="1"/>
  <c r="J30" i="98"/>
  <c r="B30" i="98"/>
  <c r="X29" i="98"/>
  <c r="Z29" i="98" s="1"/>
  <c r="N29" i="98"/>
  <c r="L29" i="98"/>
  <c r="J29" i="98"/>
  <c r="B29" i="98"/>
  <c r="Z28" i="98"/>
  <c r="X28" i="98"/>
  <c r="L28" i="98"/>
  <c r="N28" i="98" s="1"/>
  <c r="J28" i="98"/>
  <c r="B28" i="98"/>
  <c r="X27" i="98"/>
  <c r="Z27" i="98" s="1"/>
  <c r="N27" i="98"/>
  <c r="L27" i="98"/>
  <c r="J27" i="98"/>
  <c r="B27" i="98"/>
  <c r="X26" i="98"/>
  <c r="Z26" i="98" s="1"/>
  <c r="T26" i="98"/>
  <c r="P26" i="98"/>
  <c r="H26" i="98"/>
  <c r="D26" i="98"/>
  <c r="L26" i="98" s="1"/>
  <c r="N26" i="98" s="1"/>
  <c r="B26" i="98"/>
  <c r="T25" i="98"/>
  <c r="P25" i="98"/>
  <c r="H25" i="98"/>
  <c r="D25" i="98"/>
  <c r="L25" i="98" s="1"/>
  <c r="H23" i="98"/>
  <c r="Z21" i="98"/>
  <c r="X21" i="98"/>
  <c r="N21" i="98"/>
  <c r="L21" i="98"/>
  <c r="J21" i="98"/>
  <c r="B21" i="98"/>
  <c r="Z20" i="98"/>
  <c r="X20" i="98"/>
  <c r="V20" i="98"/>
  <c r="N20" i="98"/>
  <c r="L20" i="98"/>
  <c r="J20" i="98"/>
  <c r="B20" i="98"/>
  <c r="Z19" i="98"/>
  <c r="X19" i="98"/>
  <c r="L19" i="98"/>
  <c r="N19" i="98" s="1"/>
  <c r="J19" i="98"/>
  <c r="B19" i="98"/>
  <c r="Z18" i="98"/>
  <c r="X18" i="98"/>
  <c r="T18" i="98"/>
  <c r="P18" i="98"/>
  <c r="J18" i="98"/>
  <c r="H18" i="98"/>
  <c r="D18" i="98"/>
  <c r="Z16" i="98"/>
  <c r="P16" i="98"/>
  <c r="N16" i="98"/>
  <c r="D16" i="98"/>
  <c r="L16" i="98" s="1"/>
  <c r="B16" i="98"/>
  <c r="Z15" i="98"/>
  <c r="X15" i="98"/>
  <c r="P15" i="98"/>
  <c r="D15" i="98"/>
  <c r="L15" i="98" s="1"/>
  <c r="N15" i="98" s="1"/>
  <c r="B15" i="98"/>
  <c r="Z14" i="98"/>
  <c r="X14" i="98"/>
  <c r="P14" i="98"/>
  <c r="N14" i="98"/>
  <c r="D14" i="98"/>
  <c r="L14" i="98" s="1"/>
  <c r="B14" i="98"/>
  <c r="Z13" i="98"/>
  <c r="P13" i="98"/>
  <c r="X13" i="98" s="1"/>
  <c r="L13" i="98"/>
  <c r="N13" i="98" s="1"/>
  <c r="D13" i="98"/>
  <c r="B13" i="98"/>
  <c r="T12" i="98"/>
  <c r="V79" i="98" s="1"/>
  <c r="H12" i="98"/>
  <c r="D6" i="98"/>
  <c r="D4" i="98"/>
  <c r="Z96" i="96"/>
  <c r="X96" i="96"/>
  <c r="L96" i="96"/>
  <c r="N96" i="96" s="1"/>
  <c r="T92" i="96"/>
  <c r="Z92" i="96" s="1"/>
  <c r="P92" i="96"/>
  <c r="X92" i="96" s="1"/>
  <c r="H92" i="96"/>
  <c r="D92" i="96"/>
  <c r="X90" i="96"/>
  <c r="Z90" i="96" s="1"/>
  <c r="N90" i="96"/>
  <c r="L90" i="96"/>
  <c r="B90" i="96"/>
  <c r="X89" i="96"/>
  <c r="Z89" i="96" s="1"/>
  <c r="T89" i="96"/>
  <c r="P89" i="96"/>
  <c r="H89" i="96"/>
  <c r="D89" i="96"/>
  <c r="L89" i="96" s="1"/>
  <c r="N89" i="96" s="1"/>
  <c r="B89" i="96"/>
  <c r="Z88" i="96"/>
  <c r="X88" i="96"/>
  <c r="N88" i="96"/>
  <c r="L88" i="96"/>
  <c r="B88" i="96"/>
  <c r="X87" i="96"/>
  <c r="Z87" i="96" s="1"/>
  <c r="N87" i="96"/>
  <c r="L87" i="96"/>
  <c r="B87" i="96"/>
  <c r="X86" i="96"/>
  <c r="Z86" i="96" s="1"/>
  <c r="T86" i="96"/>
  <c r="P86" i="96"/>
  <c r="N86" i="96"/>
  <c r="H86" i="96"/>
  <c r="D86" i="96"/>
  <c r="L86" i="96" s="1"/>
  <c r="B86" i="96"/>
  <c r="Z85" i="96"/>
  <c r="X85" i="96"/>
  <c r="L85" i="96"/>
  <c r="N85" i="96" s="1"/>
  <c r="B85" i="96"/>
  <c r="X84" i="96"/>
  <c r="T84" i="96"/>
  <c r="Z84" i="96" s="1"/>
  <c r="P84" i="96"/>
  <c r="L84" i="96"/>
  <c r="N84" i="96" s="1"/>
  <c r="H84" i="96"/>
  <c r="D84" i="96"/>
  <c r="B84" i="96"/>
  <c r="Z83" i="96"/>
  <c r="X83" i="96"/>
  <c r="N83" i="96"/>
  <c r="L83" i="96"/>
  <c r="J83" i="96"/>
  <c r="F83" i="96"/>
  <c r="B83" i="96"/>
  <c r="X82" i="96"/>
  <c r="Z82" i="96" s="1"/>
  <c r="N82" i="96"/>
  <c r="L82" i="96"/>
  <c r="B82" i="96"/>
  <c r="Z81" i="96"/>
  <c r="X81" i="96"/>
  <c r="L81" i="96"/>
  <c r="N81" i="96" s="1"/>
  <c r="J81" i="96"/>
  <c r="B81" i="96"/>
  <c r="X80" i="96"/>
  <c r="Z80" i="96" s="1"/>
  <c r="N80" i="96"/>
  <c r="L80" i="96"/>
  <c r="B80" i="96"/>
  <c r="X79" i="96"/>
  <c r="Z79" i="96" s="1"/>
  <c r="V79" i="96"/>
  <c r="L79" i="96"/>
  <c r="N79" i="96" s="1"/>
  <c r="B79" i="96"/>
  <c r="X78" i="96"/>
  <c r="Z78" i="96" s="1"/>
  <c r="N78" i="96"/>
  <c r="L78" i="96"/>
  <c r="B78" i="96"/>
  <c r="Z77" i="96"/>
  <c r="X77" i="96"/>
  <c r="N77" i="96"/>
  <c r="L77" i="96"/>
  <c r="B77" i="96"/>
  <c r="X76" i="96"/>
  <c r="Z76" i="96" s="1"/>
  <c r="N76" i="96"/>
  <c r="L76" i="96"/>
  <c r="F76" i="96"/>
  <c r="B76" i="96"/>
  <c r="T75" i="96"/>
  <c r="P75" i="96"/>
  <c r="X75" i="96" s="1"/>
  <c r="Z75" i="96" s="1"/>
  <c r="H75" i="96"/>
  <c r="D75" i="96"/>
  <c r="L75" i="96" s="1"/>
  <c r="N75" i="96" s="1"/>
  <c r="B75" i="96"/>
  <c r="X74" i="96"/>
  <c r="Z74" i="96" s="1"/>
  <c r="L74" i="96"/>
  <c r="N74" i="96" s="1"/>
  <c r="B74" i="96"/>
  <c r="T73" i="96"/>
  <c r="P73" i="96"/>
  <c r="L73" i="96"/>
  <c r="J73" i="96"/>
  <c r="H73" i="96"/>
  <c r="D73" i="96"/>
  <c r="B73" i="96"/>
  <c r="Z72" i="96"/>
  <c r="X72" i="96"/>
  <c r="L72" i="96"/>
  <c r="N72" i="96" s="1"/>
  <c r="F72" i="96"/>
  <c r="B72" i="96"/>
  <c r="Z71" i="96"/>
  <c r="X71" i="96"/>
  <c r="N71" i="96"/>
  <c r="L71" i="96"/>
  <c r="B71" i="96"/>
  <c r="X70" i="96"/>
  <c r="Z70" i="96" s="1"/>
  <c r="L70" i="96"/>
  <c r="N70" i="96" s="1"/>
  <c r="J70" i="96"/>
  <c r="B70" i="96"/>
  <c r="Z69" i="96"/>
  <c r="X69" i="96"/>
  <c r="L69" i="96"/>
  <c r="N69" i="96" s="1"/>
  <c r="B69" i="96"/>
  <c r="X68" i="96"/>
  <c r="Z68" i="96" s="1"/>
  <c r="L68" i="96"/>
  <c r="N68" i="96" s="1"/>
  <c r="B68" i="96"/>
  <c r="T67" i="96"/>
  <c r="P67" i="96"/>
  <c r="X67" i="96" s="1"/>
  <c r="H67" i="96"/>
  <c r="D67" i="96"/>
  <c r="F67" i="96" s="1"/>
  <c r="B67" i="96"/>
  <c r="X66" i="96"/>
  <c r="Z66" i="96" s="1"/>
  <c r="N66" i="96"/>
  <c r="L66" i="96"/>
  <c r="B66" i="96"/>
  <c r="X65" i="96"/>
  <c r="Z65" i="96" s="1"/>
  <c r="T65" i="96"/>
  <c r="P65" i="96"/>
  <c r="H65" i="96"/>
  <c r="D65" i="96"/>
  <c r="L65" i="96" s="1"/>
  <c r="N65" i="96" s="1"/>
  <c r="B65" i="96"/>
  <c r="Z64" i="96"/>
  <c r="X64" i="96"/>
  <c r="N64" i="96"/>
  <c r="L64" i="96"/>
  <c r="B64" i="96"/>
  <c r="T63" i="96"/>
  <c r="P63" i="96"/>
  <c r="L63" i="96"/>
  <c r="N63" i="96" s="1"/>
  <c r="J63" i="96"/>
  <c r="H63" i="96"/>
  <c r="D63" i="96"/>
  <c r="B63" i="96"/>
  <c r="Z62" i="96"/>
  <c r="X62" i="96"/>
  <c r="L62" i="96"/>
  <c r="N62" i="96" s="1"/>
  <c r="F62" i="96"/>
  <c r="B62" i="96"/>
  <c r="Z61" i="96"/>
  <c r="T61" i="96"/>
  <c r="P61" i="96"/>
  <c r="X61" i="96" s="1"/>
  <c r="H61" i="96"/>
  <c r="D61" i="96"/>
  <c r="L61" i="96" s="1"/>
  <c r="B61" i="96"/>
  <c r="X60" i="96"/>
  <c r="Z60" i="96" s="1"/>
  <c r="N60" i="96"/>
  <c r="L60" i="96"/>
  <c r="B60" i="96"/>
  <c r="T59" i="96"/>
  <c r="P59" i="96"/>
  <c r="X59" i="96" s="1"/>
  <c r="Z59" i="96" s="1"/>
  <c r="N59" i="96"/>
  <c r="L59" i="96"/>
  <c r="H59" i="96"/>
  <c r="D59" i="96"/>
  <c r="B59" i="96"/>
  <c r="X58" i="96"/>
  <c r="Z58" i="96" s="1"/>
  <c r="L58" i="96"/>
  <c r="N58" i="96" s="1"/>
  <c r="J58" i="96"/>
  <c r="F58" i="96"/>
  <c r="B58" i="96"/>
  <c r="X57" i="96"/>
  <c r="Z57" i="96" s="1"/>
  <c r="T57" i="96"/>
  <c r="P57" i="96"/>
  <c r="H57" i="96"/>
  <c r="J57" i="96" s="1"/>
  <c r="F57" i="96"/>
  <c r="D57" i="96"/>
  <c r="B57" i="96"/>
  <c r="X56" i="96"/>
  <c r="Z56" i="96" s="1"/>
  <c r="L56" i="96"/>
  <c r="N56" i="96" s="1"/>
  <c r="B56" i="96"/>
  <c r="Z55" i="96"/>
  <c r="V55" i="96"/>
  <c r="T55" i="96"/>
  <c r="P55" i="96"/>
  <c r="X55" i="96" s="1"/>
  <c r="N55" i="96"/>
  <c r="H55" i="96"/>
  <c r="D55" i="96"/>
  <c r="L55" i="96" s="1"/>
  <c r="B55" i="96"/>
  <c r="X54" i="96"/>
  <c r="Z54" i="96" s="1"/>
  <c r="L54" i="96"/>
  <c r="N54" i="96" s="1"/>
  <c r="B54" i="96"/>
  <c r="Z53" i="96"/>
  <c r="X53" i="96"/>
  <c r="L53" i="96"/>
  <c r="N53" i="96" s="1"/>
  <c r="J53" i="96"/>
  <c r="F53" i="96"/>
  <c r="B53" i="96"/>
  <c r="T52" i="96"/>
  <c r="X52" i="96" s="1"/>
  <c r="P52" i="96"/>
  <c r="H52" i="96"/>
  <c r="D52" i="96"/>
  <c r="L52" i="96" s="1"/>
  <c r="B52" i="96"/>
  <c r="Z51" i="96"/>
  <c r="X51" i="96"/>
  <c r="N51" i="96"/>
  <c r="L51" i="96"/>
  <c r="B51" i="96"/>
  <c r="T50" i="96"/>
  <c r="P50" i="96"/>
  <c r="H50" i="96"/>
  <c r="N50" i="96" s="1"/>
  <c r="D50" i="96"/>
  <c r="B50" i="96"/>
  <c r="Z49" i="96"/>
  <c r="X49" i="96"/>
  <c r="V49" i="96"/>
  <c r="N49" i="96"/>
  <c r="L49" i="96"/>
  <c r="B49" i="96"/>
  <c r="T48" i="96"/>
  <c r="P48" i="96"/>
  <c r="X48" i="96" s="1"/>
  <c r="Z48" i="96" s="1"/>
  <c r="J48" i="96"/>
  <c r="H48" i="96"/>
  <c r="D48" i="96"/>
  <c r="B48" i="96"/>
  <c r="X47" i="96"/>
  <c r="Z47" i="96" s="1"/>
  <c r="L47" i="96"/>
  <c r="N47" i="96" s="1"/>
  <c r="B47" i="96"/>
  <c r="X46" i="96"/>
  <c r="T46" i="96"/>
  <c r="P46" i="96"/>
  <c r="L46" i="96"/>
  <c r="H46" i="96"/>
  <c r="D46" i="96"/>
  <c r="B46" i="96"/>
  <c r="Z45" i="96"/>
  <c r="X45" i="96"/>
  <c r="V45" i="96"/>
  <c r="N45" i="96"/>
  <c r="L45" i="96"/>
  <c r="B45" i="96"/>
  <c r="Z44" i="96"/>
  <c r="X44" i="96"/>
  <c r="N44" i="96"/>
  <c r="L44" i="96"/>
  <c r="J44" i="96"/>
  <c r="B44" i="96"/>
  <c r="Z43" i="96"/>
  <c r="X43" i="96"/>
  <c r="N43" i="96"/>
  <c r="L43" i="96"/>
  <c r="F43" i="96"/>
  <c r="B43" i="96"/>
  <c r="Z42" i="96"/>
  <c r="X42" i="96"/>
  <c r="L42" i="96"/>
  <c r="N42" i="96" s="1"/>
  <c r="B42" i="96"/>
  <c r="Z41" i="96"/>
  <c r="X41" i="96"/>
  <c r="V41" i="96"/>
  <c r="N41" i="96"/>
  <c r="L41" i="96"/>
  <c r="B41" i="96"/>
  <c r="X40" i="96"/>
  <c r="Z40" i="96" s="1"/>
  <c r="L40" i="96"/>
  <c r="N40" i="96" s="1"/>
  <c r="J40" i="96"/>
  <c r="F40" i="96"/>
  <c r="B40" i="96"/>
  <c r="X39" i="96"/>
  <c r="Z39" i="96" s="1"/>
  <c r="N39" i="96"/>
  <c r="L39" i="96"/>
  <c r="B39" i="96"/>
  <c r="Z38" i="96"/>
  <c r="X38" i="96"/>
  <c r="N38" i="96"/>
  <c r="L38" i="96"/>
  <c r="B38" i="96"/>
  <c r="X37" i="96"/>
  <c r="Z37" i="96" s="1"/>
  <c r="N37" i="96"/>
  <c r="L37" i="96"/>
  <c r="J37" i="96"/>
  <c r="B37" i="96"/>
  <c r="Z36" i="96"/>
  <c r="X36" i="96"/>
  <c r="N36" i="96"/>
  <c r="L36" i="96"/>
  <c r="B36" i="96"/>
  <c r="Z35" i="96"/>
  <c r="X35" i="96"/>
  <c r="T35" i="96"/>
  <c r="P35" i="96"/>
  <c r="H35" i="96"/>
  <c r="D35" i="96"/>
  <c r="L35" i="96" s="1"/>
  <c r="B35" i="96"/>
  <c r="Z34" i="96"/>
  <c r="X34" i="96"/>
  <c r="N34" i="96"/>
  <c r="L34" i="96"/>
  <c r="B34" i="96"/>
  <c r="X33" i="96"/>
  <c r="Z33" i="96" s="1"/>
  <c r="L33" i="96"/>
  <c r="N33" i="96" s="1"/>
  <c r="B33" i="96"/>
  <c r="X32" i="96"/>
  <c r="Z32" i="96" s="1"/>
  <c r="L32" i="96"/>
  <c r="N32" i="96" s="1"/>
  <c r="J32" i="96"/>
  <c r="B32" i="96"/>
  <c r="Z31" i="96"/>
  <c r="X31" i="96"/>
  <c r="N31" i="96"/>
  <c r="L31" i="96"/>
  <c r="F31" i="96"/>
  <c r="B31" i="96"/>
  <c r="Z30" i="96"/>
  <c r="X30" i="96"/>
  <c r="N30" i="96"/>
  <c r="L30" i="96"/>
  <c r="B30" i="96"/>
  <c r="X29" i="96"/>
  <c r="Z29" i="96" s="1"/>
  <c r="L29" i="96"/>
  <c r="N29" i="96" s="1"/>
  <c r="B29" i="96"/>
  <c r="X28" i="96"/>
  <c r="Z28" i="96" s="1"/>
  <c r="N28" i="96"/>
  <c r="L28" i="96"/>
  <c r="J28" i="96"/>
  <c r="B28" i="96"/>
  <c r="X27" i="96"/>
  <c r="Z27" i="96" s="1"/>
  <c r="N27" i="96"/>
  <c r="L27" i="96"/>
  <c r="F27" i="96"/>
  <c r="B27" i="96"/>
  <c r="Z26" i="96"/>
  <c r="X26" i="96"/>
  <c r="N26" i="96"/>
  <c r="L26" i="96"/>
  <c r="B26" i="96"/>
  <c r="T25" i="96"/>
  <c r="P25" i="96"/>
  <c r="L25" i="96"/>
  <c r="N25" i="96" s="1"/>
  <c r="H25" i="96"/>
  <c r="D25" i="96"/>
  <c r="B25" i="96"/>
  <c r="T24" i="96"/>
  <c r="V24" i="96" s="1"/>
  <c r="P24" i="96"/>
  <c r="H24" i="96"/>
  <c r="D24" i="96"/>
  <c r="L24" i="96" s="1"/>
  <c r="N24" i="96" s="1"/>
  <c r="Z20" i="96"/>
  <c r="X20" i="96"/>
  <c r="N20" i="96"/>
  <c r="L20" i="96"/>
  <c r="B20" i="96"/>
  <c r="Z19" i="96"/>
  <c r="X19" i="96"/>
  <c r="N19" i="96"/>
  <c r="L19" i="96"/>
  <c r="B19" i="96"/>
  <c r="Z18" i="96"/>
  <c r="X18" i="96"/>
  <c r="L18" i="96"/>
  <c r="N18" i="96" s="1"/>
  <c r="J18" i="96"/>
  <c r="F18" i="96"/>
  <c r="B18" i="96"/>
  <c r="T17" i="96"/>
  <c r="X17" i="96" s="1"/>
  <c r="P17" i="96"/>
  <c r="H17" i="96"/>
  <c r="F17" i="96"/>
  <c r="D17" i="96"/>
  <c r="Z15" i="96"/>
  <c r="P15" i="96"/>
  <c r="X15" i="96" s="1"/>
  <c r="N15" i="96"/>
  <c r="D15" i="96"/>
  <c r="L15" i="96" s="1"/>
  <c r="B15" i="96"/>
  <c r="P14" i="96"/>
  <c r="L14" i="96"/>
  <c r="N14" i="96" s="1"/>
  <c r="D14" i="96"/>
  <c r="B14" i="96"/>
  <c r="Z13" i="96"/>
  <c r="X13" i="96"/>
  <c r="P13" i="96"/>
  <c r="N13" i="96"/>
  <c r="L13" i="96"/>
  <c r="D13" i="96"/>
  <c r="D12" i="96" s="1"/>
  <c r="B13" i="96"/>
  <c r="T12" i="96"/>
  <c r="H12" i="96"/>
  <c r="J61" i="96" s="1"/>
  <c r="D6" i="96"/>
  <c r="D4" i="96"/>
  <c r="X87" i="95"/>
  <c r="Z87" i="95" s="1"/>
  <c r="N87" i="95"/>
  <c r="L87" i="95"/>
  <c r="Z83" i="95"/>
  <c r="T83" i="95"/>
  <c r="P83" i="95"/>
  <c r="X83" i="95" s="1"/>
  <c r="N83" i="95"/>
  <c r="L83" i="95"/>
  <c r="H83" i="95"/>
  <c r="D83" i="95"/>
  <c r="Z81" i="95"/>
  <c r="X81" i="95"/>
  <c r="L81" i="95"/>
  <c r="N81" i="95" s="1"/>
  <c r="B81" i="95"/>
  <c r="T80" i="95"/>
  <c r="P80" i="95"/>
  <c r="H80" i="95"/>
  <c r="D80" i="95"/>
  <c r="B80" i="95"/>
  <c r="X79" i="95"/>
  <c r="Z79" i="95" s="1"/>
  <c r="V79" i="95"/>
  <c r="L79" i="95"/>
  <c r="N79" i="95" s="1"/>
  <c r="B79" i="95"/>
  <c r="Z78" i="95"/>
  <c r="X78" i="95"/>
  <c r="T78" i="95"/>
  <c r="P78" i="95"/>
  <c r="H78" i="95"/>
  <c r="N78" i="95" s="1"/>
  <c r="D78" i="95"/>
  <c r="L78" i="95" s="1"/>
  <c r="B78" i="95"/>
  <c r="Z77" i="95"/>
  <c r="X77" i="95"/>
  <c r="N77" i="95"/>
  <c r="L77" i="95"/>
  <c r="B77" i="95"/>
  <c r="Z76" i="95"/>
  <c r="X76" i="95"/>
  <c r="N76" i="95"/>
  <c r="L76" i="95"/>
  <c r="B76" i="95"/>
  <c r="Z75" i="95"/>
  <c r="X75" i="95"/>
  <c r="N75" i="95"/>
  <c r="L75" i="95"/>
  <c r="B75" i="95"/>
  <c r="X74" i="95"/>
  <c r="Z74" i="95" s="1"/>
  <c r="N74" i="95"/>
  <c r="L74" i="95"/>
  <c r="B74" i="95"/>
  <c r="Z73" i="95"/>
  <c r="X73" i="95"/>
  <c r="N73" i="95"/>
  <c r="L73" i="95"/>
  <c r="B73" i="95"/>
  <c r="X72" i="95"/>
  <c r="Z72" i="95" s="1"/>
  <c r="N72" i="95"/>
  <c r="L72" i="95"/>
  <c r="B72" i="95"/>
  <c r="Z71" i="95"/>
  <c r="X71" i="95"/>
  <c r="N71" i="95"/>
  <c r="L71" i="95"/>
  <c r="B71" i="95"/>
  <c r="X70" i="95"/>
  <c r="Z70" i="95" s="1"/>
  <c r="T70" i="95"/>
  <c r="P70" i="95"/>
  <c r="H70" i="95"/>
  <c r="D70" i="95"/>
  <c r="B70" i="95"/>
  <c r="Z69" i="95"/>
  <c r="X69" i="95"/>
  <c r="N69" i="95"/>
  <c r="L69" i="95"/>
  <c r="B69" i="95"/>
  <c r="T68" i="95"/>
  <c r="P68" i="95"/>
  <c r="N68" i="95"/>
  <c r="H68" i="95"/>
  <c r="D68" i="95"/>
  <c r="L68" i="95" s="1"/>
  <c r="B68" i="95"/>
  <c r="X67" i="95"/>
  <c r="Z67" i="95" s="1"/>
  <c r="L67" i="95"/>
  <c r="N67" i="95" s="1"/>
  <c r="B67" i="95"/>
  <c r="T66" i="95"/>
  <c r="P66" i="95"/>
  <c r="X66" i="95" s="1"/>
  <c r="Z66" i="95" s="1"/>
  <c r="H66" i="95"/>
  <c r="D66" i="95"/>
  <c r="L66" i="95" s="1"/>
  <c r="B66" i="95"/>
  <c r="Z65" i="95"/>
  <c r="X65" i="95"/>
  <c r="N65" i="95"/>
  <c r="L65" i="95"/>
  <c r="B65" i="95"/>
  <c r="X64" i="95"/>
  <c r="V64" i="95"/>
  <c r="T64" i="95"/>
  <c r="P64" i="95"/>
  <c r="L64" i="95"/>
  <c r="N64" i="95" s="1"/>
  <c r="H64" i="95"/>
  <c r="D64" i="95"/>
  <c r="B64" i="95"/>
  <c r="X63" i="95"/>
  <c r="Z63" i="95" s="1"/>
  <c r="V63" i="95"/>
  <c r="L63" i="95"/>
  <c r="N63" i="95" s="1"/>
  <c r="B63" i="95"/>
  <c r="T62" i="95"/>
  <c r="P62" i="95"/>
  <c r="H62" i="95"/>
  <c r="D62" i="95"/>
  <c r="B62" i="95"/>
  <c r="X61" i="95"/>
  <c r="Z61" i="95" s="1"/>
  <c r="V61" i="95"/>
  <c r="R61" i="95"/>
  <c r="N61" i="95"/>
  <c r="L61" i="95"/>
  <c r="B61" i="95"/>
  <c r="T60" i="95"/>
  <c r="Z60" i="95" s="1"/>
  <c r="P60" i="95"/>
  <c r="X60" i="95" s="1"/>
  <c r="L60" i="95"/>
  <c r="N60" i="95" s="1"/>
  <c r="H60" i="95"/>
  <c r="D60" i="95"/>
  <c r="B60" i="95"/>
  <c r="Z59" i="95"/>
  <c r="X59" i="95"/>
  <c r="N59" i="95"/>
  <c r="L59" i="95"/>
  <c r="B59" i="95"/>
  <c r="Z58" i="95"/>
  <c r="X58" i="95"/>
  <c r="T58" i="95"/>
  <c r="P58" i="95"/>
  <c r="H58" i="95"/>
  <c r="N58" i="95" s="1"/>
  <c r="D58" i="95"/>
  <c r="B58" i="95"/>
  <c r="Z57" i="95"/>
  <c r="X57" i="95"/>
  <c r="N57" i="95"/>
  <c r="L57" i="95"/>
  <c r="B57" i="95"/>
  <c r="T56" i="95"/>
  <c r="P56" i="95"/>
  <c r="H56" i="95"/>
  <c r="N56" i="95" s="1"/>
  <c r="D56" i="95"/>
  <c r="B56" i="95"/>
  <c r="X55" i="95"/>
  <c r="Z55" i="95" s="1"/>
  <c r="L55" i="95"/>
  <c r="N55" i="95" s="1"/>
  <c r="B55" i="95"/>
  <c r="X54" i="95"/>
  <c r="Z54" i="95" s="1"/>
  <c r="L54" i="95"/>
  <c r="N54" i="95" s="1"/>
  <c r="B54" i="95"/>
  <c r="T53" i="95"/>
  <c r="P53" i="95"/>
  <c r="H53" i="95"/>
  <c r="D53" i="95"/>
  <c r="L53" i="95" s="1"/>
  <c r="N53" i="95" s="1"/>
  <c r="B53" i="95"/>
  <c r="X52" i="95"/>
  <c r="Z52" i="95" s="1"/>
  <c r="V52" i="95"/>
  <c r="R52" i="95"/>
  <c r="L52" i="95"/>
  <c r="N52" i="95" s="1"/>
  <c r="B52" i="95"/>
  <c r="T51" i="95"/>
  <c r="P51" i="95"/>
  <c r="X51" i="95" s="1"/>
  <c r="H51" i="95"/>
  <c r="D51" i="95"/>
  <c r="B51" i="95"/>
  <c r="Z50" i="95"/>
  <c r="X50" i="95"/>
  <c r="N50" i="95"/>
  <c r="L50" i="95"/>
  <c r="B50" i="95"/>
  <c r="T49" i="95"/>
  <c r="Z49" i="95" s="1"/>
  <c r="P49" i="95"/>
  <c r="N49" i="95"/>
  <c r="H49" i="95"/>
  <c r="D49" i="95"/>
  <c r="L49" i="95" s="1"/>
  <c r="B49" i="95"/>
  <c r="X48" i="95"/>
  <c r="Z48" i="95" s="1"/>
  <c r="N48" i="95"/>
  <c r="L48" i="95"/>
  <c r="B48" i="95"/>
  <c r="T47" i="95"/>
  <c r="P47" i="95"/>
  <c r="X47" i="95" s="1"/>
  <c r="Z47" i="95" s="1"/>
  <c r="H47" i="95"/>
  <c r="N47" i="95" s="1"/>
  <c r="D47" i="95"/>
  <c r="B47" i="95"/>
  <c r="Z46" i="95"/>
  <c r="X46" i="95"/>
  <c r="N46" i="95"/>
  <c r="L46" i="95"/>
  <c r="B46" i="95"/>
  <c r="Z45" i="95"/>
  <c r="X45" i="95"/>
  <c r="N45" i="95"/>
  <c r="L45" i="95"/>
  <c r="B45" i="95"/>
  <c r="X44" i="95"/>
  <c r="Z44" i="95" s="1"/>
  <c r="N44" i="95"/>
  <c r="L44" i="95"/>
  <c r="B44" i="95"/>
  <c r="X43" i="95"/>
  <c r="Z43" i="95" s="1"/>
  <c r="R43" i="95"/>
  <c r="N43" i="95"/>
  <c r="L43" i="95"/>
  <c r="B43" i="95"/>
  <c r="Z42" i="95"/>
  <c r="X42" i="95"/>
  <c r="N42" i="95"/>
  <c r="L42" i="95"/>
  <c r="B42" i="95"/>
  <c r="Z41" i="95"/>
  <c r="X41" i="95"/>
  <c r="N41" i="95"/>
  <c r="L41" i="95"/>
  <c r="B41" i="95"/>
  <c r="X40" i="95"/>
  <c r="Z40" i="95" s="1"/>
  <c r="N40" i="95"/>
  <c r="L40" i="95"/>
  <c r="J40" i="95"/>
  <c r="B40" i="95"/>
  <c r="Z39" i="95"/>
  <c r="X39" i="95"/>
  <c r="N39" i="95"/>
  <c r="L39" i="95"/>
  <c r="B39" i="95"/>
  <c r="X38" i="95"/>
  <c r="Z38" i="95" s="1"/>
  <c r="N38" i="95"/>
  <c r="L38" i="95"/>
  <c r="B38" i="95"/>
  <c r="Z37" i="95"/>
  <c r="X37" i="95"/>
  <c r="N37" i="95"/>
  <c r="L37" i="95"/>
  <c r="B37" i="95"/>
  <c r="Z36" i="95"/>
  <c r="T36" i="95"/>
  <c r="X36" i="95" s="1"/>
  <c r="P36" i="95"/>
  <c r="L36" i="95"/>
  <c r="N36" i="95" s="1"/>
  <c r="H36" i="95"/>
  <c r="D36" i="95"/>
  <c r="B36" i="95"/>
  <c r="Z35" i="95"/>
  <c r="X35" i="95"/>
  <c r="N35" i="95"/>
  <c r="L35" i="95"/>
  <c r="B35" i="95"/>
  <c r="Z34" i="95"/>
  <c r="X34" i="95"/>
  <c r="L34" i="95"/>
  <c r="N34" i="95" s="1"/>
  <c r="B34" i="95"/>
  <c r="Z33" i="95"/>
  <c r="X33" i="95"/>
  <c r="L33" i="95"/>
  <c r="N33" i="95" s="1"/>
  <c r="B33" i="95"/>
  <c r="Z32" i="95"/>
  <c r="X32" i="95"/>
  <c r="V32" i="95"/>
  <c r="R32" i="95"/>
  <c r="N32" i="95"/>
  <c r="L32" i="95"/>
  <c r="B32" i="95"/>
  <c r="X31" i="95"/>
  <c r="Z31" i="95" s="1"/>
  <c r="L31" i="95"/>
  <c r="N31" i="95" s="1"/>
  <c r="B31" i="95"/>
  <c r="X30" i="95"/>
  <c r="Z30" i="95" s="1"/>
  <c r="N30" i="95"/>
  <c r="L30" i="95"/>
  <c r="B30" i="95"/>
  <c r="Z29" i="95"/>
  <c r="X29" i="95"/>
  <c r="L29" i="95"/>
  <c r="N29" i="95" s="1"/>
  <c r="J29" i="95"/>
  <c r="B29" i="95"/>
  <c r="X28" i="95"/>
  <c r="Z28" i="95" s="1"/>
  <c r="L28" i="95"/>
  <c r="N28" i="95" s="1"/>
  <c r="B28" i="95"/>
  <c r="X27" i="95"/>
  <c r="Z27" i="95" s="1"/>
  <c r="V27" i="95"/>
  <c r="L27" i="95"/>
  <c r="N27" i="95" s="1"/>
  <c r="B27" i="95"/>
  <c r="T26" i="95"/>
  <c r="P26" i="95"/>
  <c r="X26" i="95" s="1"/>
  <c r="Z26" i="95" s="1"/>
  <c r="H26" i="95"/>
  <c r="D26" i="95"/>
  <c r="B26" i="95"/>
  <c r="T25" i="95"/>
  <c r="X25" i="95" s="1"/>
  <c r="P25" i="95"/>
  <c r="H25" i="95"/>
  <c r="D25" i="95"/>
  <c r="L25" i="95" s="1"/>
  <c r="N25" i="95" s="1"/>
  <c r="Z21" i="95"/>
  <c r="X21" i="95"/>
  <c r="N21" i="95"/>
  <c r="L21" i="95"/>
  <c r="B21" i="95"/>
  <c r="Z20" i="95"/>
  <c r="X20" i="95"/>
  <c r="V20" i="95"/>
  <c r="R20" i="95"/>
  <c r="N20" i="95"/>
  <c r="L20" i="95"/>
  <c r="B20" i="95"/>
  <c r="X19" i="95"/>
  <c r="Z19" i="95" s="1"/>
  <c r="L19" i="95"/>
  <c r="N19" i="95" s="1"/>
  <c r="J19" i="95"/>
  <c r="B19" i="95"/>
  <c r="T18" i="95"/>
  <c r="P18" i="95"/>
  <c r="X18" i="95" s="1"/>
  <c r="Z18" i="95" s="1"/>
  <c r="H18" i="95"/>
  <c r="D18" i="95"/>
  <c r="Z16" i="95"/>
  <c r="P16" i="95"/>
  <c r="X16" i="95" s="1"/>
  <c r="N16" i="95"/>
  <c r="D16" i="95"/>
  <c r="L16" i="95" s="1"/>
  <c r="B16" i="95"/>
  <c r="X15" i="95"/>
  <c r="Z15" i="95" s="1"/>
  <c r="P15" i="95"/>
  <c r="P12" i="95" s="1"/>
  <c r="N15" i="95"/>
  <c r="D15" i="95"/>
  <c r="L15" i="95" s="1"/>
  <c r="B15" i="95"/>
  <c r="Z14" i="95"/>
  <c r="X14" i="95"/>
  <c r="P14" i="95"/>
  <c r="N14" i="95"/>
  <c r="L14" i="95"/>
  <c r="D14" i="95"/>
  <c r="B14" i="95"/>
  <c r="Z13" i="95"/>
  <c r="X13" i="95"/>
  <c r="P13" i="95"/>
  <c r="D13" i="95"/>
  <c r="L13" i="95" s="1"/>
  <c r="N13" i="95" s="1"/>
  <c r="B13" i="95"/>
  <c r="T12" i="95"/>
  <c r="H12" i="95"/>
  <c r="J70" i="95" s="1"/>
  <c r="D6" i="95"/>
  <c r="D4" i="95"/>
  <c r="Z78" i="94"/>
  <c r="X78" i="94"/>
  <c r="N78" i="94"/>
  <c r="L78" i="94"/>
  <c r="J78" i="94"/>
  <c r="Z74" i="94"/>
  <c r="P74" i="94"/>
  <c r="X74" i="94" s="1"/>
  <c r="N74" i="94"/>
  <c r="D74" i="94"/>
  <c r="L74" i="94" s="1"/>
  <c r="B74" i="94"/>
  <c r="Z73" i="94"/>
  <c r="X73" i="94"/>
  <c r="T73" i="94"/>
  <c r="P73" i="94"/>
  <c r="H73" i="94"/>
  <c r="N73" i="94" s="1"/>
  <c r="D73" i="94"/>
  <c r="L73" i="94" s="1"/>
  <c r="X71" i="94"/>
  <c r="Z71" i="94" s="1"/>
  <c r="L71" i="94"/>
  <c r="N71" i="94" s="1"/>
  <c r="B71" i="94"/>
  <c r="V70" i="94"/>
  <c r="T70" i="94"/>
  <c r="P70" i="94"/>
  <c r="H70" i="94"/>
  <c r="D70" i="94"/>
  <c r="L70" i="94" s="1"/>
  <c r="N70" i="94" s="1"/>
  <c r="B70" i="94"/>
  <c r="X69" i="94"/>
  <c r="Z69" i="94" s="1"/>
  <c r="V69" i="94"/>
  <c r="L69" i="94"/>
  <c r="N69" i="94" s="1"/>
  <c r="B69" i="94"/>
  <c r="X68" i="94"/>
  <c r="Z68" i="94" s="1"/>
  <c r="L68" i="94"/>
  <c r="N68" i="94" s="1"/>
  <c r="J68" i="94"/>
  <c r="B68" i="94"/>
  <c r="T67" i="94"/>
  <c r="P67" i="94"/>
  <c r="X67" i="94" s="1"/>
  <c r="Z67" i="94" s="1"/>
  <c r="L67" i="94"/>
  <c r="H67" i="94"/>
  <c r="J67" i="94" s="1"/>
  <c r="D67" i="94"/>
  <c r="B67" i="94"/>
  <c r="Z66" i="94"/>
  <c r="X66" i="94"/>
  <c r="N66" i="94"/>
  <c r="L66" i="94"/>
  <c r="J66" i="94"/>
  <c r="B66" i="94"/>
  <c r="X65" i="94"/>
  <c r="Z65" i="94" s="1"/>
  <c r="N65" i="94"/>
  <c r="L65" i="94"/>
  <c r="J65" i="94"/>
  <c r="B65" i="94"/>
  <c r="Z64" i="94"/>
  <c r="X64" i="94"/>
  <c r="V64" i="94"/>
  <c r="L64" i="94"/>
  <c r="N64" i="94" s="1"/>
  <c r="J64" i="94"/>
  <c r="B64" i="94"/>
  <c r="Z63" i="94"/>
  <c r="X63" i="94"/>
  <c r="N63" i="94"/>
  <c r="L63" i="94"/>
  <c r="B63" i="94"/>
  <c r="Z62" i="94"/>
  <c r="X62" i="94"/>
  <c r="N62" i="94"/>
  <c r="L62" i="94"/>
  <c r="J62" i="94"/>
  <c r="B62" i="94"/>
  <c r="T61" i="94"/>
  <c r="X61" i="94" s="1"/>
  <c r="P61" i="94"/>
  <c r="H61" i="94"/>
  <c r="D61" i="94"/>
  <c r="B61" i="94"/>
  <c r="X60" i="94"/>
  <c r="Z60" i="94" s="1"/>
  <c r="N60" i="94"/>
  <c r="L60" i="94"/>
  <c r="J60" i="94"/>
  <c r="B60" i="94"/>
  <c r="Z59" i="94"/>
  <c r="X59" i="94"/>
  <c r="T59" i="94"/>
  <c r="P59" i="94"/>
  <c r="J59" i="94"/>
  <c r="H59" i="94"/>
  <c r="N59" i="94" s="1"/>
  <c r="D59" i="94"/>
  <c r="L59" i="94" s="1"/>
  <c r="B59" i="94"/>
  <c r="Z58" i="94"/>
  <c r="X58" i="94"/>
  <c r="N58" i="94"/>
  <c r="L58" i="94"/>
  <c r="B58" i="94"/>
  <c r="X57" i="94"/>
  <c r="T57" i="94"/>
  <c r="Z57" i="94" s="1"/>
  <c r="P57" i="94"/>
  <c r="N57" i="94"/>
  <c r="H57" i="94"/>
  <c r="D57" i="94"/>
  <c r="L57" i="94" s="1"/>
  <c r="B57" i="94"/>
  <c r="Z56" i="94"/>
  <c r="X56" i="94"/>
  <c r="V56" i="94"/>
  <c r="N56" i="94"/>
  <c r="L56" i="94"/>
  <c r="J56" i="94"/>
  <c r="B56" i="94"/>
  <c r="T55" i="94"/>
  <c r="Z55" i="94" s="1"/>
  <c r="P55" i="94"/>
  <c r="X55" i="94" s="1"/>
  <c r="H55" i="94"/>
  <c r="L55" i="94" s="1"/>
  <c r="D55" i="94"/>
  <c r="B55" i="94"/>
  <c r="Z54" i="94"/>
  <c r="X54" i="94"/>
  <c r="V54" i="94"/>
  <c r="R54" i="94"/>
  <c r="N54" i="94"/>
  <c r="L54" i="94"/>
  <c r="B54" i="94"/>
  <c r="T53" i="94"/>
  <c r="P53" i="94"/>
  <c r="X53" i="94" s="1"/>
  <c r="L53" i="94"/>
  <c r="N53" i="94" s="1"/>
  <c r="H53" i="94"/>
  <c r="D53" i="94"/>
  <c r="B53" i="94"/>
  <c r="X52" i="94"/>
  <c r="Z52" i="94" s="1"/>
  <c r="N52" i="94"/>
  <c r="L52" i="94"/>
  <c r="J52" i="94"/>
  <c r="B52" i="94"/>
  <c r="T51" i="94"/>
  <c r="P51" i="94"/>
  <c r="X51" i="94" s="1"/>
  <c r="Z51" i="94" s="1"/>
  <c r="J51" i="94"/>
  <c r="H51" i="94"/>
  <c r="D51" i="94"/>
  <c r="B51" i="94"/>
  <c r="Z50" i="94"/>
  <c r="X50" i="94"/>
  <c r="N50" i="94"/>
  <c r="L50" i="94"/>
  <c r="J50" i="94"/>
  <c r="B50" i="94"/>
  <c r="T49" i="94"/>
  <c r="X49" i="94" s="1"/>
  <c r="P49" i="94"/>
  <c r="H49" i="94"/>
  <c r="D49" i="94"/>
  <c r="L49" i="94" s="1"/>
  <c r="B49" i="94"/>
  <c r="X48" i="94"/>
  <c r="Z48" i="94" s="1"/>
  <c r="L48" i="94"/>
  <c r="N48" i="94" s="1"/>
  <c r="J48" i="94"/>
  <c r="B48" i="94"/>
  <c r="X47" i="94"/>
  <c r="Z47" i="94" s="1"/>
  <c r="T47" i="94"/>
  <c r="P47" i="94"/>
  <c r="J47" i="94"/>
  <c r="H47" i="94"/>
  <c r="D47" i="94"/>
  <c r="L47" i="94" s="1"/>
  <c r="B47" i="94"/>
  <c r="Z46" i="94"/>
  <c r="X46" i="94"/>
  <c r="N46" i="94"/>
  <c r="L46" i="94"/>
  <c r="B46" i="94"/>
  <c r="Z45" i="94"/>
  <c r="X45" i="94"/>
  <c r="V45" i="94"/>
  <c r="N45" i="94"/>
  <c r="L45" i="94"/>
  <c r="J45" i="94"/>
  <c r="B45" i="94"/>
  <c r="X44" i="94"/>
  <c r="Z44" i="94" s="1"/>
  <c r="N44" i="94"/>
  <c r="L44" i="94"/>
  <c r="J44" i="94"/>
  <c r="B44" i="94"/>
  <c r="X43" i="94"/>
  <c r="Z43" i="94" s="1"/>
  <c r="N43" i="94"/>
  <c r="L43" i="94"/>
  <c r="J43" i="94"/>
  <c r="B43" i="94"/>
  <c r="Z42" i="94"/>
  <c r="X42" i="94"/>
  <c r="N42" i="94"/>
  <c r="L42" i="94"/>
  <c r="B42" i="94"/>
  <c r="X41" i="94"/>
  <c r="Z41" i="94" s="1"/>
  <c r="V41" i="94"/>
  <c r="L41" i="94"/>
  <c r="N41" i="94" s="1"/>
  <c r="J41" i="94"/>
  <c r="B41" i="94"/>
  <c r="X40" i="94"/>
  <c r="Z40" i="94" s="1"/>
  <c r="N40" i="94"/>
  <c r="L40" i="94"/>
  <c r="J40" i="94"/>
  <c r="B40" i="94"/>
  <c r="Z39" i="94"/>
  <c r="X39" i="94"/>
  <c r="N39" i="94"/>
  <c r="L39" i="94"/>
  <c r="J39" i="94"/>
  <c r="B39" i="94"/>
  <c r="Z38" i="94"/>
  <c r="X38" i="94"/>
  <c r="N38" i="94"/>
  <c r="L38" i="94"/>
  <c r="B38" i="94"/>
  <c r="Z37" i="94"/>
  <c r="X37" i="94"/>
  <c r="V37" i="94"/>
  <c r="N37" i="94"/>
  <c r="L37" i="94"/>
  <c r="J37" i="94"/>
  <c r="B37" i="94"/>
  <c r="T36" i="94"/>
  <c r="Z36" i="94" s="1"/>
  <c r="P36" i="94"/>
  <c r="X36" i="94" s="1"/>
  <c r="H36" i="94"/>
  <c r="J36" i="94" s="1"/>
  <c r="D36" i="94"/>
  <c r="L36" i="94" s="1"/>
  <c r="N36" i="94" s="1"/>
  <c r="B36" i="94"/>
  <c r="Z35" i="94"/>
  <c r="X35" i="94"/>
  <c r="N35" i="94"/>
  <c r="L35" i="94"/>
  <c r="B35" i="94"/>
  <c r="Z34" i="94"/>
  <c r="X34" i="94"/>
  <c r="N34" i="94"/>
  <c r="L34" i="94"/>
  <c r="J34" i="94"/>
  <c r="B34" i="94"/>
  <c r="X33" i="94"/>
  <c r="Z33" i="94" s="1"/>
  <c r="N33" i="94"/>
  <c r="L33" i="94"/>
  <c r="J33" i="94"/>
  <c r="B33" i="94"/>
  <c r="Z32" i="94"/>
  <c r="X32" i="94"/>
  <c r="V32" i="94"/>
  <c r="N32" i="94"/>
  <c r="L32" i="94"/>
  <c r="J32" i="94"/>
  <c r="B32" i="94"/>
  <c r="X31" i="94"/>
  <c r="Z31" i="94" s="1"/>
  <c r="L31" i="94"/>
  <c r="N31" i="94" s="1"/>
  <c r="B31" i="94"/>
  <c r="Z30" i="94"/>
  <c r="X30" i="94"/>
  <c r="N30" i="94"/>
  <c r="L30" i="94"/>
  <c r="J30" i="94"/>
  <c r="B30" i="94"/>
  <c r="X29" i="94"/>
  <c r="Z29" i="94" s="1"/>
  <c r="N29" i="94"/>
  <c r="L29" i="94"/>
  <c r="J29" i="94"/>
  <c r="B29" i="94"/>
  <c r="X28" i="94"/>
  <c r="Z28" i="94" s="1"/>
  <c r="V28" i="94"/>
  <c r="L28" i="94"/>
  <c r="N28" i="94" s="1"/>
  <c r="J28" i="94"/>
  <c r="B28" i="94"/>
  <c r="X27" i="94"/>
  <c r="Z27" i="94" s="1"/>
  <c r="L27" i="94"/>
  <c r="N27" i="94" s="1"/>
  <c r="B27" i="94"/>
  <c r="T26" i="94"/>
  <c r="Z26" i="94" s="1"/>
  <c r="P26" i="94"/>
  <c r="X26" i="94" s="1"/>
  <c r="N26" i="94"/>
  <c r="L26" i="94"/>
  <c r="J26" i="94"/>
  <c r="H26" i="94"/>
  <c r="D26" i="94"/>
  <c r="B26" i="94"/>
  <c r="T25" i="94"/>
  <c r="P25" i="94"/>
  <c r="X25" i="94" s="1"/>
  <c r="H25" i="94"/>
  <c r="D25" i="94"/>
  <c r="L25" i="94" s="1"/>
  <c r="N25" i="94" s="1"/>
  <c r="H23" i="94"/>
  <c r="Z21" i="94"/>
  <c r="X21" i="94"/>
  <c r="N21" i="94"/>
  <c r="L21" i="94"/>
  <c r="J21" i="94"/>
  <c r="B21" i="94"/>
  <c r="Z20" i="94"/>
  <c r="X20" i="94"/>
  <c r="V20" i="94"/>
  <c r="N20" i="94"/>
  <c r="L20" i="94"/>
  <c r="J20" i="94"/>
  <c r="B20" i="94"/>
  <c r="Z19" i="94"/>
  <c r="X19" i="94"/>
  <c r="L19" i="94"/>
  <c r="N19" i="94" s="1"/>
  <c r="B19" i="94"/>
  <c r="V18" i="94"/>
  <c r="T18" i="94"/>
  <c r="P18" i="94"/>
  <c r="J18" i="94"/>
  <c r="H18" i="94"/>
  <c r="D18" i="94"/>
  <c r="L18" i="94" s="1"/>
  <c r="N18" i="94" s="1"/>
  <c r="Z16" i="94"/>
  <c r="P16" i="94"/>
  <c r="X16" i="94" s="1"/>
  <c r="N16" i="94"/>
  <c r="L16" i="94"/>
  <c r="D16" i="94"/>
  <c r="B16" i="94"/>
  <c r="X15" i="94"/>
  <c r="Z15" i="94" s="1"/>
  <c r="P15" i="94"/>
  <c r="D15" i="94"/>
  <c r="L15" i="94" s="1"/>
  <c r="N15" i="94" s="1"/>
  <c r="B15" i="94"/>
  <c r="Z14" i="94"/>
  <c r="P14" i="94"/>
  <c r="X14" i="94" s="1"/>
  <c r="N14" i="94"/>
  <c r="L14" i="94"/>
  <c r="D14" i="94"/>
  <c r="B14" i="94"/>
  <c r="P13" i="94"/>
  <c r="P12" i="94" s="1"/>
  <c r="D13" i="94"/>
  <c r="B13" i="94"/>
  <c r="T12" i="94"/>
  <c r="H12" i="94"/>
  <c r="J54" i="94" s="1"/>
  <c r="D6" i="94"/>
  <c r="D4" i="94"/>
  <c r="Z82" i="93"/>
  <c r="X82" i="93"/>
  <c r="N82" i="93"/>
  <c r="L82" i="93"/>
  <c r="T78" i="93"/>
  <c r="Z78" i="93" s="1"/>
  <c r="P78" i="93"/>
  <c r="X78" i="93" s="1"/>
  <c r="N78" i="93"/>
  <c r="H78" i="93"/>
  <c r="D78" i="93"/>
  <c r="L78" i="93" s="1"/>
  <c r="X76" i="93"/>
  <c r="Z76" i="93" s="1"/>
  <c r="N76" i="93"/>
  <c r="L76" i="93"/>
  <c r="J76" i="93"/>
  <c r="B76" i="93"/>
  <c r="T75" i="93"/>
  <c r="P75" i="93"/>
  <c r="X75" i="93" s="1"/>
  <c r="Z75" i="93" s="1"/>
  <c r="L75" i="93"/>
  <c r="J75" i="93"/>
  <c r="H75" i="93"/>
  <c r="D75" i="93"/>
  <c r="B75" i="93"/>
  <c r="Z74" i="93"/>
  <c r="X74" i="93"/>
  <c r="N74" i="93"/>
  <c r="L74" i="93"/>
  <c r="J74" i="93"/>
  <c r="B74" i="93"/>
  <c r="T73" i="93"/>
  <c r="X73" i="93" s="1"/>
  <c r="P73" i="93"/>
  <c r="H73" i="93"/>
  <c r="N73" i="93" s="1"/>
  <c r="D73" i="93"/>
  <c r="L73" i="93" s="1"/>
  <c r="B73" i="93"/>
  <c r="Z72" i="93"/>
  <c r="X72" i="93"/>
  <c r="L72" i="93"/>
  <c r="N72" i="93" s="1"/>
  <c r="B72" i="93"/>
  <c r="X71" i="93"/>
  <c r="Z71" i="93" s="1"/>
  <c r="L71" i="93"/>
  <c r="N71" i="93" s="1"/>
  <c r="B71" i="93"/>
  <c r="Z70" i="93"/>
  <c r="X70" i="93"/>
  <c r="N70" i="93"/>
  <c r="L70" i="93"/>
  <c r="B70" i="93"/>
  <c r="X69" i="93"/>
  <c r="Z69" i="93" s="1"/>
  <c r="L69" i="93"/>
  <c r="N69" i="93" s="1"/>
  <c r="J69" i="93"/>
  <c r="B69" i="93"/>
  <c r="Z68" i="93"/>
  <c r="X68" i="93"/>
  <c r="L68" i="93"/>
  <c r="N68" i="93" s="1"/>
  <c r="B68" i="93"/>
  <c r="Z67" i="93"/>
  <c r="X67" i="93"/>
  <c r="L67" i="93"/>
  <c r="N67" i="93" s="1"/>
  <c r="B67" i="93"/>
  <c r="T66" i="93"/>
  <c r="P66" i="93"/>
  <c r="H66" i="93"/>
  <c r="D66" i="93"/>
  <c r="L66" i="93" s="1"/>
  <c r="N66" i="93" s="1"/>
  <c r="B66" i="93"/>
  <c r="X65" i="93"/>
  <c r="Z65" i="93" s="1"/>
  <c r="L65" i="93"/>
  <c r="N65" i="93" s="1"/>
  <c r="B65" i="93"/>
  <c r="X64" i="93"/>
  <c r="Z64" i="93" s="1"/>
  <c r="L64" i="93"/>
  <c r="N64" i="93" s="1"/>
  <c r="J64" i="93"/>
  <c r="B64" i="93"/>
  <c r="T63" i="93"/>
  <c r="P63" i="93"/>
  <c r="X63" i="93" s="1"/>
  <c r="Z63" i="93" s="1"/>
  <c r="L63" i="93"/>
  <c r="J63" i="93"/>
  <c r="H63" i="93"/>
  <c r="D63" i="93"/>
  <c r="B63" i="93"/>
  <c r="Z62" i="93"/>
  <c r="X62" i="93"/>
  <c r="N62" i="93"/>
  <c r="L62" i="93"/>
  <c r="J62" i="93"/>
  <c r="B62" i="93"/>
  <c r="T61" i="93"/>
  <c r="X61" i="93" s="1"/>
  <c r="P61" i="93"/>
  <c r="H61" i="93"/>
  <c r="N61" i="93" s="1"/>
  <c r="D61" i="93"/>
  <c r="L61" i="93" s="1"/>
  <c r="B61" i="93"/>
  <c r="Z60" i="93"/>
  <c r="X60" i="93"/>
  <c r="L60" i="93"/>
  <c r="N60" i="93" s="1"/>
  <c r="J60" i="93"/>
  <c r="B60" i="93"/>
  <c r="Z59" i="93"/>
  <c r="X59" i="93"/>
  <c r="N59" i="93"/>
  <c r="L59" i="93"/>
  <c r="B59" i="93"/>
  <c r="T58" i="93"/>
  <c r="P58" i="93"/>
  <c r="J58" i="93"/>
  <c r="H58" i="93"/>
  <c r="D58" i="93"/>
  <c r="L58" i="93" s="1"/>
  <c r="N58" i="93" s="1"/>
  <c r="B58" i="93"/>
  <c r="X57" i="93"/>
  <c r="Z57" i="93" s="1"/>
  <c r="L57" i="93"/>
  <c r="N57" i="93" s="1"/>
  <c r="B57" i="93"/>
  <c r="T56" i="93"/>
  <c r="Z56" i="93" s="1"/>
  <c r="P56" i="93"/>
  <c r="X56" i="93" s="1"/>
  <c r="N56" i="93"/>
  <c r="H56" i="93"/>
  <c r="D56" i="93"/>
  <c r="L56" i="93" s="1"/>
  <c r="B56" i="93"/>
  <c r="X55" i="93"/>
  <c r="Z55" i="93" s="1"/>
  <c r="N55" i="93"/>
  <c r="L55" i="93"/>
  <c r="B55" i="93"/>
  <c r="T54" i="93"/>
  <c r="P54" i="93"/>
  <c r="N54" i="93"/>
  <c r="L54" i="93"/>
  <c r="J54" i="93"/>
  <c r="H54" i="93"/>
  <c r="D54" i="93"/>
  <c r="B54" i="93"/>
  <c r="Z53" i="93"/>
  <c r="X53" i="93"/>
  <c r="L53" i="93"/>
  <c r="N53" i="93" s="1"/>
  <c r="J53" i="93"/>
  <c r="B53" i="93"/>
  <c r="T52" i="93"/>
  <c r="P52" i="93"/>
  <c r="X52" i="93" s="1"/>
  <c r="Z52" i="93" s="1"/>
  <c r="N52" i="93"/>
  <c r="H52" i="93"/>
  <c r="L52" i="93" s="1"/>
  <c r="D52" i="93"/>
  <c r="B52" i="93"/>
  <c r="X51" i="93"/>
  <c r="Z51" i="93" s="1"/>
  <c r="N51" i="93"/>
  <c r="L51" i="93"/>
  <c r="B51" i="93"/>
  <c r="Z50" i="93"/>
  <c r="V50" i="93"/>
  <c r="T50" i="93"/>
  <c r="X50" i="93" s="1"/>
  <c r="P50" i="93"/>
  <c r="L50" i="93"/>
  <c r="J50" i="93"/>
  <c r="H50" i="93"/>
  <c r="D50" i="93"/>
  <c r="B50" i="93"/>
  <c r="X49" i="93"/>
  <c r="Z49" i="93" s="1"/>
  <c r="N49" i="93"/>
  <c r="L49" i="93"/>
  <c r="J49" i="93"/>
  <c r="B49" i="93"/>
  <c r="Z48" i="93"/>
  <c r="X48" i="93"/>
  <c r="T48" i="93"/>
  <c r="P48" i="93"/>
  <c r="H48" i="93"/>
  <c r="D48" i="93"/>
  <c r="B48" i="93"/>
  <c r="X47" i="93"/>
  <c r="Z47" i="93" s="1"/>
  <c r="L47" i="93"/>
  <c r="N47" i="93" s="1"/>
  <c r="B47" i="93"/>
  <c r="T46" i="93"/>
  <c r="P46" i="93"/>
  <c r="J46" i="93"/>
  <c r="H46" i="93"/>
  <c r="D46" i="93"/>
  <c r="L46" i="93" s="1"/>
  <c r="N46" i="93" s="1"/>
  <c r="B46" i="93"/>
  <c r="Z45" i="93"/>
  <c r="X45" i="93"/>
  <c r="N45" i="93"/>
  <c r="L45" i="93"/>
  <c r="B45" i="93"/>
  <c r="Z44" i="93"/>
  <c r="X44" i="93"/>
  <c r="V44" i="93"/>
  <c r="N44" i="93"/>
  <c r="L44" i="93"/>
  <c r="J44" i="93"/>
  <c r="B44" i="93"/>
  <c r="Z43" i="93"/>
  <c r="X43" i="93"/>
  <c r="N43" i="93"/>
  <c r="L43" i="93"/>
  <c r="B43" i="93"/>
  <c r="Z42" i="93"/>
  <c r="X42" i="93"/>
  <c r="N42" i="93"/>
  <c r="L42" i="93"/>
  <c r="B42" i="93"/>
  <c r="Z41" i="93"/>
  <c r="X41" i="93"/>
  <c r="N41" i="93"/>
  <c r="L41" i="93"/>
  <c r="B41" i="93"/>
  <c r="Z40" i="93"/>
  <c r="X40" i="93"/>
  <c r="N40" i="93"/>
  <c r="L40" i="93"/>
  <c r="J40" i="93"/>
  <c r="B40" i="93"/>
  <c r="X39" i="93"/>
  <c r="Z39" i="93" s="1"/>
  <c r="L39" i="93"/>
  <c r="N39" i="93" s="1"/>
  <c r="J39" i="93"/>
  <c r="B39" i="93"/>
  <c r="Z38" i="93"/>
  <c r="X38" i="93"/>
  <c r="V38" i="93"/>
  <c r="N38" i="93"/>
  <c r="L38" i="93"/>
  <c r="B38" i="93"/>
  <c r="X37" i="93"/>
  <c r="Z37" i="93" s="1"/>
  <c r="L37" i="93"/>
  <c r="N37" i="93" s="1"/>
  <c r="J37" i="93"/>
  <c r="B37" i="93"/>
  <c r="Z36" i="93"/>
  <c r="X36" i="93"/>
  <c r="V36" i="93"/>
  <c r="N36" i="93"/>
  <c r="L36" i="93"/>
  <c r="J36" i="93"/>
  <c r="B36" i="93"/>
  <c r="T35" i="93"/>
  <c r="P35" i="93"/>
  <c r="X35" i="93" s="1"/>
  <c r="Z35" i="93" s="1"/>
  <c r="L35" i="93"/>
  <c r="N35" i="93" s="1"/>
  <c r="H35" i="93"/>
  <c r="J35" i="93" s="1"/>
  <c r="D35" i="93"/>
  <c r="B35" i="93"/>
  <c r="Z34" i="93"/>
  <c r="X34" i="93"/>
  <c r="N34" i="93"/>
  <c r="L34" i="93"/>
  <c r="J34" i="93"/>
  <c r="B34" i="93"/>
  <c r="X33" i="93"/>
  <c r="Z33" i="93" s="1"/>
  <c r="N33" i="93"/>
  <c r="L33" i="93"/>
  <c r="J33" i="93"/>
  <c r="B33" i="93"/>
  <c r="X32" i="93"/>
  <c r="Z32" i="93" s="1"/>
  <c r="V32" i="93"/>
  <c r="N32" i="93"/>
  <c r="L32" i="93"/>
  <c r="J32" i="93"/>
  <c r="B32" i="93"/>
  <c r="Z31" i="93"/>
  <c r="X31" i="93"/>
  <c r="N31" i="93"/>
  <c r="L31" i="93"/>
  <c r="B31" i="93"/>
  <c r="Z30" i="93"/>
  <c r="X30" i="93"/>
  <c r="L30" i="93"/>
  <c r="N30" i="93" s="1"/>
  <c r="J30" i="93"/>
  <c r="B30" i="93"/>
  <c r="X29" i="93"/>
  <c r="Z29" i="93" s="1"/>
  <c r="N29" i="93"/>
  <c r="L29" i="93"/>
  <c r="J29" i="93"/>
  <c r="B29" i="93"/>
  <c r="X28" i="93"/>
  <c r="Z28" i="93" s="1"/>
  <c r="N28" i="93"/>
  <c r="L28" i="93"/>
  <c r="J28" i="93"/>
  <c r="B28" i="93"/>
  <c r="Z27" i="93"/>
  <c r="X27" i="93"/>
  <c r="L27" i="93"/>
  <c r="N27" i="93" s="1"/>
  <c r="B27" i="93"/>
  <c r="Z26" i="93"/>
  <c r="X26" i="93"/>
  <c r="L26" i="93"/>
  <c r="N26" i="93" s="1"/>
  <c r="J26" i="93"/>
  <c r="B26" i="93"/>
  <c r="T25" i="93"/>
  <c r="P25" i="93"/>
  <c r="H25" i="93"/>
  <c r="D25" i="93"/>
  <c r="L25" i="93" s="1"/>
  <c r="B25" i="93"/>
  <c r="T24" i="93"/>
  <c r="P24" i="93"/>
  <c r="X24" i="93" s="1"/>
  <c r="H24" i="93"/>
  <c r="D24" i="93"/>
  <c r="Z20" i="93"/>
  <c r="X20" i="93"/>
  <c r="V20" i="93"/>
  <c r="N20" i="93"/>
  <c r="L20" i="93"/>
  <c r="J20" i="93"/>
  <c r="B20" i="93"/>
  <c r="X19" i="93"/>
  <c r="Z19" i="93" s="1"/>
  <c r="V19" i="93"/>
  <c r="L19" i="93"/>
  <c r="N19" i="93" s="1"/>
  <c r="J19" i="93"/>
  <c r="B19" i="93"/>
  <c r="T18" i="93"/>
  <c r="P18" i="93"/>
  <c r="X18" i="93" s="1"/>
  <c r="Z18" i="93" s="1"/>
  <c r="N18" i="93"/>
  <c r="L18" i="93"/>
  <c r="H18" i="93"/>
  <c r="H22" i="93" s="1"/>
  <c r="D18" i="93"/>
  <c r="Z16" i="93"/>
  <c r="X16" i="93"/>
  <c r="P16" i="93"/>
  <c r="N16" i="93"/>
  <c r="L16" i="93"/>
  <c r="D16" i="93"/>
  <c r="B16" i="93"/>
  <c r="Z15" i="93"/>
  <c r="X15" i="93"/>
  <c r="P15" i="93"/>
  <c r="L15" i="93"/>
  <c r="N15" i="93" s="1"/>
  <c r="D15" i="93"/>
  <c r="B15" i="93"/>
  <c r="Z14" i="93"/>
  <c r="P14" i="93"/>
  <c r="X14" i="93" s="1"/>
  <c r="N14" i="93"/>
  <c r="D14" i="93"/>
  <c r="L14" i="93" s="1"/>
  <c r="B14" i="93"/>
  <c r="Z13" i="93"/>
  <c r="P13" i="93"/>
  <c r="X13" i="93" s="1"/>
  <c r="D13" i="93"/>
  <c r="L13" i="93" s="1"/>
  <c r="N13" i="93" s="1"/>
  <c r="B13" i="93"/>
  <c r="T12" i="93"/>
  <c r="V66" i="93" s="1"/>
  <c r="H12" i="93"/>
  <c r="D6" i="93"/>
  <c r="D4" i="93"/>
  <c r="J95" i="92"/>
  <c r="Z93" i="92"/>
  <c r="X93" i="92"/>
  <c r="N93" i="92"/>
  <c r="L93" i="92"/>
  <c r="Z89" i="92"/>
  <c r="X89" i="92"/>
  <c r="P89" i="92"/>
  <c r="N89" i="92"/>
  <c r="L89" i="92"/>
  <c r="D89" i="92"/>
  <c r="B89" i="92"/>
  <c r="X88" i="92"/>
  <c r="Z88" i="92" s="1"/>
  <c r="V88" i="92"/>
  <c r="P88" i="92"/>
  <c r="D88" i="92"/>
  <c r="L88" i="92" s="1"/>
  <c r="N88" i="92" s="1"/>
  <c r="B88" i="92"/>
  <c r="V87" i="92"/>
  <c r="T87" i="92"/>
  <c r="P87" i="92"/>
  <c r="H87" i="92"/>
  <c r="D87" i="92"/>
  <c r="L87" i="92" s="1"/>
  <c r="N87" i="92" s="1"/>
  <c r="X85" i="92"/>
  <c r="Z85" i="92" s="1"/>
  <c r="V85" i="92"/>
  <c r="L85" i="92"/>
  <c r="N85" i="92" s="1"/>
  <c r="B85" i="92"/>
  <c r="T84" i="92"/>
  <c r="P84" i="92"/>
  <c r="X84" i="92" s="1"/>
  <c r="H84" i="92"/>
  <c r="D84" i="92"/>
  <c r="L84" i="92" s="1"/>
  <c r="N84" i="92" s="1"/>
  <c r="B84" i="92"/>
  <c r="Z83" i="92"/>
  <c r="X83" i="92"/>
  <c r="N83" i="92"/>
  <c r="L83" i="92"/>
  <c r="B83" i="92"/>
  <c r="Z82" i="92"/>
  <c r="X82" i="92"/>
  <c r="N82" i="92"/>
  <c r="L82" i="92"/>
  <c r="F82" i="92"/>
  <c r="B82" i="92"/>
  <c r="Z81" i="92"/>
  <c r="X81" i="92"/>
  <c r="N81" i="92"/>
  <c r="L81" i="92"/>
  <c r="B81" i="92"/>
  <c r="Z80" i="92"/>
  <c r="X80" i="92"/>
  <c r="V80" i="92"/>
  <c r="T80" i="92"/>
  <c r="P80" i="92"/>
  <c r="L80" i="92"/>
  <c r="H80" i="92"/>
  <c r="N80" i="92" s="1"/>
  <c r="D80" i="92"/>
  <c r="B80" i="92"/>
  <c r="Z79" i="92"/>
  <c r="X79" i="92"/>
  <c r="L79" i="92"/>
  <c r="N79" i="92" s="1"/>
  <c r="B79" i="92"/>
  <c r="T78" i="92"/>
  <c r="P78" i="92"/>
  <c r="H78" i="92"/>
  <c r="D78" i="92"/>
  <c r="L78" i="92" s="1"/>
  <c r="B78" i="92"/>
  <c r="X77" i="92"/>
  <c r="Z77" i="92" s="1"/>
  <c r="V77" i="92"/>
  <c r="L77" i="92"/>
  <c r="N77" i="92" s="1"/>
  <c r="B77" i="92"/>
  <c r="T76" i="92"/>
  <c r="P76" i="92"/>
  <c r="X76" i="92" s="1"/>
  <c r="H76" i="92"/>
  <c r="D76" i="92"/>
  <c r="L76" i="92" s="1"/>
  <c r="N76" i="92" s="1"/>
  <c r="B76" i="92"/>
  <c r="Z75" i="92"/>
  <c r="X75" i="92"/>
  <c r="L75" i="92"/>
  <c r="N75" i="92" s="1"/>
  <c r="B75" i="92"/>
  <c r="X74" i="92"/>
  <c r="Z74" i="92" s="1"/>
  <c r="N74" i="92"/>
  <c r="L74" i="92"/>
  <c r="F74" i="92"/>
  <c r="B74" i="92"/>
  <c r="X73" i="92"/>
  <c r="Z73" i="92" s="1"/>
  <c r="N73" i="92"/>
  <c r="L73" i="92"/>
  <c r="B73" i="92"/>
  <c r="X72" i="92"/>
  <c r="Z72" i="92" s="1"/>
  <c r="V72" i="92"/>
  <c r="N72" i="92"/>
  <c r="L72" i="92"/>
  <c r="B72" i="92"/>
  <c r="Z71" i="92"/>
  <c r="X71" i="92"/>
  <c r="N71" i="92"/>
  <c r="L71" i="92"/>
  <c r="B71" i="92"/>
  <c r="X70" i="92"/>
  <c r="Z70" i="92" s="1"/>
  <c r="N70" i="92"/>
  <c r="L70" i="92"/>
  <c r="F70" i="92"/>
  <c r="B70" i="92"/>
  <c r="X69" i="92"/>
  <c r="T69" i="92"/>
  <c r="Z69" i="92" s="1"/>
  <c r="P69" i="92"/>
  <c r="H69" i="92"/>
  <c r="F69" i="92"/>
  <c r="D69" i="92"/>
  <c r="L69" i="92" s="1"/>
  <c r="B69" i="92"/>
  <c r="Z68" i="92"/>
  <c r="X68" i="92"/>
  <c r="L68" i="92"/>
  <c r="N68" i="92" s="1"/>
  <c r="B68" i="92"/>
  <c r="Z67" i="92"/>
  <c r="X67" i="92"/>
  <c r="L67" i="92"/>
  <c r="N67" i="92" s="1"/>
  <c r="B67" i="92"/>
  <c r="Z66" i="92"/>
  <c r="X66" i="92"/>
  <c r="N66" i="92"/>
  <c r="L66" i="92"/>
  <c r="B66" i="92"/>
  <c r="Z65" i="92"/>
  <c r="X65" i="92"/>
  <c r="L65" i="92"/>
  <c r="N65" i="92" s="1"/>
  <c r="J65" i="92"/>
  <c r="F65" i="92"/>
  <c r="B65" i="92"/>
  <c r="Z64" i="92"/>
  <c r="X64" i="92"/>
  <c r="L64" i="92"/>
  <c r="N64" i="92" s="1"/>
  <c r="B64" i="92"/>
  <c r="Z63" i="92"/>
  <c r="X63" i="92"/>
  <c r="T63" i="92"/>
  <c r="P63" i="92"/>
  <c r="H63" i="92"/>
  <c r="D63" i="92"/>
  <c r="L63" i="92" s="1"/>
  <c r="N63" i="92" s="1"/>
  <c r="B63" i="92"/>
  <c r="Z62" i="92"/>
  <c r="X62" i="92"/>
  <c r="L62" i="92"/>
  <c r="N62" i="92" s="1"/>
  <c r="B62" i="92"/>
  <c r="X61" i="92"/>
  <c r="Z61" i="92" s="1"/>
  <c r="V61" i="92"/>
  <c r="L61" i="92"/>
  <c r="N61" i="92" s="1"/>
  <c r="B61" i="92"/>
  <c r="X60" i="92"/>
  <c r="Z60" i="92" s="1"/>
  <c r="N60" i="92"/>
  <c r="L60" i="92"/>
  <c r="J60" i="92"/>
  <c r="B60" i="92"/>
  <c r="T59" i="92"/>
  <c r="P59" i="92"/>
  <c r="X59" i="92" s="1"/>
  <c r="Z59" i="92" s="1"/>
  <c r="J59" i="92"/>
  <c r="H59" i="92"/>
  <c r="D59" i="92"/>
  <c r="B59" i="92"/>
  <c r="Z58" i="92"/>
  <c r="X58" i="92"/>
  <c r="N58" i="92"/>
  <c r="L58" i="92"/>
  <c r="J58" i="92"/>
  <c r="F58" i="92"/>
  <c r="B58" i="92"/>
  <c r="X57" i="92"/>
  <c r="T57" i="92"/>
  <c r="Z57" i="92" s="1"/>
  <c r="P57" i="92"/>
  <c r="H57" i="92"/>
  <c r="N57" i="92" s="1"/>
  <c r="F57" i="92"/>
  <c r="D57" i="92"/>
  <c r="L57" i="92" s="1"/>
  <c r="B57" i="92"/>
  <c r="Z56" i="92"/>
  <c r="X56" i="92"/>
  <c r="L56" i="92"/>
  <c r="N56" i="92" s="1"/>
  <c r="B56" i="92"/>
  <c r="Z55" i="92"/>
  <c r="X55" i="92"/>
  <c r="T55" i="92"/>
  <c r="P55" i="92"/>
  <c r="H55" i="92"/>
  <c r="D55" i="92"/>
  <c r="L55" i="92" s="1"/>
  <c r="N55" i="92" s="1"/>
  <c r="B55" i="92"/>
  <c r="Z54" i="92"/>
  <c r="X54" i="92"/>
  <c r="L54" i="92"/>
  <c r="N54" i="92" s="1"/>
  <c r="B54" i="92"/>
  <c r="V53" i="92"/>
  <c r="T53" i="92"/>
  <c r="P53" i="92"/>
  <c r="H53" i="92"/>
  <c r="D53" i="92"/>
  <c r="L53" i="92" s="1"/>
  <c r="N53" i="92" s="1"/>
  <c r="B53" i="92"/>
  <c r="X52" i="92"/>
  <c r="Z52" i="92" s="1"/>
  <c r="V52" i="92"/>
  <c r="N52" i="92"/>
  <c r="L52" i="92"/>
  <c r="F52" i="92"/>
  <c r="B52" i="92"/>
  <c r="T51" i="92"/>
  <c r="P51" i="92"/>
  <c r="X51" i="92" s="1"/>
  <c r="L51" i="92"/>
  <c r="H51" i="92"/>
  <c r="N51" i="92" s="1"/>
  <c r="F51" i="92"/>
  <c r="D51" i="92"/>
  <c r="B51" i="92"/>
  <c r="Z50" i="92"/>
  <c r="X50" i="92"/>
  <c r="N50" i="92"/>
  <c r="L50" i="92"/>
  <c r="B50" i="92"/>
  <c r="T49" i="92"/>
  <c r="P49" i="92"/>
  <c r="X49" i="92" s="1"/>
  <c r="Z49" i="92" s="1"/>
  <c r="N49" i="92"/>
  <c r="L49" i="92"/>
  <c r="H49" i="92"/>
  <c r="D49" i="92"/>
  <c r="B49" i="92"/>
  <c r="X48" i="92"/>
  <c r="Z48" i="92" s="1"/>
  <c r="L48" i="92"/>
  <c r="N48" i="92" s="1"/>
  <c r="J48" i="92"/>
  <c r="B48" i="92"/>
  <c r="T47" i="92"/>
  <c r="P47" i="92"/>
  <c r="X47" i="92" s="1"/>
  <c r="Z47" i="92" s="1"/>
  <c r="J47" i="92"/>
  <c r="H47" i="92"/>
  <c r="D47" i="92"/>
  <c r="B47" i="92"/>
  <c r="X46" i="92"/>
  <c r="Z46" i="92" s="1"/>
  <c r="N46" i="92"/>
  <c r="L46" i="92"/>
  <c r="J46" i="92"/>
  <c r="F46" i="92"/>
  <c r="B46" i="92"/>
  <c r="X45" i="92"/>
  <c r="Z45" i="92" s="1"/>
  <c r="N45" i="92"/>
  <c r="L45" i="92"/>
  <c r="B45" i="92"/>
  <c r="X44" i="92"/>
  <c r="Z44" i="92" s="1"/>
  <c r="V44" i="92"/>
  <c r="N44" i="92"/>
  <c r="L44" i="92"/>
  <c r="F44" i="92"/>
  <c r="B44" i="92"/>
  <c r="T43" i="92"/>
  <c r="P43" i="92"/>
  <c r="X43" i="92" s="1"/>
  <c r="L43" i="92"/>
  <c r="H43" i="92"/>
  <c r="N43" i="92" s="1"/>
  <c r="F43" i="92"/>
  <c r="D43" i="92"/>
  <c r="B43" i="92"/>
  <c r="Z42" i="92"/>
  <c r="X42" i="92"/>
  <c r="N42" i="92"/>
  <c r="L42" i="92"/>
  <c r="B42" i="92"/>
  <c r="T41" i="92"/>
  <c r="P41" i="92"/>
  <c r="X41" i="92" s="1"/>
  <c r="Z41" i="92" s="1"/>
  <c r="L41" i="92"/>
  <c r="N41" i="92" s="1"/>
  <c r="H41" i="92"/>
  <c r="D41" i="92"/>
  <c r="B41" i="92"/>
  <c r="Z40" i="92"/>
  <c r="X40" i="92"/>
  <c r="N40" i="92"/>
  <c r="L40" i="92"/>
  <c r="J40" i="92"/>
  <c r="B40" i="92"/>
  <c r="Z39" i="92"/>
  <c r="X39" i="92"/>
  <c r="N39" i="92"/>
  <c r="L39" i="92"/>
  <c r="F39" i="92"/>
  <c r="B39" i="92"/>
  <c r="Z38" i="92"/>
  <c r="X38" i="92"/>
  <c r="N38" i="92"/>
  <c r="L38" i="92"/>
  <c r="F38" i="92"/>
  <c r="B38" i="92"/>
  <c r="X37" i="92"/>
  <c r="Z37" i="92" s="1"/>
  <c r="V37" i="92"/>
  <c r="L37" i="92"/>
  <c r="N37" i="92" s="1"/>
  <c r="B37" i="92"/>
  <c r="Z36" i="92"/>
  <c r="X36" i="92"/>
  <c r="N36" i="92"/>
  <c r="L36" i="92"/>
  <c r="J36" i="92"/>
  <c r="B36" i="92"/>
  <c r="X35" i="92"/>
  <c r="Z35" i="92" s="1"/>
  <c r="L35" i="92"/>
  <c r="N35" i="92" s="1"/>
  <c r="F35" i="92"/>
  <c r="B35" i="92"/>
  <c r="Z34" i="92"/>
  <c r="X34" i="92"/>
  <c r="L34" i="92"/>
  <c r="N34" i="92" s="1"/>
  <c r="F34" i="92"/>
  <c r="B34" i="92"/>
  <c r="Z33" i="92"/>
  <c r="X33" i="92"/>
  <c r="V33" i="92"/>
  <c r="N33" i="92"/>
  <c r="L33" i="92"/>
  <c r="F33" i="92"/>
  <c r="B33" i="92"/>
  <c r="X32" i="92"/>
  <c r="Z32" i="92" s="1"/>
  <c r="L32" i="92"/>
  <c r="N32" i="92" s="1"/>
  <c r="J32" i="92"/>
  <c r="B32" i="92"/>
  <c r="X31" i="92"/>
  <c r="Z31" i="92" s="1"/>
  <c r="L31" i="92"/>
  <c r="N31" i="92" s="1"/>
  <c r="F31" i="92"/>
  <c r="B31" i="92"/>
  <c r="T30" i="92"/>
  <c r="P30" i="92"/>
  <c r="X30" i="92" s="1"/>
  <c r="Z30" i="92" s="1"/>
  <c r="H30" i="92"/>
  <c r="F30" i="92"/>
  <c r="D30" i="92"/>
  <c r="L30" i="92" s="1"/>
  <c r="B30" i="92"/>
  <c r="X29" i="92"/>
  <c r="Z29" i="92" s="1"/>
  <c r="N29" i="92"/>
  <c r="L29" i="92"/>
  <c r="F29" i="92"/>
  <c r="B29" i="92"/>
  <c r="X28" i="92"/>
  <c r="Z28" i="92" s="1"/>
  <c r="V28" i="92"/>
  <c r="N28" i="92"/>
  <c r="L28" i="92"/>
  <c r="F28" i="92"/>
  <c r="B28" i="92"/>
  <c r="X27" i="92"/>
  <c r="Z27" i="92" s="1"/>
  <c r="N27" i="92"/>
  <c r="L27" i="92"/>
  <c r="F27" i="92"/>
  <c r="B27" i="92"/>
  <c r="Z26" i="92"/>
  <c r="X26" i="92"/>
  <c r="N26" i="92"/>
  <c r="L26" i="92"/>
  <c r="J26" i="92"/>
  <c r="F26" i="92"/>
  <c r="B26" i="92"/>
  <c r="Z25" i="92"/>
  <c r="X25" i="92"/>
  <c r="N25" i="92"/>
  <c r="L25" i="92"/>
  <c r="F25" i="92"/>
  <c r="B25" i="92"/>
  <c r="X24" i="92"/>
  <c r="Z24" i="92" s="1"/>
  <c r="V24" i="92"/>
  <c r="N24" i="92"/>
  <c r="L24" i="92"/>
  <c r="F24" i="92"/>
  <c r="B24" i="92"/>
  <c r="X23" i="92"/>
  <c r="Z23" i="92" s="1"/>
  <c r="N23" i="92"/>
  <c r="L23" i="92"/>
  <c r="F23" i="92"/>
  <c r="B23" i="92"/>
  <c r="X22" i="92"/>
  <c r="Z22" i="92" s="1"/>
  <c r="N22" i="92"/>
  <c r="L22" i="92"/>
  <c r="J22" i="92"/>
  <c r="F22" i="92"/>
  <c r="B22" i="92"/>
  <c r="X21" i="92"/>
  <c r="Z21" i="92" s="1"/>
  <c r="N21" i="92"/>
  <c r="L21" i="92"/>
  <c r="F21" i="92"/>
  <c r="B21" i="92"/>
  <c r="X20" i="92"/>
  <c r="Z20" i="92" s="1"/>
  <c r="V20" i="92"/>
  <c r="N20" i="92"/>
  <c r="L20" i="92"/>
  <c r="F20" i="92"/>
  <c r="B20" i="92"/>
  <c r="T19" i="92"/>
  <c r="R19" i="92"/>
  <c r="P19" i="92"/>
  <c r="X19" i="92" s="1"/>
  <c r="L19" i="92"/>
  <c r="H19" i="92"/>
  <c r="N19" i="92" s="1"/>
  <c r="F19" i="92"/>
  <c r="D19" i="92"/>
  <c r="B19" i="92"/>
  <c r="T18" i="92"/>
  <c r="R18" i="92"/>
  <c r="P18" i="92"/>
  <c r="H18" i="92"/>
  <c r="D18" i="92"/>
  <c r="T16" i="92"/>
  <c r="T14" i="92"/>
  <c r="P14" i="92"/>
  <c r="H14" i="92"/>
  <c r="N14" i="92" s="1"/>
  <c r="D14" i="92"/>
  <c r="L14" i="92" s="1"/>
  <c r="T12" i="92"/>
  <c r="V62" i="92" s="1"/>
  <c r="P12" i="92"/>
  <c r="R37" i="92" s="1"/>
  <c r="N12" i="92"/>
  <c r="H12" i="92"/>
  <c r="J98" i="92" s="1"/>
  <c r="D12" i="92"/>
  <c r="F83" i="92" s="1"/>
  <c r="D6" i="92"/>
  <c r="D4" i="92"/>
  <c r="X85" i="89"/>
  <c r="Z85" i="89" s="1"/>
  <c r="L85" i="89"/>
  <c r="N85" i="89" s="1"/>
  <c r="J85" i="89"/>
  <c r="T81" i="89"/>
  <c r="Z81" i="89" s="1"/>
  <c r="P81" i="89"/>
  <c r="X81" i="89" s="1"/>
  <c r="H81" i="89"/>
  <c r="D81" i="89"/>
  <c r="Z79" i="89"/>
  <c r="X79" i="89"/>
  <c r="N79" i="89"/>
  <c r="L79" i="89"/>
  <c r="B79" i="89"/>
  <c r="Z78" i="89"/>
  <c r="X78" i="89"/>
  <c r="T78" i="89"/>
  <c r="P78" i="89"/>
  <c r="N78" i="89"/>
  <c r="H78" i="89"/>
  <c r="D78" i="89"/>
  <c r="L78" i="89" s="1"/>
  <c r="B78" i="89"/>
  <c r="Z77" i="89"/>
  <c r="X77" i="89"/>
  <c r="L77" i="89"/>
  <c r="N77" i="89" s="1"/>
  <c r="B77" i="89"/>
  <c r="V76" i="89"/>
  <c r="T76" i="89"/>
  <c r="P76" i="89"/>
  <c r="H76" i="89"/>
  <c r="D76" i="89"/>
  <c r="L76" i="89" s="1"/>
  <c r="N76" i="89" s="1"/>
  <c r="B76" i="89"/>
  <c r="X75" i="89"/>
  <c r="Z75" i="89" s="1"/>
  <c r="V75" i="89"/>
  <c r="N75" i="89"/>
  <c r="L75" i="89"/>
  <c r="B75" i="89"/>
  <c r="Z74" i="89"/>
  <c r="X74" i="89"/>
  <c r="L74" i="89"/>
  <c r="N74" i="89" s="1"/>
  <c r="B74" i="89"/>
  <c r="X73" i="89"/>
  <c r="T73" i="89"/>
  <c r="Z73" i="89" s="1"/>
  <c r="P73" i="89"/>
  <c r="L73" i="89"/>
  <c r="N73" i="89" s="1"/>
  <c r="H73" i="89"/>
  <c r="D73" i="89"/>
  <c r="B73" i="89"/>
  <c r="Z72" i="89"/>
  <c r="X72" i="89"/>
  <c r="N72" i="89"/>
  <c r="L72" i="89"/>
  <c r="B72" i="89"/>
  <c r="Z71" i="89"/>
  <c r="X71" i="89"/>
  <c r="N71" i="89"/>
  <c r="L71" i="89"/>
  <c r="B71" i="89"/>
  <c r="Z70" i="89"/>
  <c r="X70" i="89"/>
  <c r="L70" i="89"/>
  <c r="N70" i="89" s="1"/>
  <c r="B70" i="89"/>
  <c r="Z69" i="89"/>
  <c r="X69" i="89"/>
  <c r="V69" i="89"/>
  <c r="N69" i="89"/>
  <c r="L69" i="89"/>
  <c r="B69" i="89"/>
  <c r="Z68" i="89"/>
  <c r="X68" i="89"/>
  <c r="N68" i="89"/>
  <c r="L68" i="89"/>
  <c r="J68" i="89"/>
  <c r="B68" i="89"/>
  <c r="Z67" i="89"/>
  <c r="X67" i="89"/>
  <c r="L67" i="89"/>
  <c r="N67" i="89" s="1"/>
  <c r="B67" i="89"/>
  <c r="X66" i="89"/>
  <c r="Z66" i="89" s="1"/>
  <c r="T66" i="89"/>
  <c r="P66" i="89"/>
  <c r="H66" i="89"/>
  <c r="D66" i="89"/>
  <c r="L66" i="89" s="1"/>
  <c r="N66" i="89" s="1"/>
  <c r="B66" i="89"/>
  <c r="Z65" i="89"/>
  <c r="X65" i="89"/>
  <c r="L65" i="89"/>
  <c r="N65" i="89" s="1"/>
  <c r="B65" i="89"/>
  <c r="X64" i="89"/>
  <c r="Z64" i="89" s="1"/>
  <c r="V64" i="89"/>
  <c r="R64" i="89"/>
  <c r="L64" i="89"/>
  <c r="N64" i="89" s="1"/>
  <c r="B64" i="89"/>
  <c r="X63" i="89"/>
  <c r="Z63" i="89" s="1"/>
  <c r="L63" i="89"/>
  <c r="N63" i="89" s="1"/>
  <c r="B63" i="89"/>
  <c r="V62" i="89"/>
  <c r="T62" i="89"/>
  <c r="P62" i="89"/>
  <c r="X62" i="89" s="1"/>
  <c r="Z62" i="89" s="1"/>
  <c r="H62" i="89"/>
  <c r="D62" i="89"/>
  <c r="B62" i="89"/>
  <c r="X61" i="89"/>
  <c r="Z61" i="89" s="1"/>
  <c r="N61" i="89"/>
  <c r="L61" i="89"/>
  <c r="B61" i="89"/>
  <c r="X60" i="89"/>
  <c r="Z60" i="89" s="1"/>
  <c r="N60" i="89"/>
  <c r="L60" i="89"/>
  <c r="B60" i="89"/>
  <c r="X59" i="89"/>
  <c r="Z59" i="89" s="1"/>
  <c r="V59" i="89"/>
  <c r="T59" i="89"/>
  <c r="P59" i="89"/>
  <c r="L59" i="89"/>
  <c r="H59" i="89"/>
  <c r="N59" i="89" s="1"/>
  <c r="D59" i="89"/>
  <c r="B59" i="89"/>
  <c r="Z58" i="89"/>
  <c r="X58" i="89"/>
  <c r="N58" i="89"/>
  <c r="L58" i="89"/>
  <c r="B58" i="89"/>
  <c r="T57" i="89"/>
  <c r="R57" i="89"/>
  <c r="P57" i="89"/>
  <c r="H57" i="89"/>
  <c r="N57" i="89" s="1"/>
  <c r="D57" i="89"/>
  <c r="L57" i="89" s="1"/>
  <c r="B57" i="89"/>
  <c r="Z56" i="89"/>
  <c r="X56" i="89"/>
  <c r="V56" i="89"/>
  <c r="N56" i="89"/>
  <c r="L56" i="89"/>
  <c r="B56" i="89"/>
  <c r="T55" i="89"/>
  <c r="Z55" i="89" s="1"/>
  <c r="P55" i="89"/>
  <c r="X55" i="89" s="1"/>
  <c r="N55" i="89"/>
  <c r="H55" i="89"/>
  <c r="D55" i="89"/>
  <c r="L55" i="89" s="1"/>
  <c r="B55" i="89"/>
  <c r="Z54" i="89"/>
  <c r="X54" i="89"/>
  <c r="L54" i="89"/>
  <c r="N54" i="89" s="1"/>
  <c r="B54" i="89"/>
  <c r="X53" i="89"/>
  <c r="T53" i="89"/>
  <c r="Z53" i="89" s="1"/>
  <c r="P53" i="89"/>
  <c r="L53" i="89"/>
  <c r="N53" i="89" s="1"/>
  <c r="J53" i="89"/>
  <c r="H53" i="89"/>
  <c r="D53" i="89"/>
  <c r="B53" i="89"/>
  <c r="Z52" i="89"/>
  <c r="X52" i="89"/>
  <c r="V52" i="89"/>
  <c r="L52" i="89"/>
  <c r="N52" i="89" s="1"/>
  <c r="J52" i="89"/>
  <c r="F52" i="89"/>
  <c r="B52" i="89"/>
  <c r="T51" i="89"/>
  <c r="P51" i="89"/>
  <c r="X51" i="89" s="1"/>
  <c r="H51" i="89"/>
  <c r="D51" i="89"/>
  <c r="B51" i="89"/>
  <c r="X50" i="89"/>
  <c r="Z50" i="89" s="1"/>
  <c r="V50" i="89"/>
  <c r="N50" i="89"/>
  <c r="L50" i="89"/>
  <c r="B50" i="89"/>
  <c r="T49" i="89"/>
  <c r="P49" i="89"/>
  <c r="X49" i="89" s="1"/>
  <c r="Z49" i="89" s="1"/>
  <c r="H49" i="89"/>
  <c r="N49" i="89" s="1"/>
  <c r="D49" i="89"/>
  <c r="L49" i="89" s="1"/>
  <c r="B49" i="89"/>
  <c r="X48" i="89"/>
  <c r="Z48" i="89" s="1"/>
  <c r="N48" i="89"/>
  <c r="L48" i="89"/>
  <c r="B48" i="89"/>
  <c r="X47" i="89"/>
  <c r="Z47" i="89" s="1"/>
  <c r="V47" i="89"/>
  <c r="T47" i="89"/>
  <c r="P47" i="89"/>
  <c r="L47" i="89"/>
  <c r="H47" i="89"/>
  <c r="N47" i="89" s="1"/>
  <c r="D47" i="89"/>
  <c r="B47" i="89"/>
  <c r="Z46" i="89"/>
  <c r="X46" i="89"/>
  <c r="N46" i="89"/>
  <c r="L46" i="89"/>
  <c r="B46" i="89"/>
  <c r="Z45" i="89"/>
  <c r="X45" i="89"/>
  <c r="V45" i="89"/>
  <c r="R45" i="89"/>
  <c r="N45" i="89"/>
  <c r="L45" i="89"/>
  <c r="B45" i="89"/>
  <c r="Z44" i="89"/>
  <c r="X44" i="89"/>
  <c r="V44" i="89"/>
  <c r="L44" i="89"/>
  <c r="N44" i="89" s="1"/>
  <c r="J44" i="89"/>
  <c r="F44" i="89"/>
  <c r="B44" i="89"/>
  <c r="Z43" i="89"/>
  <c r="X43" i="89"/>
  <c r="N43" i="89"/>
  <c r="L43" i="89"/>
  <c r="B43" i="89"/>
  <c r="Z42" i="89"/>
  <c r="X42" i="89"/>
  <c r="N42" i="89"/>
  <c r="L42" i="89"/>
  <c r="B42" i="89"/>
  <c r="Z41" i="89"/>
  <c r="X41" i="89"/>
  <c r="V41" i="89"/>
  <c r="R41" i="89"/>
  <c r="N41" i="89"/>
  <c r="L41" i="89"/>
  <c r="B41" i="89"/>
  <c r="Z40" i="89"/>
  <c r="X40" i="89"/>
  <c r="V40" i="89"/>
  <c r="L40" i="89"/>
  <c r="N40" i="89" s="1"/>
  <c r="J40" i="89"/>
  <c r="F40" i="89"/>
  <c r="B40" i="89"/>
  <c r="Z39" i="89"/>
  <c r="X39" i="89"/>
  <c r="N39" i="89"/>
  <c r="L39" i="89"/>
  <c r="B39" i="89"/>
  <c r="Z38" i="89"/>
  <c r="X38" i="89"/>
  <c r="N38" i="89"/>
  <c r="L38" i="89"/>
  <c r="B38" i="89"/>
  <c r="Z37" i="89"/>
  <c r="X37" i="89"/>
  <c r="V37" i="89"/>
  <c r="R37" i="89"/>
  <c r="N37" i="89"/>
  <c r="L37" i="89"/>
  <c r="B37" i="89"/>
  <c r="V36" i="89"/>
  <c r="T36" i="89"/>
  <c r="P36" i="89"/>
  <c r="X36" i="89" s="1"/>
  <c r="Z36" i="89" s="1"/>
  <c r="L36" i="89"/>
  <c r="N36" i="89" s="1"/>
  <c r="H36" i="89"/>
  <c r="D36" i="89"/>
  <c r="B36" i="89"/>
  <c r="X35" i="89"/>
  <c r="Z35" i="89" s="1"/>
  <c r="L35" i="89"/>
  <c r="N35" i="89" s="1"/>
  <c r="B35" i="89"/>
  <c r="X34" i="89"/>
  <c r="Z34" i="89" s="1"/>
  <c r="V34" i="89"/>
  <c r="N34" i="89"/>
  <c r="L34" i="89"/>
  <c r="B34" i="89"/>
  <c r="Z33" i="89"/>
  <c r="X33" i="89"/>
  <c r="V33" i="89"/>
  <c r="L33" i="89"/>
  <c r="N33" i="89" s="1"/>
  <c r="B33" i="89"/>
  <c r="Z32" i="89"/>
  <c r="X32" i="89"/>
  <c r="V32" i="89"/>
  <c r="N32" i="89"/>
  <c r="L32" i="89"/>
  <c r="B32" i="89"/>
  <c r="X31" i="89"/>
  <c r="Z31" i="89" s="1"/>
  <c r="L31" i="89"/>
  <c r="N31" i="89" s="1"/>
  <c r="B31" i="89"/>
  <c r="X30" i="89"/>
  <c r="Z30" i="89" s="1"/>
  <c r="V30" i="89"/>
  <c r="N30" i="89"/>
  <c r="L30" i="89"/>
  <c r="B30" i="89"/>
  <c r="Z29" i="89"/>
  <c r="X29" i="89"/>
  <c r="V29" i="89"/>
  <c r="N29" i="89"/>
  <c r="L29" i="89"/>
  <c r="B29" i="89"/>
  <c r="X28" i="89"/>
  <c r="Z28" i="89" s="1"/>
  <c r="V28" i="89"/>
  <c r="L28" i="89"/>
  <c r="N28" i="89" s="1"/>
  <c r="B28" i="89"/>
  <c r="X27" i="89"/>
  <c r="Z27" i="89" s="1"/>
  <c r="V27" i="89"/>
  <c r="L27" i="89"/>
  <c r="N27" i="89" s="1"/>
  <c r="J27" i="89"/>
  <c r="B27" i="89"/>
  <c r="V26" i="89"/>
  <c r="T26" i="89"/>
  <c r="P26" i="89"/>
  <c r="X26" i="89" s="1"/>
  <c r="Z26" i="89" s="1"/>
  <c r="H26" i="89"/>
  <c r="D26" i="89"/>
  <c r="B26" i="89"/>
  <c r="T25" i="89"/>
  <c r="P25" i="89"/>
  <c r="X25" i="89" s="1"/>
  <c r="H25" i="89"/>
  <c r="J25" i="89" s="1"/>
  <c r="D25" i="89"/>
  <c r="L25" i="89" s="1"/>
  <c r="N25" i="89" s="1"/>
  <c r="Z21" i="89"/>
  <c r="X21" i="89"/>
  <c r="N21" i="89"/>
  <c r="L21" i="89"/>
  <c r="F21" i="89"/>
  <c r="B21" i="89"/>
  <c r="Z20" i="89"/>
  <c r="X20" i="89"/>
  <c r="N20" i="89"/>
  <c r="L20" i="89"/>
  <c r="B20" i="89"/>
  <c r="X19" i="89"/>
  <c r="Z19" i="89" s="1"/>
  <c r="V19" i="89"/>
  <c r="N19" i="89"/>
  <c r="L19" i="89"/>
  <c r="F19" i="89"/>
  <c r="B19" i="89"/>
  <c r="T18" i="89"/>
  <c r="P18" i="89"/>
  <c r="X18" i="89" s="1"/>
  <c r="L18" i="89"/>
  <c r="H18" i="89"/>
  <c r="N18" i="89" s="1"/>
  <c r="D18" i="89"/>
  <c r="Z16" i="89"/>
  <c r="X16" i="89"/>
  <c r="P16" i="89"/>
  <c r="N16" i="89"/>
  <c r="L16" i="89"/>
  <c r="D16" i="89"/>
  <c r="B16" i="89"/>
  <c r="P15" i="89"/>
  <c r="X15" i="89" s="1"/>
  <c r="Z15" i="89" s="1"/>
  <c r="N15" i="89"/>
  <c r="D15" i="89"/>
  <c r="L15" i="89" s="1"/>
  <c r="B15" i="89"/>
  <c r="Z14" i="89"/>
  <c r="P14" i="89"/>
  <c r="P12" i="89" s="1"/>
  <c r="N14" i="89"/>
  <c r="D14" i="89"/>
  <c r="L14" i="89" s="1"/>
  <c r="B14" i="89"/>
  <c r="X13" i="89"/>
  <c r="Z13" i="89" s="1"/>
  <c r="P13" i="89"/>
  <c r="N13" i="89"/>
  <c r="L13" i="89"/>
  <c r="D13" i="89"/>
  <c r="D12" i="89" s="1"/>
  <c r="F18" i="89" s="1"/>
  <c r="B13" i="89"/>
  <c r="T12" i="89"/>
  <c r="V77" i="89" s="1"/>
  <c r="H12" i="89"/>
  <c r="D6" i="89"/>
  <c r="D4" i="89"/>
  <c r="X96" i="88"/>
  <c r="Z96" i="88" s="1"/>
  <c r="R96" i="88"/>
  <c r="L96" i="88"/>
  <c r="N96" i="88" s="1"/>
  <c r="Z92" i="88"/>
  <c r="T92" i="88"/>
  <c r="P92" i="88"/>
  <c r="X92" i="88" s="1"/>
  <c r="N92" i="88"/>
  <c r="L92" i="88"/>
  <c r="H92" i="88"/>
  <c r="D92" i="88"/>
  <c r="Z90" i="88"/>
  <c r="X90" i="88"/>
  <c r="L90" i="88"/>
  <c r="N90" i="88" s="1"/>
  <c r="J90" i="88"/>
  <c r="B90" i="88"/>
  <c r="T89" i="88"/>
  <c r="P89" i="88"/>
  <c r="X89" i="88" s="1"/>
  <c r="H89" i="88"/>
  <c r="D89" i="88"/>
  <c r="L89" i="88" s="1"/>
  <c r="B89" i="88"/>
  <c r="X88" i="88"/>
  <c r="Z88" i="88" s="1"/>
  <c r="N88" i="88"/>
  <c r="L88" i="88"/>
  <c r="B88" i="88"/>
  <c r="T87" i="88"/>
  <c r="P87" i="88"/>
  <c r="X87" i="88" s="1"/>
  <c r="Z87" i="88" s="1"/>
  <c r="H87" i="88"/>
  <c r="D87" i="88"/>
  <c r="L87" i="88" s="1"/>
  <c r="B87" i="88"/>
  <c r="X86" i="88"/>
  <c r="Z86" i="88" s="1"/>
  <c r="N86" i="88"/>
  <c r="L86" i="88"/>
  <c r="B86" i="88"/>
  <c r="X85" i="88"/>
  <c r="Z85" i="88" s="1"/>
  <c r="T85" i="88"/>
  <c r="P85" i="88"/>
  <c r="L85" i="88"/>
  <c r="H85" i="88"/>
  <c r="D85" i="88"/>
  <c r="B85" i="88"/>
  <c r="Z84" i="88"/>
  <c r="X84" i="88"/>
  <c r="N84" i="88"/>
  <c r="L84" i="88"/>
  <c r="B84" i="88"/>
  <c r="Z83" i="88"/>
  <c r="X83" i="88"/>
  <c r="V83" i="88"/>
  <c r="R83" i="88"/>
  <c r="N83" i="88"/>
  <c r="L83" i="88"/>
  <c r="B83" i="88"/>
  <c r="Z82" i="88"/>
  <c r="X82" i="88"/>
  <c r="N82" i="88"/>
  <c r="L82" i="88"/>
  <c r="B82" i="88"/>
  <c r="Z81" i="88"/>
  <c r="X81" i="88"/>
  <c r="L81" i="88"/>
  <c r="N81" i="88" s="1"/>
  <c r="B81" i="88"/>
  <c r="Z80" i="88"/>
  <c r="X80" i="88"/>
  <c r="L80" i="88"/>
  <c r="N80" i="88" s="1"/>
  <c r="B80" i="88"/>
  <c r="Z79" i="88"/>
  <c r="X79" i="88"/>
  <c r="V79" i="88"/>
  <c r="R79" i="88"/>
  <c r="N79" i="88"/>
  <c r="L79" i="88"/>
  <c r="B79" i="88"/>
  <c r="Z78" i="88"/>
  <c r="X78" i="88"/>
  <c r="L78" i="88"/>
  <c r="N78" i="88" s="1"/>
  <c r="B78" i="88"/>
  <c r="Z77" i="88"/>
  <c r="X77" i="88"/>
  <c r="R77" i="88"/>
  <c r="N77" i="88"/>
  <c r="L77" i="88"/>
  <c r="B77" i="88"/>
  <c r="Z76" i="88"/>
  <c r="X76" i="88"/>
  <c r="L76" i="88"/>
  <c r="N76" i="88" s="1"/>
  <c r="B76" i="88"/>
  <c r="V75" i="88"/>
  <c r="T75" i="88"/>
  <c r="R75" i="88"/>
  <c r="P75" i="88"/>
  <c r="X75" i="88" s="1"/>
  <c r="H75" i="88"/>
  <c r="D75" i="88"/>
  <c r="L75" i="88" s="1"/>
  <c r="B75" i="88"/>
  <c r="Z74" i="88"/>
  <c r="X74" i="88"/>
  <c r="N74" i="88"/>
  <c r="L74" i="88"/>
  <c r="B74" i="88"/>
  <c r="X73" i="88"/>
  <c r="T73" i="88"/>
  <c r="Z73" i="88" s="1"/>
  <c r="P73" i="88"/>
  <c r="N73" i="88"/>
  <c r="H73" i="88"/>
  <c r="D73" i="88"/>
  <c r="L73" i="88" s="1"/>
  <c r="B73" i="88"/>
  <c r="Z72" i="88"/>
  <c r="X72" i="88"/>
  <c r="L72" i="88"/>
  <c r="N72" i="88" s="1"/>
  <c r="B72" i="88"/>
  <c r="X71" i="88"/>
  <c r="Z71" i="88" s="1"/>
  <c r="N71" i="88"/>
  <c r="L71" i="88"/>
  <c r="B71" i="88"/>
  <c r="X70" i="88"/>
  <c r="Z70" i="88" s="1"/>
  <c r="N70" i="88"/>
  <c r="L70" i="88"/>
  <c r="J70" i="88"/>
  <c r="B70" i="88"/>
  <c r="X69" i="88"/>
  <c r="Z69" i="88" s="1"/>
  <c r="V69" i="88"/>
  <c r="T69" i="88"/>
  <c r="P69" i="88"/>
  <c r="H69" i="88"/>
  <c r="D69" i="88"/>
  <c r="B69" i="88"/>
  <c r="X68" i="88"/>
  <c r="Z68" i="88" s="1"/>
  <c r="L68" i="88"/>
  <c r="N68" i="88" s="1"/>
  <c r="B68" i="88"/>
  <c r="V67" i="88"/>
  <c r="T67" i="88"/>
  <c r="P67" i="88"/>
  <c r="H67" i="88"/>
  <c r="D67" i="88"/>
  <c r="L67" i="88" s="1"/>
  <c r="B67" i="88"/>
  <c r="X66" i="88"/>
  <c r="Z66" i="88" s="1"/>
  <c r="V66" i="88"/>
  <c r="R66" i="88"/>
  <c r="N66" i="88"/>
  <c r="L66" i="88"/>
  <c r="B66" i="88"/>
  <c r="X65" i="88"/>
  <c r="Z65" i="88" s="1"/>
  <c r="N65" i="88"/>
  <c r="L65" i="88"/>
  <c r="B65" i="88"/>
  <c r="X64" i="88"/>
  <c r="Z64" i="88" s="1"/>
  <c r="N64" i="88"/>
  <c r="L64" i="88"/>
  <c r="B64" i="88"/>
  <c r="Z63" i="88"/>
  <c r="T63" i="88"/>
  <c r="P63" i="88"/>
  <c r="X63" i="88" s="1"/>
  <c r="H63" i="88"/>
  <c r="D63" i="88"/>
  <c r="L63" i="88" s="1"/>
  <c r="B63" i="88"/>
  <c r="X62" i="88"/>
  <c r="Z62" i="88" s="1"/>
  <c r="N62" i="88"/>
  <c r="L62" i="88"/>
  <c r="B62" i="88"/>
  <c r="Z61" i="88"/>
  <c r="X61" i="88"/>
  <c r="T61" i="88"/>
  <c r="P61" i="88"/>
  <c r="L61" i="88"/>
  <c r="H61" i="88"/>
  <c r="D61" i="88"/>
  <c r="B61" i="88"/>
  <c r="X60" i="88"/>
  <c r="Z60" i="88" s="1"/>
  <c r="L60" i="88"/>
  <c r="N60" i="88" s="1"/>
  <c r="B60" i="88"/>
  <c r="T59" i="88"/>
  <c r="P59" i="88"/>
  <c r="H59" i="88"/>
  <c r="D59" i="88"/>
  <c r="L59" i="88" s="1"/>
  <c r="B59" i="88"/>
  <c r="X58" i="88"/>
  <c r="Z58" i="88" s="1"/>
  <c r="R58" i="88"/>
  <c r="L58" i="88"/>
  <c r="N58" i="88" s="1"/>
  <c r="B58" i="88"/>
  <c r="T57" i="88"/>
  <c r="P57" i="88"/>
  <c r="X57" i="88" s="1"/>
  <c r="H57" i="88"/>
  <c r="D57" i="88"/>
  <c r="L57" i="88" s="1"/>
  <c r="N57" i="88" s="1"/>
  <c r="B57" i="88"/>
  <c r="Z56" i="88"/>
  <c r="X56" i="88"/>
  <c r="N56" i="88"/>
  <c r="L56" i="88"/>
  <c r="B56" i="88"/>
  <c r="T55" i="88"/>
  <c r="P55" i="88"/>
  <c r="L55" i="88"/>
  <c r="N55" i="88" s="1"/>
  <c r="H55" i="88"/>
  <c r="D55" i="88"/>
  <c r="B55" i="88"/>
  <c r="Z54" i="88"/>
  <c r="X54" i="88"/>
  <c r="L54" i="88"/>
  <c r="N54" i="88" s="1"/>
  <c r="J54" i="88"/>
  <c r="B54" i="88"/>
  <c r="Z53" i="88"/>
  <c r="X53" i="88"/>
  <c r="L53" i="88"/>
  <c r="N53" i="88" s="1"/>
  <c r="B53" i="88"/>
  <c r="Z52" i="88"/>
  <c r="X52" i="88"/>
  <c r="T52" i="88"/>
  <c r="P52" i="88"/>
  <c r="J52" i="88"/>
  <c r="H52" i="88"/>
  <c r="D52" i="88"/>
  <c r="L52" i="88" s="1"/>
  <c r="N52" i="88" s="1"/>
  <c r="B52" i="88"/>
  <c r="Z51" i="88"/>
  <c r="X51" i="88"/>
  <c r="N51" i="88"/>
  <c r="L51" i="88"/>
  <c r="B51" i="88"/>
  <c r="V50" i="88"/>
  <c r="T50" i="88"/>
  <c r="Z50" i="88" s="1"/>
  <c r="P50" i="88"/>
  <c r="N50" i="88"/>
  <c r="H50" i="88"/>
  <c r="F50" i="88"/>
  <c r="D50" i="88"/>
  <c r="L50" i="88" s="1"/>
  <c r="B50" i="88"/>
  <c r="X49" i="88"/>
  <c r="Z49" i="88" s="1"/>
  <c r="N49" i="88"/>
  <c r="L49" i="88"/>
  <c r="F49" i="88"/>
  <c r="B49" i="88"/>
  <c r="T48" i="88"/>
  <c r="Z48" i="88" s="1"/>
  <c r="R48" i="88"/>
  <c r="P48" i="88"/>
  <c r="X48" i="88" s="1"/>
  <c r="L48" i="88"/>
  <c r="H48" i="88"/>
  <c r="N48" i="88" s="1"/>
  <c r="D48" i="88"/>
  <c r="B48" i="88"/>
  <c r="Z47" i="88"/>
  <c r="X47" i="88"/>
  <c r="V47" i="88"/>
  <c r="N47" i="88"/>
  <c r="L47" i="88"/>
  <c r="B47" i="88"/>
  <c r="T46" i="88"/>
  <c r="P46" i="88"/>
  <c r="X46" i="88" s="1"/>
  <c r="Z46" i="88" s="1"/>
  <c r="N46" i="88"/>
  <c r="L46" i="88"/>
  <c r="H46" i="88"/>
  <c r="D46" i="88"/>
  <c r="B46" i="88"/>
  <c r="Z45" i="88"/>
  <c r="X45" i="88"/>
  <c r="N45" i="88"/>
  <c r="L45" i="88"/>
  <c r="B45" i="88"/>
  <c r="Z44" i="88"/>
  <c r="X44" i="88"/>
  <c r="V44" i="88"/>
  <c r="N44" i="88"/>
  <c r="L44" i="88"/>
  <c r="B44" i="88"/>
  <c r="Z43" i="88"/>
  <c r="X43" i="88"/>
  <c r="N43" i="88"/>
  <c r="L43" i="88"/>
  <c r="B43" i="88"/>
  <c r="X42" i="88"/>
  <c r="Z42" i="88" s="1"/>
  <c r="V42" i="88"/>
  <c r="R42" i="88"/>
  <c r="L42" i="88"/>
  <c r="N42" i="88" s="1"/>
  <c r="B42" i="88"/>
  <c r="Z41" i="88"/>
  <c r="X41" i="88"/>
  <c r="N41" i="88"/>
  <c r="L41" i="88"/>
  <c r="B41" i="88"/>
  <c r="Z40" i="88"/>
  <c r="X40" i="88"/>
  <c r="V40" i="88"/>
  <c r="N40" i="88"/>
  <c r="L40" i="88"/>
  <c r="B40" i="88"/>
  <c r="Z39" i="88"/>
  <c r="X39" i="88"/>
  <c r="N39" i="88"/>
  <c r="L39" i="88"/>
  <c r="B39" i="88"/>
  <c r="Z38" i="88"/>
  <c r="X38" i="88"/>
  <c r="V38" i="88"/>
  <c r="R38" i="88"/>
  <c r="N38" i="88"/>
  <c r="L38" i="88"/>
  <c r="B38" i="88"/>
  <c r="X37" i="88"/>
  <c r="Z37" i="88" s="1"/>
  <c r="L37" i="88"/>
  <c r="N37" i="88" s="1"/>
  <c r="B37" i="88"/>
  <c r="Z36" i="88"/>
  <c r="X36" i="88"/>
  <c r="V36" i="88"/>
  <c r="N36" i="88"/>
  <c r="L36" i="88"/>
  <c r="F36" i="88"/>
  <c r="B36" i="88"/>
  <c r="Z35" i="88"/>
  <c r="T35" i="88"/>
  <c r="P35" i="88"/>
  <c r="X35" i="88" s="1"/>
  <c r="L35" i="88"/>
  <c r="J35" i="88"/>
  <c r="H35" i="88"/>
  <c r="N35" i="88" s="1"/>
  <c r="D35" i="88"/>
  <c r="B35" i="88"/>
  <c r="Z34" i="88"/>
  <c r="X34" i="88"/>
  <c r="N34" i="88"/>
  <c r="L34" i="88"/>
  <c r="B34" i="88"/>
  <c r="X33" i="88"/>
  <c r="Z33" i="88" s="1"/>
  <c r="V33" i="88"/>
  <c r="N33" i="88"/>
  <c r="L33" i="88"/>
  <c r="B33" i="88"/>
  <c r="Z32" i="88"/>
  <c r="X32" i="88"/>
  <c r="L32" i="88"/>
  <c r="N32" i="88" s="1"/>
  <c r="B32" i="88"/>
  <c r="X31" i="88"/>
  <c r="Z31" i="88" s="1"/>
  <c r="N31" i="88"/>
  <c r="L31" i="88"/>
  <c r="B31" i="88"/>
  <c r="X30" i="88"/>
  <c r="Z30" i="88" s="1"/>
  <c r="N30" i="88"/>
  <c r="L30" i="88"/>
  <c r="J30" i="88"/>
  <c r="F30" i="88"/>
  <c r="B30" i="88"/>
  <c r="X29" i="88"/>
  <c r="Z29" i="88" s="1"/>
  <c r="V29" i="88"/>
  <c r="N29" i="88"/>
  <c r="L29" i="88"/>
  <c r="B29" i="88"/>
  <c r="X28" i="88"/>
  <c r="Z28" i="88" s="1"/>
  <c r="R28" i="88"/>
  <c r="N28" i="88"/>
  <c r="L28" i="88"/>
  <c r="B28" i="88"/>
  <c r="X27" i="88"/>
  <c r="Z27" i="88" s="1"/>
  <c r="N27" i="88"/>
  <c r="L27" i="88"/>
  <c r="B27" i="88"/>
  <c r="X26" i="88"/>
  <c r="Z26" i="88" s="1"/>
  <c r="N26" i="88"/>
  <c r="L26" i="88"/>
  <c r="B26" i="88"/>
  <c r="Z25" i="88"/>
  <c r="X25" i="88"/>
  <c r="T25" i="88"/>
  <c r="P25" i="88"/>
  <c r="H25" i="88"/>
  <c r="F25" i="88"/>
  <c r="D25" i="88"/>
  <c r="B25" i="88"/>
  <c r="T24" i="88"/>
  <c r="P24" i="88"/>
  <c r="H24" i="88"/>
  <c r="D24" i="88"/>
  <c r="L24" i="88" s="1"/>
  <c r="Z20" i="88"/>
  <c r="X20" i="88"/>
  <c r="R20" i="88"/>
  <c r="N20" i="88"/>
  <c r="L20" i="88"/>
  <c r="B20" i="88"/>
  <c r="Z19" i="88"/>
  <c r="X19" i="88"/>
  <c r="N19" i="88"/>
  <c r="L19" i="88"/>
  <c r="J19" i="88"/>
  <c r="B19" i="88"/>
  <c r="Z18" i="88"/>
  <c r="X18" i="88"/>
  <c r="R18" i="88"/>
  <c r="L18" i="88"/>
  <c r="N18" i="88" s="1"/>
  <c r="B18" i="88"/>
  <c r="T17" i="88"/>
  <c r="P17" i="88"/>
  <c r="J17" i="88"/>
  <c r="H17" i="88"/>
  <c r="L17" i="88" s="1"/>
  <c r="D17" i="88"/>
  <c r="Z15" i="88"/>
  <c r="P15" i="88"/>
  <c r="X15" i="88" s="1"/>
  <c r="N15" i="88"/>
  <c r="D15" i="88"/>
  <c r="L15" i="88" s="1"/>
  <c r="B15" i="88"/>
  <c r="Z14" i="88"/>
  <c r="P14" i="88"/>
  <c r="X14" i="88" s="1"/>
  <c r="N14" i="88"/>
  <c r="D14" i="88"/>
  <c r="L14" i="88" s="1"/>
  <c r="B14" i="88"/>
  <c r="X13" i="88"/>
  <c r="Z13" i="88" s="1"/>
  <c r="P13" i="88"/>
  <c r="L13" i="88"/>
  <c r="N13" i="88" s="1"/>
  <c r="D13" i="88"/>
  <c r="D12" i="88" s="1"/>
  <c r="B13" i="88"/>
  <c r="X12" i="88"/>
  <c r="T12" i="88"/>
  <c r="V37" i="88" s="1"/>
  <c r="P12" i="88"/>
  <c r="R74" i="88" s="1"/>
  <c r="H12" i="88"/>
  <c r="J68" i="88" s="1"/>
  <c r="D6" i="88"/>
  <c r="D4" i="88"/>
  <c r="Z30" i="86"/>
  <c r="X30" i="86"/>
  <c r="V30" i="86"/>
  <c r="L30" i="86"/>
  <c r="N30" i="86" s="1"/>
  <c r="Z26" i="86"/>
  <c r="X26" i="86"/>
  <c r="T26" i="86"/>
  <c r="P26" i="86"/>
  <c r="N26" i="86"/>
  <c r="H26" i="86"/>
  <c r="D26" i="86"/>
  <c r="L26" i="86" s="1"/>
  <c r="X24" i="86"/>
  <c r="Z24" i="86" s="1"/>
  <c r="N24" i="86"/>
  <c r="L24" i="86"/>
  <c r="B24" i="86"/>
  <c r="T23" i="86"/>
  <c r="R23" i="86"/>
  <c r="P23" i="86"/>
  <c r="L23" i="86"/>
  <c r="H23" i="86"/>
  <c r="N23" i="86" s="1"/>
  <c r="D23" i="86"/>
  <c r="B23" i="86"/>
  <c r="T22" i="86"/>
  <c r="P22" i="86"/>
  <c r="H22" i="86"/>
  <c r="D22" i="86"/>
  <c r="L22" i="86" s="1"/>
  <c r="N22" i="86" s="1"/>
  <c r="V20" i="86"/>
  <c r="T20" i="86"/>
  <c r="Z18" i="86"/>
  <c r="X18" i="86"/>
  <c r="V18" i="86"/>
  <c r="N18" i="86"/>
  <c r="L18" i="86"/>
  <c r="B18" i="86"/>
  <c r="X17" i="86"/>
  <c r="Z17" i="86" s="1"/>
  <c r="V17" i="86"/>
  <c r="L17" i="86"/>
  <c r="N17" i="86" s="1"/>
  <c r="B17" i="86"/>
  <c r="Z16" i="86"/>
  <c r="V16" i="86"/>
  <c r="T16" i="86"/>
  <c r="P16" i="86"/>
  <c r="X16" i="86" s="1"/>
  <c r="J16" i="86"/>
  <c r="H16" i="86"/>
  <c r="D16" i="86"/>
  <c r="Z14" i="86"/>
  <c r="P14" i="86"/>
  <c r="X14" i="86" s="1"/>
  <c r="N14" i="86"/>
  <c r="D14" i="86"/>
  <c r="L14" i="86" s="1"/>
  <c r="B14" i="86"/>
  <c r="X13" i="86"/>
  <c r="Z13" i="86" s="1"/>
  <c r="P13" i="86"/>
  <c r="P12" i="86" s="1"/>
  <c r="R18" i="86" s="1"/>
  <c r="D13" i="86"/>
  <c r="L13" i="86" s="1"/>
  <c r="N13" i="86" s="1"/>
  <c r="B13" i="86"/>
  <c r="T12" i="86"/>
  <c r="H12" i="86"/>
  <c r="D12" i="86"/>
  <c r="D6" i="86"/>
  <c r="D4" i="86"/>
  <c r="Z124" i="85"/>
  <c r="X124" i="85"/>
  <c r="L124" i="85"/>
  <c r="N124" i="85" s="1"/>
  <c r="Z120" i="85"/>
  <c r="X120" i="85"/>
  <c r="T120" i="85"/>
  <c r="P120" i="85"/>
  <c r="N120" i="85"/>
  <c r="H120" i="85"/>
  <c r="D120" i="85"/>
  <c r="L120" i="85" s="1"/>
  <c r="X118" i="85"/>
  <c r="Z118" i="85" s="1"/>
  <c r="N118" i="85"/>
  <c r="L118" i="85"/>
  <c r="B118" i="85"/>
  <c r="T117" i="85"/>
  <c r="P117" i="85"/>
  <c r="L117" i="85"/>
  <c r="H117" i="85"/>
  <c r="D117" i="85"/>
  <c r="B117" i="85"/>
  <c r="Z116" i="85"/>
  <c r="X116" i="85"/>
  <c r="V116" i="85"/>
  <c r="L116" i="85"/>
  <c r="N116" i="85" s="1"/>
  <c r="J116" i="85"/>
  <c r="B116" i="85"/>
  <c r="T115" i="85"/>
  <c r="Z115" i="85" s="1"/>
  <c r="P115" i="85"/>
  <c r="X115" i="85" s="1"/>
  <c r="H115" i="85"/>
  <c r="N115" i="85" s="1"/>
  <c r="D115" i="85"/>
  <c r="L115" i="85" s="1"/>
  <c r="B115" i="85"/>
  <c r="Z114" i="85"/>
  <c r="X114" i="85"/>
  <c r="V114" i="85"/>
  <c r="N114" i="85"/>
  <c r="L114" i="85"/>
  <c r="B114" i="85"/>
  <c r="Z113" i="85"/>
  <c r="T113" i="85"/>
  <c r="P113" i="85"/>
  <c r="X113" i="85" s="1"/>
  <c r="N113" i="85"/>
  <c r="J113" i="85"/>
  <c r="H113" i="85"/>
  <c r="D113" i="85"/>
  <c r="L113" i="85" s="1"/>
  <c r="B113" i="85"/>
  <c r="Z112" i="85"/>
  <c r="X112" i="85"/>
  <c r="N112" i="85"/>
  <c r="L112" i="85"/>
  <c r="J112" i="85"/>
  <c r="B112" i="85"/>
  <c r="X111" i="85"/>
  <c r="Z111" i="85" s="1"/>
  <c r="L111" i="85"/>
  <c r="N111" i="85" s="1"/>
  <c r="B111" i="85"/>
  <c r="X110" i="85"/>
  <c r="Z110" i="85" s="1"/>
  <c r="T110" i="85"/>
  <c r="P110" i="85"/>
  <c r="H110" i="85"/>
  <c r="D110" i="85"/>
  <c r="L110" i="85" s="1"/>
  <c r="N110" i="85" s="1"/>
  <c r="B110" i="85"/>
  <c r="Z109" i="85"/>
  <c r="X109" i="85"/>
  <c r="N109" i="85"/>
  <c r="L109" i="85"/>
  <c r="B109" i="85"/>
  <c r="Z108" i="85"/>
  <c r="X108" i="85"/>
  <c r="V108" i="85"/>
  <c r="L108" i="85"/>
  <c r="N108" i="85" s="1"/>
  <c r="J108" i="85"/>
  <c r="B108" i="85"/>
  <c r="X107" i="85"/>
  <c r="Z107" i="85" s="1"/>
  <c r="L107" i="85"/>
  <c r="N107" i="85" s="1"/>
  <c r="J107" i="85"/>
  <c r="B107" i="85"/>
  <c r="Z106" i="85"/>
  <c r="X106" i="85"/>
  <c r="V106" i="85"/>
  <c r="L106" i="85"/>
  <c r="N106" i="85" s="1"/>
  <c r="B106" i="85"/>
  <c r="Z105" i="85"/>
  <c r="X105" i="85"/>
  <c r="L105" i="85"/>
  <c r="N105" i="85" s="1"/>
  <c r="B105" i="85"/>
  <c r="T104" i="85"/>
  <c r="P104" i="85"/>
  <c r="H104" i="85"/>
  <c r="D104" i="85"/>
  <c r="L104" i="85" s="1"/>
  <c r="N104" i="85" s="1"/>
  <c r="B104" i="85"/>
  <c r="X103" i="85"/>
  <c r="Z103" i="85" s="1"/>
  <c r="V103" i="85"/>
  <c r="L103" i="85"/>
  <c r="N103" i="85" s="1"/>
  <c r="B103" i="85"/>
  <c r="X102" i="85"/>
  <c r="Z102" i="85" s="1"/>
  <c r="V102" i="85"/>
  <c r="N102" i="85"/>
  <c r="L102" i="85"/>
  <c r="B102" i="85"/>
  <c r="T101" i="85"/>
  <c r="P101" i="85"/>
  <c r="X101" i="85" s="1"/>
  <c r="Z101" i="85" s="1"/>
  <c r="L101" i="85"/>
  <c r="N101" i="85" s="1"/>
  <c r="J101" i="85"/>
  <c r="H101" i="85"/>
  <c r="D101" i="85"/>
  <c r="B101" i="85"/>
  <c r="Z100" i="85"/>
  <c r="X100" i="85"/>
  <c r="N100" i="85"/>
  <c r="L100" i="85"/>
  <c r="J100" i="85"/>
  <c r="B100" i="85"/>
  <c r="X99" i="85"/>
  <c r="Z99" i="85" s="1"/>
  <c r="L99" i="85"/>
  <c r="N99" i="85" s="1"/>
  <c r="B99" i="85"/>
  <c r="X98" i="85"/>
  <c r="Z98" i="85" s="1"/>
  <c r="N98" i="85"/>
  <c r="L98" i="85"/>
  <c r="B98" i="85"/>
  <c r="T97" i="85"/>
  <c r="P97" i="85"/>
  <c r="L97" i="85"/>
  <c r="H97" i="85"/>
  <c r="N97" i="85" s="1"/>
  <c r="D97" i="85"/>
  <c r="B97" i="85"/>
  <c r="Z96" i="85"/>
  <c r="X96" i="85"/>
  <c r="V96" i="85"/>
  <c r="L96" i="85"/>
  <c r="N96" i="85" s="1"/>
  <c r="J96" i="85"/>
  <c r="B96" i="85"/>
  <c r="X95" i="85"/>
  <c r="Z95" i="85" s="1"/>
  <c r="L95" i="85"/>
  <c r="N95" i="85" s="1"/>
  <c r="J95" i="85"/>
  <c r="B95" i="85"/>
  <c r="V94" i="85"/>
  <c r="T94" i="85"/>
  <c r="P94" i="85"/>
  <c r="X94" i="85" s="1"/>
  <c r="Z94" i="85" s="1"/>
  <c r="H94" i="85"/>
  <c r="D94" i="85"/>
  <c r="B94" i="85"/>
  <c r="X93" i="85"/>
  <c r="Z93" i="85" s="1"/>
  <c r="L93" i="85"/>
  <c r="N93" i="85" s="1"/>
  <c r="B93" i="85"/>
  <c r="V92" i="85"/>
  <c r="T92" i="85"/>
  <c r="X92" i="85" s="1"/>
  <c r="P92" i="85"/>
  <c r="H92" i="85"/>
  <c r="D92" i="85"/>
  <c r="L92" i="85" s="1"/>
  <c r="B92" i="85"/>
  <c r="X91" i="85"/>
  <c r="Z91" i="85" s="1"/>
  <c r="N91" i="85"/>
  <c r="L91" i="85"/>
  <c r="B91" i="85"/>
  <c r="Z90" i="85"/>
  <c r="X90" i="85"/>
  <c r="T90" i="85"/>
  <c r="P90" i="85"/>
  <c r="N90" i="85"/>
  <c r="H90" i="85"/>
  <c r="D90" i="85"/>
  <c r="L90" i="85" s="1"/>
  <c r="B90" i="85"/>
  <c r="Z89" i="85"/>
  <c r="X89" i="85"/>
  <c r="L89" i="85"/>
  <c r="N89" i="85" s="1"/>
  <c r="B89" i="85"/>
  <c r="T88" i="85"/>
  <c r="P88" i="85"/>
  <c r="H88" i="85"/>
  <c r="D88" i="85"/>
  <c r="L88" i="85" s="1"/>
  <c r="N88" i="85" s="1"/>
  <c r="B88" i="85"/>
  <c r="X87" i="85"/>
  <c r="Z87" i="85" s="1"/>
  <c r="V87" i="85"/>
  <c r="L87" i="85"/>
  <c r="N87" i="85" s="1"/>
  <c r="B87" i="85"/>
  <c r="V86" i="85"/>
  <c r="T86" i="85"/>
  <c r="P86" i="85"/>
  <c r="X86" i="85" s="1"/>
  <c r="J86" i="85"/>
  <c r="H86" i="85"/>
  <c r="L86" i="85" s="1"/>
  <c r="D86" i="85"/>
  <c r="B86" i="85"/>
  <c r="X85" i="85"/>
  <c r="Z85" i="85" s="1"/>
  <c r="V85" i="85"/>
  <c r="N85" i="85"/>
  <c r="L85" i="85"/>
  <c r="B85" i="85"/>
  <c r="T84" i="85"/>
  <c r="P84" i="85"/>
  <c r="X84" i="85" s="1"/>
  <c r="Z84" i="85" s="1"/>
  <c r="N84" i="85"/>
  <c r="L84" i="85"/>
  <c r="H84" i="85"/>
  <c r="D84" i="85"/>
  <c r="B84" i="85"/>
  <c r="X83" i="85"/>
  <c r="Z83" i="85" s="1"/>
  <c r="L83" i="85"/>
  <c r="N83" i="85" s="1"/>
  <c r="J83" i="85"/>
  <c r="B83" i="85"/>
  <c r="V82" i="85"/>
  <c r="T82" i="85"/>
  <c r="P82" i="85"/>
  <c r="X82" i="85" s="1"/>
  <c r="Z82" i="85" s="1"/>
  <c r="H82" i="85"/>
  <c r="J82" i="85" s="1"/>
  <c r="D82" i="85"/>
  <c r="B82" i="85"/>
  <c r="X81" i="85"/>
  <c r="Z81" i="85" s="1"/>
  <c r="L81" i="85"/>
  <c r="N81" i="85" s="1"/>
  <c r="B81" i="85"/>
  <c r="V80" i="85"/>
  <c r="T80" i="85"/>
  <c r="X80" i="85" s="1"/>
  <c r="P80" i="85"/>
  <c r="H80" i="85"/>
  <c r="N80" i="85" s="1"/>
  <c r="D80" i="85"/>
  <c r="L80" i="85" s="1"/>
  <c r="B80" i="85"/>
  <c r="X79" i="85"/>
  <c r="Z79" i="85" s="1"/>
  <c r="L79" i="85"/>
  <c r="N79" i="85" s="1"/>
  <c r="B79" i="85"/>
  <c r="X78" i="85"/>
  <c r="Z78" i="85" s="1"/>
  <c r="T78" i="85"/>
  <c r="P78" i="85"/>
  <c r="H78" i="85"/>
  <c r="D78" i="85"/>
  <c r="L78" i="85" s="1"/>
  <c r="N78" i="85" s="1"/>
  <c r="B78" i="85"/>
  <c r="Z77" i="85"/>
  <c r="X77" i="85"/>
  <c r="L77" i="85"/>
  <c r="N77" i="85" s="1"/>
  <c r="B77" i="85"/>
  <c r="V76" i="85"/>
  <c r="T76" i="85"/>
  <c r="P76" i="85"/>
  <c r="N76" i="85"/>
  <c r="H76" i="85"/>
  <c r="D76" i="85"/>
  <c r="L76" i="85" s="1"/>
  <c r="B76" i="85"/>
  <c r="X75" i="85"/>
  <c r="Z75" i="85" s="1"/>
  <c r="V75" i="85"/>
  <c r="L75" i="85"/>
  <c r="N75" i="85" s="1"/>
  <c r="B75" i="85"/>
  <c r="Z74" i="85"/>
  <c r="X74" i="85"/>
  <c r="V74" i="85"/>
  <c r="N74" i="85"/>
  <c r="L74" i="85"/>
  <c r="B74" i="85"/>
  <c r="T73" i="85"/>
  <c r="P73" i="85"/>
  <c r="X73" i="85" s="1"/>
  <c r="Z73" i="85" s="1"/>
  <c r="L73" i="85"/>
  <c r="N73" i="85" s="1"/>
  <c r="J73" i="85"/>
  <c r="H73" i="85"/>
  <c r="D73" i="85"/>
  <c r="B73" i="85"/>
  <c r="Z72" i="85"/>
  <c r="X72" i="85"/>
  <c r="N72" i="85"/>
  <c r="L72" i="85"/>
  <c r="J72" i="85"/>
  <c r="B72" i="85"/>
  <c r="X71" i="85"/>
  <c r="T71" i="85"/>
  <c r="Z71" i="85" s="1"/>
  <c r="P71" i="85"/>
  <c r="H71" i="85"/>
  <c r="D71" i="85"/>
  <c r="B71" i="85"/>
  <c r="Z70" i="85"/>
  <c r="X70" i="85"/>
  <c r="V70" i="85"/>
  <c r="N70" i="85"/>
  <c r="L70" i="85"/>
  <c r="J70" i="85"/>
  <c r="B70" i="85"/>
  <c r="Z69" i="85"/>
  <c r="X69" i="85"/>
  <c r="N69" i="85"/>
  <c r="L69" i="85"/>
  <c r="B69" i="85"/>
  <c r="Z68" i="85"/>
  <c r="X68" i="85"/>
  <c r="V68" i="85"/>
  <c r="N68" i="85"/>
  <c r="L68" i="85"/>
  <c r="J68" i="85"/>
  <c r="B68" i="85"/>
  <c r="X67" i="85"/>
  <c r="Z67" i="85" s="1"/>
  <c r="V67" i="85"/>
  <c r="L67" i="85"/>
  <c r="N67" i="85" s="1"/>
  <c r="J67" i="85"/>
  <c r="B67" i="85"/>
  <c r="Z66" i="85"/>
  <c r="X66" i="85"/>
  <c r="V66" i="85"/>
  <c r="N66" i="85"/>
  <c r="L66" i="85"/>
  <c r="J66" i="85"/>
  <c r="B66" i="85"/>
  <c r="Z65" i="85"/>
  <c r="X65" i="85"/>
  <c r="N65" i="85"/>
  <c r="L65" i="85"/>
  <c r="B65" i="85"/>
  <c r="Z64" i="85"/>
  <c r="X64" i="85"/>
  <c r="V64" i="85"/>
  <c r="L64" i="85"/>
  <c r="N64" i="85" s="1"/>
  <c r="J64" i="85"/>
  <c r="B64" i="85"/>
  <c r="Z63" i="85"/>
  <c r="X63" i="85"/>
  <c r="V63" i="85"/>
  <c r="N63" i="85"/>
  <c r="L63" i="85"/>
  <c r="J63" i="85"/>
  <c r="B63" i="85"/>
  <c r="Z62" i="85"/>
  <c r="X62" i="85"/>
  <c r="V62" i="85"/>
  <c r="L62" i="85"/>
  <c r="N62" i="85" s="1"/>
  <c r="J62" i="85"/>
  <c r="B62" i="85"/>
  <c r="Z61" i="85"/>
  <c r="X61" i="85"/>
  <c r="V61" i="85"/>
  <c r="N61" i="85"/>
  <c r="L61" i="85"/>
  <c r="B61" i="85"/>
  <c r="V60" i="85"/>
  <c r="T60" i="85"/>
  <c r="P60" i="85"/>
  <c r="H60" i="85"/>
  <c r="D60" i="85"/>
  <c r="L60" i="85" s="1"/>
  <c r="N60" i="85" s="1"/>
  <c r="B60" i="85"/>
  <c r="Z59" i="85"/>
  <c r="X59" i="85"/>
  <c r="V59" i="85"/>
  <c r="N59" i="85"/>
  <c r="L59" i="85"/>
  <c r="B59" i="85"/>
  <c r="X58" i="85"/>
  <c r="Z58" i="85" s="1"/>
  <c r="V58" i="85"/>
  <c r="L58" i="85"/>
  <c r="N58" i="85" s="1"/>
  <c r="B58" i="85"/>
  <c r="X57" i="85"/>
  <c r="Z57" i="85" s="1"/>
  <c r="L57" i="85"/>
  <c r="N57" i="85" s="1"/>
  <c r="B57" i="85"/>
  <c r="Z56" i="85"/>
  <c r="X56" i="85"/>
  <c r="V56" i="85"/>
  <c r="N56" i="85"/>
  <c r="L56" i="85"/>
  <c r="B56" i="85"/>
  <c r="X55" i="85"/>
  <c r="Z55" i="85" s="1"/>
  <c r="V55" i="85"/>
  <c r="L55" i="85"/>
  <c r="N55" i="85" s="1"/>
  <c r="B55" i="85"/>
  <c r="X54" i="85"/>
  <c r="Z54" i="85" s="1"/>
  <c r="V54" i="85"/>
  <c r="L54" i="85"/>
  <c r="N54" i="85" s="1"/>
  <c r="B54" i="85"/>
  <c r="X53" i="85"/>
  <c r="Z53" i="85" s="1"/>
  <c r="L53" i="85"/>
  <c r="N53" i="85" s="1"/>
  <c r="B53" i="85"/>
  <c r="X52" i="85"/>
  <c r="Z52" i="85" s="1"/>
  <c r="V52" i="85"/>
  <c r="N52" i="85"/>
  <c r="L52" i="85"/>
  <c r="B52" i="85"/>
  <c r="X51" i="85"/>
  <c r="Z51" i="85" s="1"/>
  <c r="V51" i="85"/>
  <c r="L51" i="85"/>
  <c r="N51" i="85" s="1"/>
  <c r="B51" i="85"/>
  <c r="V50" i="85"/>
  <c r="T50" i="85"/>
  <c r="P50" i="85"/>
  <c r="X50" i="85" s="1"/>
  <c r="J50" i="85"/>
  <c r="H50" i="85"/>
  <c r="L50" i="85" s="1"/>
  <c r="D50" i="85"/>
  <c r="B50" i="85"/>
  <c r="T49" i="85"/>
  <c r="P49" i="85"/>
  <c r="H49" i="85"/>
  <c r="D49" i="85"/>
  <c r="L49" i="85" s="1"/>
  <c r="T47" i="85"/>
  <c r="Z45" i="85"/>
  <c r="X45" i="85"/>
  <c r="V45" i="85"/>
  <c r="N45" i="85"/>
  <c r="L45" i="85"/>
  <c r="B45" i="85"/>
  <c r="Z44" i="85"/>
  <c r="X44" i="85"/>
  <c r="V44" i="85"/>
  <c r="N44" i="85"/>
  <c r="L44" i="85"/>
  <c r="J44" i="85"/>
  <c r="B44" i="85"/>
  <c r="Z43" i="85"/>
  <c r="X43" i="85"/>
  <c r="V43" i="85"/>
  <c r="N43" i="85"/>
  <c r="L43" i="85"/>
  <c r="B43" i="85"/>
  <c r="Z42" i="85"/>
  <c r="X42" i="85"/>
  <c r="N42" i="85"/>
  <c r="L42" i="85"/>
  <c r="B42" i="85"/>
  <c r="Z41" i="85"/>
  <c r="X41" i="85"/>
  <c r="V41" i="85"/>
  <c r="N41" i="85"/>
  <c r="L41" i="85"/>
  <c r="B41" i="85"/>
  <c r="Z40" i="85"/>
  <c r="X40" i="85"/>
  <c r="V40" i="85"/>
  <c r="N40" i="85"/>
  <c r="L40" i="85"/>
  <c r="J40" i="85"/>
  <c r="B40" i="85"/>
  <c r="Z39" i="85"/>
  <c r="X39" i="85"/>
  <c r="V39" i="85"/>
  <c r="N39" i="85"/>
  <c r="L39" i="85"/>
  <c r="B39" i="85"/>
  <c r="Z38" i="85"/>
  <c r="X38" i="85"/>
  <c r="N38" i="85"/>
  <c r="L38" i="85"/>
  <c r="B38" i="85"/>
  <c r="Z37" i="85"/>
  <c r="X37" i="85"/>
  <c r="V37" i="85"/>
  <c r="N37" i="85"/>
  <c r="L37" i="85"/>
  <c r="B37" i="85"/>
  <c r="Z36" i="85"/>
  <c r="X36" i="85"/>
  <c r="V36" i="85"/>
  <c r="N36" i="85"/>
  <c r="L36" i="85"/>
  <c r="J36" i="85"/>
  <c r="B36" i="85"/>
  <c r="Z35" i="85"/>
  <c r="X35" i="85"/>
  <c r="V35" i="85"/>
  <c r="N35" i="85"/>
  <c r="L35" i="85"/>
  <c r="B35" i="85"/>
  <c r="Z34" i="85"/>
  <c r="X34" i="85"/>
  <c r="N34" i="85"/>
  <c r="L34" i="85"/>
  <c r="B34" i="85"/>
  <c r="X33" i="85"/>
  <c r="Z33" i="85" s="1"/>
  <c r="V33" i="85"/>
  <c r="N33" i="85"/>
  <c r="L33" i="85"/>
  <c r="B33" i="85"/>
  <c r="V32" i="85"/>
  <c r="T32" i="85"/>
  <c r="P32" i="85"/>
  <c r="X32" i="85" s="1"/>
  <c r="Z32" i="85" s="1"/>
  <c r="N32" i="85"/>
  <c r="L32" i="85"/>
  <c r="H32" i="85"/>
  <c r="D32" i="85"/>
  <c r="Z30" i="85"/>
  <c r="P30" i="85"/>
  <c r="X30" i="85" s="1"/>
  <c r="N30" i="85"/>
  <c r="L30" i="85"/>
  <c r="D30" i="85"/>
  <c r="B30" i="85"/>
  <c r="Z29" i="85"/>
  <c r="P29" i="85"/>
  <c r="X29" i="85" s="1"/>
  <c r="N29" i="85"/>
  <c r="D29" i="85"/>
  <c r="L29" i="85" s="1"/>
  <c r="B29" i="85"/>
  <c r="Z28" i="85"/>
  <c r="P28" i="85"/>
  <c r="X28" i="85" s="1"/>
  <c r="N28" i="85"/>
  <c r="D28" i="85"/>
  <c r="L28" i="85" s="1"/>
  <c r="B28" i="85"/>
  <c r="Z27" i="85"/>
  <c r="X27" i="85"/>
  <c r="P27" i="85"/>
  <c r="N27" i="85"/>
  <c r="D27" i="85"/>
  <c r="L27" i="85" s="1"/>
  <c r="B27" i="85"/>
  <c r="Z26" i="85"/>
  <c r="P26" i="85"/>
  <c r="X26" i="85" s="1"/>
  <c r="N26" i="85"/>
  <c r="D26" i="85"/>
  <c r="L26" i="85" s="1"/>
  <c r="B26" i="85"/>
  <c r="Z25" i="85"/>
  <c r="X25" i="85"/>
  <c r="P25" i="85"/>
  <c r="N25" i="85"/>
  <c r="D25" i="85"/>
  <c r="L25" i="85" s="1"/>
  <c r="B25" i="85"/>
  <c r="Z24" i="85"/>
  <c r="X24" i="85"/>
  <c r="P24" i="85"/>
  <c r="N24" i="85"/>
  <c r="L24" i="85"/>
  <c r="D24" i="85"/>
  <c r="B24" i="85"/>
  <c r="Z23" i="85"/>
  <c r="X23" i="85"/>
  <c r="P23" i="85"/>
  <c r="N23" i="85"/>
  <c r="D23" i="85"/>
  <c r="L23" i="85" s="1"/>
  <c r="B23" i="85"/>
  <c r="Z22" i="85"/>
  <c r="P22" i="85"/>
  <c r="X22" i="85" s="1"/>
  <c r="N22" i="85"/>
  <c r="L22" i="85"/>
  <c r="D22" i="85"/>
  <c r="B22" i="85"/>
  <c r="Z21" i="85"/>
  <c r="X21" i="85"/>
  <c r="P21" i="85"/>
  <c r="N21" i="85"/>
  <c r="L21" i="85"/>
  <c r="D21" i="85"/>
  <c r="B21" i="85"/>
  <c r="Z20" i="85"/>
  <c r="P20" i="85"/>
  <c r="X20" i="85" s="1"/>
  <c r="N20" i="85"/>
  <c r="L20" i="85"/>
  <c r="D20" i="85"/>
  <c r="B20" i="85"/>
  <c r="Z19" i="85"/>
  <c r="X19" i="85"/>
  <c r="P19" i="85"/>
  <c r="N19" i="85"/>
  <c r="D19" i="85"/>
  <c r="L19" i="85" s="1"/>
  <c r="B19" i="85"/>
  <c r="Z18" i="85"/>
  <c r="P18" i="85"/>
  <c r="X18" i="85" s="1"/>
  <c r="N18" i="85"/>
  <c r="L18" i="85"/>
  <c r="D18" i="85"/>
  <c r="B18" i="85"/>
  <c r="Z17" i="85"/>
  <c r="P17" i="85"/>
  <c r="X17" i="85" s="1"/>
  <c r="N17" i="85"/>
  <c r="D17" i="85"/>
  <c r="L17" i="85" s="1"/>
  <c r="B17" i="85"/>
  <c r="Z16" i="85"/>
  <c r="P16" i="85"/>
  <c r="X16" i="85" s="1"/>
  <c r="N16" i="85"/>
  <c r="D16" i="85"/>
  <c r="L16" i="85" s="1"/>
  <c r="B16" i="85"/>
  <c r="Z15" i="85"/>
  <c r="X15" i="85"/>
  <c r="P15" i="85"/>
  <c r="N15" i="85"/>
  <c r="D15" i="85"/>
  <c r="L15" i="85" s="1"/>
  <c r="B15" i="85"/>
  <c r="Z14" i="85"/>
  <c r="P14" i="85"/>
  <c r="N14" i="85"/>
  <c r="D14" i="85"/>
  <c r="L14" i="85" s="1"/>
  <c r="B14" i="85"/>
  <c r="X13" i="85"/>
  <c r="Z13" i="85" s="1"/>
  <c r="P13" i="85"/>
  <c r="D13" i="85"/>
  <c r="B13" i="85"/>
  <c r="T12" i="85"/>
  <c r="V109" i="85" s="1"/>
  <c r="H12" i="85"/>
  <c r="J115" i="85" s="1"/>
  <c r="D6" i="85"/>
  <c r="D4" i="85"/>
  <c r="Z94" i="84"/>
  <c r="X94" i="84"/>
  <c r="L94" i="84"/>
  <c r="N94" i="84" s="1"/>
  <c r="Z90" i="84"/>
  <c r="T90" i="84"/>
  <c r="P90" i="84"/>
  <c r="X90" i="84" s="1"/>
  <c r="N90" i="84"/>
  <c r="L90" i="84"/>
  <c r="H90" i="84"/>
  <c r="D90" i="84"/>
  <c r="Z88" i="84"/>
  <c r="X88" i="84"/>
  <c r="N88" i="84"/>
  <c r="L88" i="84"/>
  <c r="B88" i="84"/>
  <c r="X87" i="84"/>
  <c r="T87" i="84"/>
  <c r="Z87" i="84" s="1"/>
  <c r="P87" i="84"/>
  <c r="H87" i="84"/>
  <c r="D87" i="84"/>
  <c r="B87" i="84"/>
  <c r="Z86" i="84"/>
  <c r="X86" i="84"/>
  <c r="N86" i="84"/>
  <c r="L86" i="84"/>
  <c r="B86" i="84"/>
  <c r="Z85" i="84"/>
  <c r="T85" i="84"/>
  <c r="P85" i="84"/>
  <c r="X85" i="84" s="1"/>
  <c r="H85" i="84"/>
  <c r="D85" i="84"/>
  <c r="L85" i="84" s="1"/>
  <c r="B85" i="84"/>
  <c r="X84" i="84"/>
  <c r="Z84" i="84" s="1"/>
  <c r="N84" i="84"/>
  <c r="L84" i="84"/>
  <c r="B84" i="84"/>
  <c r="T83" i="84"/>
  <c r="P83" i="84"/>
  <c r="X83" i="84" s="1"/>
  <c r="Z83" i="84" s="1"/>
  <c r="H83" i="84"/>
  <c r="D83" i="84"/>
  <c r="L83" i="84" s="1"/>
  <c r="B83" i="84"/>
  <c r="X82" i="84"/>
  <c r="Z82" i="84" s="1"/>
  <c r="N82" i="84"/>
  <c r="L82" i="84"/>
  <c r="B82" i="84"/>
  <c r="Z81" i="84"/>
  <c r="X81" i="84"/>
  <c r="N81" i="84"/>
  <c r="L81" i="84"/>
  <c r="B81" i="84"/>
  <c r="Z80" i="84"/>
  <c r="X80" i="84"/>
  <c r="N80" i="84"/>
  <c r="L80" i="84"/>
  <c r="B80" i="84"/>
  <c r="Z79" i="84"/>
  <c r="X79" i="84"/>
  <c r="N79" i="84"/>
  <c r="L79" i="84"/>
  <c r="B79" i="84"/>
  <c r="X78" i="84"/>
  <c r="Z78" i="84" s="1"/>
  <c r="N78" i="84"/>
  <c r="L78" i="84"/>
  <c r="B78" i="84"/>
  <c r="X77" i="84"/>
  <c r="Z77" i="84" s="1"/>
  <c r="N77" i="84"/>
  <c r="L77" i="84"/>
  <c r="B77" i="84"/>
  <c r="Z76" i="84"/>
  <c r="X76" i="84"/>
  <c r="N76" i="84"/>
  <c r="L76" i="84"/>
  <c r="B76" i="84"/>
  <c r="X75" i="84"/>
  <c r="T75" i="84"/>
  <c r="Z75" i="84" s="1"/>
  <c r="P75" i="84"/>
  <c r="L75" i="84"/>
  <c r="H75" i="84"/>
  <c r="D75" i="84"/>
  <c r="B75" i="84"/>
  <c r="Z74" i="84"/>
  <c r="X74" i="84"/>
  <c r="N74" i="84"/>
  <c r="L74" i="84"/>
  <c r="B74" i="84"/>
  <c r="T73" i="84"/>
  <c r="P73" i="84"/>
  <c r="H73" i="84"/>
  <c r="D73" i="84"/>
  <c r="L73" i="84" s="1"/>
  <c r="B73" i="84"/>
  <c r="X72" i="84"/>
  <c r="Z72" i="84" s="1"/>
  <c r="N72" i="84"/>
  <c r="L72" i="84"/>
  <c r="B72" i="84"/>
  <c r="X71" i="84"/>
  <c r="Z71" i="84" s="1"/>
  <c r="V71" i="84"/>
  <c r="L71" i="84"/>
  <c r="N71" i="84" s="1"/>
  <c r="B71" i="84"/>
  <c r="Z70" i="84"/>
  <c r="X70" i="84"/>
  <c r="N70" i="84"/>
  <c r="L70" i="84"/>
  <c r="B70" i="84"/>
  <c r="Z69" i="84"/>
  <c r="X69" i="84"/>
  <c r="N69" i="84"/>
  <c r="L69" i="84"/>
  <c r="B69" i="84"/>
  <c r="T68" i="84"/>
  <c r="X68" i="84" s="1"/>
  <c r="P68" i="84"/>
  <c r="H68" i="84"/>
  <c r="D68" i="84"/>
  <c r="L68" i="84" s="1"/>
  <c r="B68" i="84"/>
  <c r="X67" i="84"/>
  <c r="Z67" i="84" s="1"/>
  <c r="L67" i="84"/>
  <c r="N67" i="84" s="1"/>
  <c r="B67" i="84"/>
  <c r="Z66" i="84"/>
  <c r="X66" i="84"/>
  <c r="N66" i="84"/>
  <c r="L66" i="84"/>
  <c r="B66" i="84"/>
  <c r="T65" i="84"/>
  <c r="R65" i="84"/>
  <c r="P65" i="84"/>
  <c r="H65" i="84"/>
  <c r="D65" i="84"/>
  <c r="B65" i="84"/>
  <c r="X64" i="84"/>
  <c r="Z64" i="84" s="1"/>
  <c r="L64" i="84"/>
  <c r="N64" i="84" s="1"/>
  <c r="J64" i="84"/>
  <c r="B64" i="84"/>
  <c r="T63" i="84"/>
  <c r="P63" i="84"/>
  <c r="X63" i="84" s="1"/>
  <c r="H63" i="84"/>
  <c r="D63" i="84"/>
  <c r="B63" i="84"/>
  <c r="Z62" i="84"/>
  <c r="X62" i="84"/>
  <c r="N62" i="84"/>
  <c r="L62" i="84"/>
  <c r="B62" i="84"/>
  <c r="X61" i="84"/>
  <c r="T61" i="84"/>
  <c r="P61" i="84"/>
  <c r="J61" i="84"/>
  <c r="H61" i="84"/>
  <c r="D61" i="84"/>
  <c r="L61" i="84" s="1"/>
  <c r="N61" i="84" s="1"/>
  <c r="B61" i="84"/>
  <c r="Z60" i="84"/>
  <c r="X60" i="84"/>
  <c r="N60" i="84"/>
  <c r="L60" i="84"/>
  <c r="J60" i="84"/>
  <c r="B60" i="84"/>
  <c r="T59" i="84"/>
  <c r="P59" i="84"/>
  <c r="H59" i="84"/>
  <c r="D59" i="84"/>
  <c r="B59" i="84"/>
  <c r="Z58" i="84"/>
  <c r="X58" i="84"/>
  <c r="N58" i="84"/>
  <c r="L58" i="84"/>
  <c r="B58" i="84"/>
  <c r="Z57" i="84"/>
  <c r="T57" i="84"/>
  <c r="P57" i="84"/>
  <c r="X57" i="84" s="1"/>
  <c r="H57" i="84"/>
  <c r="D57" i="84"/>
  <c r="B57" i="84"/>
  <c r="X56" i="84"/>
  <c r="Z56" i="84" s="1"/>
  <c r="N56" i="84"/>
  <c r="L56" i="84"/>
  <c r="B56" i="84"/>
  <c r="T55" i="84"/>
  <c r="P55" i="84"/>
  <c r="X55" i="84" s="1"/>
  <c r="Z55" i="84" s="1"/>
  <c r="L55" i="84"/>
  <c r="H55" i="84"/>
  <c r="D55" i="84"/>
  <c r="B55" i="84"/>
  <c r="X54" i="84"/>
  <c r="Z54" i="84" s="1"/>
  <c r="N54" i="84"/>
  <c r="L54" i="84"/>
  <c r="B54" i="84"/>
  <c r="X53" i="84"/>
  <c r="Z53" i="84" s="1"/>
  <c r="N53" i="84"/>
  <c r="L53" i="84"/>
  <c r="B53" i="84"/>
  <c r="Z52" i="84"/>
  <c r="V52" i="84"/>
  <c r="T52" i="84"/>
  <c r="P52" i="84"/>
  <c r="X52" i="84" s="1"/>
  <c r="N52" i="84"/>
  <c r="L52" i="84"/>
  <c r="H52" i="84"/>
  <c r="D52" i="84"/>
  <c r="B52" i="84"/>
  <c r="X51" i="84"/>
  <c r="Z51" i="84" s="1"/>
  <c r="L51" i="84"/>
  <c r="N51" i="84" s="1"/>
  <c r="B51" i="84"/>
  <c r="Z50" i="84"/>
  <c r="X50" i="84"/>
  <c r="T50" i="84"/>
  <c r="P50" i="84"/>
  <c r="H50" i="84"/>
  <c r="D50" i="84"/>
  <c r="B50" i="84"/>
  <c r="X49" i="84"/>
  <c r="Z49" i="84" s="1"/>
  <c r="L49" i="84"/>
  <c r="N49" i="84" s="1"/>
  <c r="B49" i="84"/>
  <c r="T48" i="84"/>
  <c r="X48" i="84" s="1"/>
  <c r="P48" i="84"/>
  <c r="H48" i="84"/>
  <c r="D48" i="84"/>
  <c r="B48" i="84"/>
  <c r="X47" i="84"/>
  <c r="Z47" i="84" s="1"/>
  <c r="L47" i="84"/>
  <c r="N47" i="84" s="1"/>
  <c r="B47" i="84"/>
  <c r="Z46" i="84"/>
  <c r="X46" i="84"/>
  <c r="T46" i="84"/>
  <c r="P46" i="84"/>
  <c r="N46" i="84"/>
  <c r="H46" i="84"/>
  <c r="D46" i="84"/>
  <c r="L46" i="84" s="1"/>
  <c r="B46" i="84"/>
  <c r="Z45" i="84"/>
  <c r="X45" i="84"/>
  <c r="N45" i="84"/>
  <c r="L45" i="84"/>
  <c r="B45" i="84"/>
  <c r="Z44" i="84"/>
  <c r="X44" i="84"/>
  <c r="N44" i="84"/>
  <c r="L44" i="84"/>
  <c r="J44" i="84"/>
  <c r="B44" i="84"/>
  <c r="X43" i="84"/>
  <c r="Z43" i="84" s="1"/>
  <c r="N43" i="84"/>
  <c r="L43" i="84"/>
  <c r="B43" i="84"/>
  <c r="Z42" i="84"/>
  <c r="X42" i="84"/>
  <c r="N42" i="84"/>
  <c r="L42" i="84"/>
  <c r="B42" i="84"/>
  <c r="Z41" i="84"/>
  <c r="X41" i="84"/>
  <c r="N41" i="84"/>
  <c r="L41" i="84"/>
  <c r="B41" i="84"/>
  <c r="X40" i="84"/>
  <c r="Z40" i="84" s="1"/>
  <c r="L40" i="84"/>
  <c r="N40" i="84" s="1"/>
  <c r="J40" i="84"/>
  <c r="B40" i="84"/>
  <c r="Z39" i="84"/>
  <c r="X39" i="84"/>
  <c r="N39" i="84"/>
  <c r="L39" i="84"/>
  <c r="J39" i="84"/>
  <c r="B39" i="84"/>
  <c r="Z38" i="84"/>
  <c r="X38" i="84"/>
  <c r="N38" i="84"/>
  <c r="L38" i="84"/>
  <c r="B38" i="84"/>
  <c r="Z37" i="84"/>
  <c r="X37" i="84"/>
  <c r="L37" i="84"/>
  <c r="N37" i="84" s="1"/>
  <c r="B37" i="84"/>
  <c r="Z36" i="84"/>
  <c r="X36" i="84"/>
  <c r="N36" i="84"/>
  <c r="L36" i="84"/>
  <c r="B36" i="84"/>
  <c r="T35" i="84"/>
  <c r="P35" i="84"/>
  <c r="H35" i="84"/>
  <c r="D35" i="84"/>
  <c r="B35" i="84"/>
  <c r="Z34" i="84"/>
  <c r="X34" i="84"/>
  <c r="N34" i="84"/>
  <c r="L34" i="84"/>
  <c r="B34" i="84"/>
  <c r="X33" i="84"/>
  <c r="Z33" i="84" s="1"/>
  <c r="L33" i="84"/>
  <c r="N33" i="84" s="1"/>
  <c r="J33" i="84"/>
  <c r="B33" i="84"/>
  <c r="X32" i="84"/>
  <c r="Z32" i="84" s="1"/>
  <c r="N32" i="84"/>
  <c r="L32" i="84"/>
  <c r="J32" i="84"/>
  <c r="B32" i="84"/>
  <c r="Z31" i="84"/>
  <c r="X31" i="84"/>
  <c r="N31" i="84"/>
  <c r="L31" i="84"/>
  <c r="B31" i="84"/>
  <c r="Z30" i="84"/>
  <c r="X30" i="84"/>
  <c r="V30" i="84"/>
  <c r="L30" i="84"/>
  <c r="N30" i="84" s="1"/>
  <c r="B30" i="84"/>
  <c r="X29" i="84"/>
  <c r="Z29" i="84" s="1"/>
  <c r="L29" i="84"/>
  <c r="N29" i="84" s="1"/>
  <c r="B29" i="84"/>
  <c r="X28" i="84"/>
  <c r="Z28" i="84" s="1"/>
  <c r="V28" i="84"/>
  <c r="N28" i="84"/>
  <c r="L28" i="84"/>
  <c r="B28" i="84"/>
  <c r="Z27" i="84"/>
  <c r="X27" i="84"/>
  <c r="L27" i="84"/>
  <c r="N27" i="84" s="1"/>
  <c r="B27" i="84"/>
  <c r="Z26" i="84"/>
  <c r="X26" i="84"/>
  <c r="V26" i="84"/>
  <c r="L26" i="84"/>
  <c r="N26" i="84" s="1"/>
  <c r="B26" i="84"/>
  <c r="X25" i="84"/>
  <c r="T25" i="84"/>
  <c r="P25" i="84"/>
  <c r="J25" i="84"/>
  <c r="H25" i="84"/>
  <c r="D25" i="84"/>
  <c r="L25" i="84" s="1"/>
  <c r="N25" i="84" s="1"/>
  <c r="B25" i="84"/>
  <c r="T24" i="84"/>
  <c r="P24" i="84"/>
  <c r="X24" i="84" s="1"/>
  <c r="H24" i="84"/>
  <c r="D24" i="84"/>
  <c r="L24" i="84" s="1"/>
  <c r="N24" i="84" s="1"/>
  <c r="Z20" i="84"/>
  <c r="X20" i="84"/>
  <c r="V20" i="84"/>
  <c r="R20" i="84"/>
  <c r="N20" i="84"/>
  <c r="L20" i="84"/>
  <c r="J20" i="84"/>
  <c r="B20" i="84"/>
  <c r="Z19" i="84"/>
  <c r="X19" i="84"/>
  <c r="N19" i="84"/>
  <c r="L19" i="84"/>
  <c r="J19" i="84"/>
  <c r="B19" i="84"/>
  <c r="Z18" i="84"/>
  <c r="X18" i="84"/>
  <c r="N18" i="84"/>
  <c r="L18" i="84"/>
  <c r="B18" i="84"/>
  <c r="T17" i="84"/>
  <c r="P17" i="84"/>
  <c r="L17" i="84"/>
  <c r="J17" i="84"/>
  <c r="H17" i="84"/>
  <c r="D17" i="84"/>
  <c r="Z15" i="84"/>
  <c r="X15" i="84"/>
  <c r="P15" i="84"/>
  <c r="N15" i="84"/>
  <c r="L15" i="84"/>
  <c r="D15" i="84"/>
  <c r="B15" i="84"/>
  <c r="Z14" i="84"/>
  <c r="X14" i="84"/>
  <c r="P14" i="84"/>
  <c r="N14" i="84"/>
  <c r="D14" i="84"/>
  <c r="L14" i="84" s="1"/>
  <c r="B14" i="84"/>
  <c r="P13" i="84"/>
  <c r="P12" i="84" s="1"/>
  <c r="D13" i="84"/>
  <c r="B13" i="84"/>
  <c r="T12" i="84"/>
  <c r="V70" i="84" s="1"/>
  <c r="H12" i="84"/>
  <c r="J94" i="84" s="1"/>
  <c r="D6" i="84"/>
  <c r="D4" i="84"/>
  <c r="X30" i="83"/>
  <c r="Z30" i="83" s="1"/>
  <c r="V30" i="83"/>
  <c r="L30" i="83"/>
  <c r="N30" i="83" s="1"/>
  <c r="J30" i="83"/>
  <c r="Z26" i="83"/>
  <c r="T26" i="83"/>
  <c r="P26" i="83"/>
  <c r="X26" i="83" s="1"/>
  <c r="N26" i="83"/>
  <c r="H26" i="83"/>
  <c r="D26" i="83"/>
  <c r="L26" i="83" s="1"/>
  <c r="T24" i="83"/>
  <c r="P24" i="83"/>
  <c r="N24" i="83"/>
  <c r="J24" i="83"/>
  <c r="H24" i="83"/>
  <c r="F24" i="83"/>
  <c r="D24" i="83"/>
  <c r="P22" i="83"/>
  <c r="Z20" i="83"/>
  <c r="X20" i="83"/>
  <c r="N20" i="83"/>
  <c r="L20" i="83"/>
  <c r="J20" i="83"/>
  <c r="B20" i="83"/>
  <c r="Z19" i="83"/>
  <c r="X19" i="83"/>
  <c r="V19" i="83"/>
  <c r="N19" i="83"/>
  <c r="L19" i="83"/>
  <c r="B19" i="83"/>
  <c r="Z18" i="83"/>
  <c r="X18" i="83"/>
  <c r="V18" i="83"/>
  <c r="L18" i="83"/>
  <c r="N18" i="83" s="1"/>
  <c r="J18" i="83"/>
  <c r="B18" i="83"/>
  <c r="T17" i="83"/>
  <c r="P17" i="83"/>
  <c r="X17" i="83" s="1"/>
  <c r="H17" i="83"/>
  <c r="H22" i="83" s="1"/>
  <c r="D17" i="83"/>
  <c r="P15" i="83"/>
  <c r="X15" i="83" s="1"/>
  <c r="Z15" i="83" s="1"/>
  <c r="D15" i="83"/>
  <c r="L15" i="83" s="1"/>
  <c r="N15" i="83" s="1"/>
  <c r="B15" i="83"/>
  <c r="Z14" i="83"/>
  <c r="P14" i="83"/>
  <c r="X14" i="83" s="1"/>
  <c r="N14" i="83"/>
  <c r="D14" i="83"/>
  <c r="L14" i="83" s="1"/>
  <c r="B14" i="83"/>
  <c r="Z13" i="83"/>
  <c r="X13" i="83"/>
  <c r="P13" i="83"/>
  <c r="N13" i="83"/>
  <c r="D13" i="83"/>
  <c r="D12" i="83" s="1"/>
  <c r="F30" i="83" s="1"/>
  <c r="B13" i="83"/>
  <c r="T12" i="83"/>
  <c r="P12" i="83"/>
  <c r="L12" i="83"/>
  <c r="N12" i="83" s="1"/>
  <c r="H12" i="83"/>
  <c r="J22" i="83" s="1"/>
  <c r="D6" i="83"/>
  <c r="D4" i="83"/>
  <c r="V29" i="82"/>
  <c r="J29" i="82"/>
  <c r="F29" i="82"/>
  <c r="J26" i="82"/>
  <c r="F26" i="82"/>
  <c r="Z24" i="82"/>
  <c r="X24" i="82"/>
  <c r="V24" i="82"/>
  <c r="N24" i="82"/>
  <c r="L24" i="82"/>
  <c r="J24" i="82"/>
  <c r="V22" i="82"/>
  <c r="Z20" i="82"/>
  <c r="T20" i="82"/>
  <c r="P20" i="82"/>
  <c r="X20" i="82" s="1"/>
  <c r="N20" i="82"/>
  <c r="L20" i="82"/>
  <c r="H20" i="82"/>
  <c r="F20" i="82"/>
  <c r="D20" i="82"/>
  <c r="V18" i="82"/>
  <c r="T18" i="82"/>
  <c r="Z18" i="82" s="1"/>
  <c r="P18" i="82"/>
  <c r="N18" i="82"/>
  <c r="L18" i="82"/>
  <c r="H18" i="82"/>
  <c r="F18" i="82"/>
  <c r="D18" i="82"/>
  <c r="H16" i="82"/>
  <c r="H22" i="82" s="1"/>
  <c r="F16" i="82"/>
  <c r="Z14" i="82"/>
  <c r="T14" i="82"/>
  <c r="P14" i="82"/>
  <c r="N14" i="82"/>
  <c r="L14" i="82"/>
  <c r="H14" i="82"/>
  <c r="D14" i="82"/>
  <c r="D16" i="82" s="1"/>
  <c r="Z12" i="82"/>
  <c r="T12" i="82"/>
  <c r="V14" i="82" s="1"/>
  <c r="P12" i="82"/>
  <c r="L12" i="82"/>
  <c r="H12" i="82"/>
  <c r="D12" i="82"/>
  <c r="F14" i="82" s="1"/>
  <c r="D6" i="82"/>
  <c r="D4" i="82"/>
  <c r="X82" i="81"/>
  <c r="Z82" i="81" s="1"/>
  <c r="V82" i="81"/>
  <c r="N82" i="81"/>
  <c r="L82" i="81"/>
  <c r="T78" i="81"/>
  <c r="Z78" i="81" s="1"/>
  <c r="P78" i="81"/>
  <c r="X78" i="81" s="1"/>
  <c r="H78" i="81"/>
  <c r="N78" i="81" s="1"/>
  <c r="D78" i="81"/>
  <c r="L78" i="81" s="1"/>
  <c r="Z76" i="81"/>
  <c r="X76" i="81"/>
  <c r="N76" i="81"/>
  <c r="L76" i="81"/>
  <c r="B76" i="81"/>
  <c r="X75" i="81"/>
  <c r="T75" i="81"/>
  <c r="Z75" i="81" s="1"/>
  <c r="P75" i="81"/>
  <c r="H75" i="81"/>
  <c r="N75" i="81" s="1"/>
  <c r="D75" i="81"/>
  <c r="L75" i="81" s="1"/>
  <c r="B75" i="81"/>
  <c r="X74" i="81"/>
  <c r="Z74" i="81" s="1"/>
  <c r="L74" i="81"/>
  <c r="N74" i="81" s="1"/>
  <c r="J74" i="81"/>
  <c r="B74" i="81"/>
  <c r="X73" i="81"/>
  <c r="T73" i="81"/>
  <c r="P73" i="81"/>
  <c r="H73" i="81"/>
  <c r="D73" i="81"/>
  <c r="L73" i="81" s="1"/>
  <c r="N73" i="81" s="1"/>
  <c r="B73" i="81"/>
  <c r="X72" i="81"/>
  <c r="Z72" i="81" s="1"/>
  <c r="N72" i="81"/>
  <c r="L72" i="81"/>
  <c r="B72" i="81"/>
  <c r="Z71" i="81"/>
  <c r="X71" i="81"/>
  <c r="N71" i="81"/>
  <c r="L71" i="81"/>
  <c r="B71" i="81"/>
  <c r="Z70" i="81"/>
  <c r="X70" i="81"/>
  <c r="N70" i="81"/>
  <c r="L70" i="81"/>
  <c r="J70" i="81"/>
  <c r="B70" i="81"/>
  <c r="Z69" i="81"/>
  <c r="X69" i="81"/>
  <c r="N69" i="81"/>
  <c r="L69" i="81"/>
  <c r="B69" i="81"/>
  <c r="Z68" i="81"/>
  <c r="X68" i="81"/>
  <c r="N68" i="81"/>
  <c r="L68" i="81"/>
  <c r="B68" i="81"/>
  <c r="T67" i="81"/>
  <c r="P67" i="81"/>
  <c r="X67" i="81" s="1"/>
  <c r="N67" i="81"/>
  <c r="H67" i="81"/>
  <c r="D67" i="81"/>
  <c r="L67" i="81" s="1"/>
  <c r="B67" i="81"/>
  <c r="Z66" i="81"/>
  <c r="X66" i="81"/>
  <c r="N66" i="81"/>
  <c r="L66" i="81"/>
  <c r="B66" i="81"/>
  <c r="Z65" i="81"/>
  <c r="X65" i="81"/>
  <c r="V65" i="81"/>
  <c r="N65" i="81"/>
  <c r="L65" i="81"/>
  <c r="B65" i="81"/>
  <c r="Z64" i="81"/>
  <c r="X64" i="81"/>
  <c r="N64" i="81"/>
  <c r="L64" i="81"/>
  <c r="J64" i="81"/>
  <c r="B64" i="81"/>
  <c r="T63" i="81"/>
  <c r="Z63" i="81" s="1"/>
  <c r="P63" i="81"/>
  <c r="H63" i="81"/>
  <c r="N63" i="81" s="1"/>
  <c r="D63" i="81"/>
  <c r="L63" i="81" s="1"/>
  <c r="B63" i="81"/>
  <c r="Z62" i="81"/>
  <c r="X62" i="81"/>
  <c r="L62" i="81"/>
  <c r="N62" i="81" s="1"/>
  <c r="B62" i="81"/>
  <c r="Z61" i="81"/>
  <c r="X61" i="81"/>
  <c r="V61" i="81"/>
  <c r="N61" i="81"/>
  <c r="L61" i="81"/>
  <c r="B61" i="81"/>
  <c r="T60" i="81"/>
  <c r="P60" i="81"/>
  <c r="X60" i="81" s="1"/>
  <c r="Z60" i="81" s="1"/>
  <c r="H60" i="81"/>
  <c r="D60" i="81"/>
  <c r="L60" i="81" s="1"/>
  <c r="N60" i="81" s="1"/>
  <c r="B60" i="81"/>
  <c r="X59" i="81"/>
  <c r="Z59" i="81" s="1"/>
  <c r="N59" i="81"/>
  <c r="L59" i="81"/>
  <c r="J59" i="81"/>
  <c r="B59" i="81"/>
  <c r="T58" i="81"/>
  <c r="P58" i="81"/>
  <c r="H58" i="81"/>
  <c r="D58" i="81"/>
  <c r="L58" i="81" s="1"/>
  <c r="B58" i="81"/>
  <c r="X57" i="81"/>
  <c r="Z57" i="81" s="1"/>
  <c r="V57" i="81"/>
  <c r="L57" i="81"/>
  <c r="N57" i="81" s="1"/>
  <c r="B57" i="81"/>
  <c r="T56" i="81"/>
  <c r="Z56" i="81" s="1"/>
  <c r="P56" i="81"/>
  <c r="X56" i="81" s="1"/>
  <c r="H56" i="81"/>
  <c r="N56" i="81" s="1"/>
  <c r="D56" i="81"/>
  <c r="L56" i="81" s="1"/>
  <c r="B56" i="81"/>
  <c r="Z55" i="81"/>
  <c r="X55" i="81"/>
  <c r="R55" i="81"/>
  <c r="N55" i="81"/>
  <c r="L55" i="81"/>
  <c r="B55" i="81"/>
  <c r="X54" i="81"/>
  <c r="T54" i="81"/>
  <c r="Z54" i="81" s="1"/>
  <c r="P54" i="81"/>
  <c r="N54" i="81"/>
  <c r="L54" i="81"/>
  <c r="H54" i="81"/>
  <c r="D54" i="81"/>
  <c r="B54" i="81"/>
  <c r="Z53" i="81"/>
  <c r="X53" i="81"/>
  <c r="L53" i="81"/>
  <c r="N53" i="81" s="1"/>
  <c r="J53" i="81"/>
  <c r="B53" i="81"/>
  <c r="T52" i="81"/>
  <c r="P52" i="81"/>
  <c r="J52" i="81"/>
  <c r="H52" i="81"/>
  <c r="D52" i="81"/>
  <c r="B52" i="81"/>
  <c r="Z51" i="81"/>
  <c r="X51" i="81"/>
  <c r="V51" i="81"/>
  <c r="N51" i="81"/>
  <c r="L51" i="81"/>
  <c r="B51" i="81"/>
  <c r="T50" i="81"/>
  <c r="P50" i="81"/>
  <c r="X50" i="81" s="1"/>
  <c r="H50" i="81"/>
  <c r="D50" i="81"/>
  <c r="L50" i="81" s="1"/>
  <c r="B50" i="81"/>
  <c r="Z49" i="81"/>
  <c r="X49" i="81"/>
  <c r="N49" i="81"/>
  <c r="L49" i="81"/>
  <c r="B49" i="81"/>
  <c r="Z48" i="81"/>
  <c r="X48" i="81"/>
  <c r="T48" i="81"/>
  <c r="P48" i="81"/>
  <c r="L48" i="81"/>
  <c r="H48" i="81"/>
  <c r="N48" i="81" s="1"/>
  <c r="D48" i="81"/>
  <c r="B48" i="81"/>
  <c r="Z47" i="81"/>
  <c r="X47" i="81"/>
  <c r="N47" i="81"/>
  <c r="L47" i="81"/>
  <c r="J47" i="81"/>
  <c r="B47" i="81"/>
  <c r="V46" i="81"/>
  <c r="T46" i="81"/>
  <c r="P46" i="81"/>
  <c r="H46" i="81"/>
  <c r="D46" i="81"/>
  <c r="B46" i="81"/>
  <c r="Z45" i="81"/>
  <c r="X45" i="81"/>
  <c r="V45" i="81"/>
  <c r="N45" i="81"/>
  <c r="L45" i="81"/>
  <c r="B45" i="81"/>
  <c r="Z44" i="81"/>
  <c r="X44" i="81"/>
  <c r="N44" i="81"/>
  <c r="L44" i="81"/>
  <c r="B44" i="81"/>
  <c r="Z43" i="81"/>
  <c r="X43" i="81"/>
  <c r="V43" i="81"/>
  <c r="N43" i="81"/>
  <c r="L43" i="81"/>
  <c r="B43" i="81"/>
  <c r="X42" i="81"/>
  <c r="Z42" i="81" s="1"/>
  <c r="N42" i="81"/>
  <c r="L42" i="81"/>
  <c r="B42" i="81"/>
  <c r="Z41" i="81"/>
  <c r="X41" i="81"/>
  <c r="V41" i="81"/>
  <c r="N41" i="81"/>
  <c r="L41" i="81"/>
  <c r="B41" i="81"/>
  <c r="Z40" i="81"/>
  <c r="X40" i="81"/>
  <c r="N40" i="81"/>
  <c r="L40" i="81"/>
  <c r="B40" i="81"/>
  <c r="Z39" i="81"/>
  <c r="X39" i="81"/>
  <c r="V39" i="81"/>
  <c r="N39" i="81"/>
  <c r="L39" i="81"/>
  <c r="B39" i="81"/>
  <c r="Z38" i="81"/>
  <c r="X38" i="81"/>
  <c r="N38" i="81"/>
  <c r="L38" i="81"/>
  <c r="B38" i="81"/>
  <c r="Z37" i="81"/>
  <c r="X37" i="81"/>
  <c r="V37" i="81"/>
  <c r="N37" i="81"/>
  <c r="L37" i="81"/>
  <c r="B37" i="81"/>
  <c r="X36" i="81"/>
  <c r="Z36" i="81" s="1"/>
  <c r="N36" i="81"/>
  <c r="L36" i="81"/>
  <c r="B36" i="81"/>
  <c r="V35" i="81"/>
  <c r="T35" i="81"/>
  <c r="P35" i="81"/>
  <c r="X35" i="81" s="1"/>
  <c r="Z35" i="81" s="1"/>
  <c r="L35" i="81"/>
  <c r="N35" i="81" s="1"/>
  <c r="J35" i="81"/>
  <c r="H35" i="81"/>
  <c r="D35" i="81"/>
  <c r="B35" i="81"/>
  <c r="Z34" i="81"/>
  <c r="X34" i="81"/>
  <c r="N34" i="81"/>
  <c r="L34" i="81"/>
  <c r="J34" i="81"/>
  <c r="B34" i="81"/>
  <c r="X33" i="81"/>
  <c r="Z33" i="81" s="1"/>
  <c r="N33" i="81"/>
  <c r="L33" i="81"/>
  <c r="B33" i="81"/>
  <c r="X32" i="81"/>
  <c r="Z32" i="81" s="1"/>
  <c r="N32" i="81"/>
  <c r="L32" i="81"/>
  <c r="B32" i="81"/>
  <c r="Z31" i="81"/>
  <c r="X31" i="81"/>
  <c r="R31" i="81"/>
  <c r="N31" i="81"/>
  <c r="L31" i="81"/>
  <c r="B31" i="81"/>
  <c r="X30" i="81"/>
  <c r="Z30" i="81" s="1"/>
  <c r="N30" i="81"/>
  <c r="L30" i="81"/>
  <c r="J30" i="81"/>
  <c r="B30" i="81"/>
  <c r="X29" i="81"/>
  <c r="Z29" i="81" s="1"/>
  <c r="V29" i="81"/>
  <c r="N29" i="81"/>
  <c r="L29" i="81"/>
  <c r="B29" i="81"/>
  <c r="X28" i="81"/>
  <c r="Z28" i="81" s="1"/>
  <c r="N28" i="81"/>
  <c r="L28" i="81"/>
  <c r="B28" i="81"/>
  <c r="X27" i="81"/>
  <c r="Z27" i="81" s="1"/>
  <c r="N27" i="81"/>
  <c r="L27" i="81"/>
  <c r="B27" i="81"/>
  <c r="X26" i="81"/>
  <c r="Z26" i="81" s="1"/>
  <c r="N26" i="81"/>
  <c r="L26" i="81"/>
  <c r="J26" i="81"/>
  <c r="B26" i="81"/>
  <c r="X25" i="81"/>
  <c r="V25" i="81"/>
  <c r="T25" i="81"/>
  <c r="Z25" i="81" s="1"/>
  <c r="R25" i="81"/>
  <c r="P25" i="81"/>
  <c r="H25" i="81"/>
  <c r="D25" i="81"/>
  <c r="B25" i="81"/>
  <c r="T24" i="81"/>
  <c r="P24" i="81"/>
  <c r="H24" i="81"/>
  <c r="D24" i="81"/>
  <c r="T22" i="81"/>
  <c r="H22" i="81"/>
  <c r="Z20" i="81"/>
  <c r="X20" i="81"/>
  <c r="N20" i="81"/>
  <c r="L20" i="81"/>
  <c r="B20" i="81"/>
  <c r="Z19" i="81"/>
  <c r="X19" i="81"/>
  <c r="N19" i="81"/>
  <c r="L19" i="81"/>
  <c r="J19" i="81"/>
  <c r="B19" i="81"/>
  <c r="Z18" i="81"/>
  <c r="X18" i="81"/>
  <c r="V18" i="81"/>
  <c r="R18" i="81"/>
  <c r="L18" i="81"/>
  <c r="N18" i="81" s="1"/>
  <c r="J18" i="81"/>
  <c r="B18" i="81"/>
  <c r="Z17" i="81"/>
  <c r="V17" i="81"/>
  <c r="T17" i="81"/>
  <c r="P17" i="81"/>
  <c r="X17" i="81" s="1"/>
  <c r="H17" i="81"/>
  <c r="D17" i="81"/>
  <c r="L17" i="81" s="1"/>
  <c r="N17" i="81" s="1"/>
  <c r="Z15" i="81"/>
  <c r="P15" i="81"/>
  <c r="X15" i="81" s="1"/>
  <c r="N15" i="81"/>
  <c r="D15" i="81"/>
  <c r="L15" i="81" s="1"/>
  <c r="B15" i="81"/>
  <c r="P14" i="81"/>
  <c r="X14" i="81" s="1"/>
  <c r="Z14" i="81" s="1"/>
  <c r="D14" i="81"/>
  <c r="B14" i="81"/>
  <c r="Z13" i="81"/>
  <c r="X13" i="81"/>
  <c r="P13" i="81"/>
  <c r="N13" i="81"/>
  <c r="L13" i="81"/>
  <c r="D13" i="81"/>
  <c r="B13" i="81"/>
  <c r="T12" i="81"/>
  <c r="V54" i="81" s="1"/>
  <c r="P12" i="81"/>
  <c r="R73" i="81" s="1"/>
  <c r="H12" i="81"/>
  <c r="D6" i="81"/>
  <c r="D4" i="81"/>
  <c r="X80" i="80"/>
  <c r="Z80" i="80" s="1"/>
  <c r="L80" i="80"/>
  <c r="N80" i="80" s="1"/>
  <c r="T76" i="80"/>
  <c r="P76" i="80"/>
  <c r="H76" i="80"/>
  <c r="N76" i="80" s="1"/>
  <c r="D76" i="80"/>
  <c r="L76" i="80" s="1"/>
  <c r="Z74" i="80"/>
  <c r="X74" i="80"/>
  <c r="L74" i="80"/>
  <c r="N74" i="80" s="1"/>
  <c r="B74" i="80"/>
  <c r="T73" i="80"/>
  <c r="P73" i="80"/>
  <c r="X73" i="80" s="1"/>
  <c r="Z73" i="80" s="1"/>
  <c r="H73" i="80"/>
  <c r="D73" i="80"/>
  <c r="L73" i="80" s="1"/>
  <c r="N73" i="80" s="1"/>
  <c r="B73" i="80"/>
  <c r="X72" i="80"/>
  <c r="Z72" i="80" s="1"/>
  <c r="L72" i="80"/>
  <c r="N72" i="80" s="1"/>
  <c r="B72" i="80"/>
  <c r="T71" i="80"/>
  <c r="P71" i="80"/>
  <c r="X71" i="80" s="1"/>
  <c r="Z71" i="80" s="1"/>
  <c r="L71" i="80"/>
  <c r="N71" i="80" s="1"/>
  <c r="H71" i="80"/>
  <c r="D71" i="80"/>
  <c r="B71" i="80"/>
  <c r="X70" i="80"/>
  <c r="Z70" i="80" s="1"/>
  <c r="N70" i="80"/>
  <c r="L70" i="80"/>
  <c r="B70" i="80"/>
  <c r="Z69" i="80"/>
  <c r="X69" i="80"/>
  <c r="N69" i="80"/>
  <c r="L69" i="80"/>
  <c r="B69" i="80"/>
  <c r="Z68" i="80"/>
  <c r="X68" i="80"/>
  <c r="N68" i="80"/>
  <c r="L68" i="80"/>
  <c r="B68" i="80"/>
  <c r="T67" i="80"/>
  <c r="P67" i="80"/>
  <c r="L67" i="80"/>
  <c r="H67" i="80"/>
  <c r="N67" i="80" s="1"/>
  <c r="D67" i="80"/>
  <c r="B67" i="80"/>
  <c r="Z66" i="80"/>
  <c r="X66" i="80"/>
  <c r="N66" i="80"/>
  <c r="L66" i="80"/>
  <c r="B66" i="80"/>
  <c r="Z65" i="80"/>
  <c r="X65" i="80"/>
  <c r="L65" i="80"/>
  <c r="N65" i="80" s="1"/>
  <c r="B65" i="80"/>
  <c r="T64" i="80"/>
  <c r="P64" i="80"/>
  <c r="H64" i="80"/>
  <c r="D64" i="80"/>
  <c r="B64" i="80"/>
  <c r="Z63" i="80"/>
  <c r="X63" i="80"/>
  <c r="V63" i="80"/>
  <c r="N63" i="80"/>
  <c r="L63" i="80"/>
  <c r="B63" i="80"/>
  <c r="T62" i="80"/>
  <c r="Z62" i="80" s="1"/>
  <c r="P62" i="80"/>
  <c r="X62" i="80" s="1"/>
  <c r="H62" i="80"/>
  <c r="N62" i="80" s="1"/>
  <c r="D62" i="80"/>
  <c r="L62" i="80" s="1"/>
  <c r="B62" i="80"/>
  <c r="Z61" i="80"/>
  <c r="X61" i="80"/>
  <c r="N61" i="80"/>
  <c r="L61" i="80"/>
  <c r="B61" i="80"/>
  <c r="Z60" i="80"/>
  <c r="X60" i="80"/>
  <c r="N60" i="80"/>
  <c r="L60" i="80"/>
  <c r="B60" i="80"/>
  <c r="T59" i="80"/>
  <c r="P59" i="80"/>
  <c r="L59" i="80"/>
  <c r="H59" i="80"/>
  <c r="N59" i="80" s="1"/>
  <c r="D59" i="80"/>
  <c r="B59" i="80"/>
  <c r="Z58" i="80"/>
  <c r="X58" i="80"/>
  <c r="N58" i="80"/>
  <c r="L58" i="80"/>
  <c r="B58" i="80"/>
  <c r="Z57" i="80"/>
  <c r="T57" i="80"/>
  <c r="P57" i="80"/>
  <c r="X57" i="80" s="1"/>
  <c r="H57" i="80"/>
  <c r="N57" i="80" s="1"/>
  <c r="D57" i="80"/>
  <c r="B57" i="80"/>
  <c r="X56" i="80"/>
  <c r="Z56" i="80" s="1"/>
  <c r="L56" i="80"/>
  <c r="N56" i="80" s="1"/>
  <c r="B56" i="80"/>
  <c r="T55" i="80"/>
  <c r="P55" i="80"/>
  <c r="X55" i="80" s="1"/>
  <c r="Z55" i="80" s="1"/>
  <c r="H55" i="80"/>
  <c r="D55" i="80"/>
  <c r="L55" i="80" s="1"/>
  <c r="N55" i="80" s="1"/>
  <c r="B55" i="80"/>
  <c r="Z54" i="80"/>
  <c r="X54" i="80"/>
  <c r="N54" i="80"/>
  <c r="L54" i="80"/>
  <c r="B54" i="80"/>
  <c r="X53" i="80"/>
  <c r="T53" i="80"/>
  <c r="Z53" i="80" s="1"/>
  <c r="P53" i="80"/>
  <c r="H53" i="80"/>
  <c r="L53" i="80" s="1"/>
  <c r="D53" i="80"/>
  <c r="B53" i="80"/>
  <c r="Z52" i="80"/>
  <c r="X52" i="80"/>
  <c r="L52" i="80"/>
  <c r="N52" i="80" s="1"/>
  <c r="B52" i="80"/>
  <c r="T51" i="80"/>
  <c r="Z51" i="80" s="1"/>
  <c r="P51" i="80"/>
  <c r="X51" i="80" s="1"/>
  <c r="N51" i="80"/>
  <c r="J51" i="80"/>
  <c r="H51" i="80"/>
  <c r="D51" i="80"/>
  <c r="L51" i="80" s="1"/>
  <c r="B51" i="80"/>
  <c r="X50" i="80"/>
  <c r="Z50" i="80" s="1"/>
  <c r="L50" i="80"/>
  <c r="N50" i="80" s="1"/>
  <c r="B50" i="80"/>
  <c r="T49" i="80"/>
  <c r="P49" i="80"/>
  <c r="X49" i="80" s="1"/>
  <c r="Z49" i="80" s="1"/>
  <c r="H49" i="80"/>
  <c r="D49" i="80"/>
  <c r="L49" i="80" s="1"/>
  <c r="N49" i="80" s="1"/>
  <c r="B49" i="80"/>
  <c r="Z48" i="80"/>
  <c r="X48" i="80"/>
  <c r="N48" i="80"/>
  <c r="L48" i="80"/>
  <c r="B48" i="80"/>
  <c r="Z47" i="80"/>
  <c r="T47" i="80"/>
  <c r="X47" i="80" s="1"/>
  <c r="P47" i="80"/>
  <c r="L47" i="80"/>
  <c r="H47" i="80"/>
  <c r="N47" i="80" s="1"/>
  <c r="D47" i="80"/>
  <c r="B47" i="80"/>
  <c r="Z46" i="80"/>
  <c r="X46" i="80"/>
  <c r="V46" i="80"/>
  <c r="N46" i="80"/>
  <c r="L46" i="80"/>
  <c r="B46" i="80"/>
  <c r="Z45" i="80"/>
  <c r="T45" i="80"/>
  <c r="P45" i="80"/>
  <c r="X45" i="80" s="1"/>
  <c r="H45" i="80"/>
  <c r="N45" i="80" s="1"/>
  <c r="D45" i="80"/>
  <c r="B45" i="80"/>
  <c r="Z44" i="80"/>
  <c r="X44" i="80"/>
  <c r="N44" i="80"/>
  <c r="L44" i="80"/>
  <c r="B44" i="80"/>
  <c r="Z43" i="80"/>
  <c r="X43" i="80"/>
  <c r="N43" i="80"/>
  <c r="L43" i="80"/>
  <c r="B43" i="80"/>
  <c r="X42" i="80"/>
  <c r="Z42" i="80" s="1"/>
  <c r="L42" i="80"/>
  <c r="N42" i="80" s="1"/>
  <c r="B42" i="80"/>
  <c r="X41" i="80"/>
  <c r="Z41" i="80" s="1"/>
  <c r="N41" i="80"/>
  <c r="L41" i="80"/>
  <c r="B41" i="80"/>
  <c r="Z40" i="80"/>
  <c r="X40" i="80"/>
  <c r="N40" i="80"/>
  <c r="L40" i="80"/>
  <c r="B40" i="80"/>
  <c r="Z39" i="80"/>
  <c r="X39" i="80"/>
  <c r="V39" i="80"/>
  <c r="N39" i="80"/>
  <c r="L39" i="80"/>
  <c r="B39" i="80"/>
  <c r="Z38" i="80"/>
  <c r="X38" i="80"/>
  <c r="N38" i="80"/>
  <c r="L38" i="80"/>
  <c r="B38" i="80"/>
  <c r="Z37" i="80"/>
  <c r="X37" i="80"/>
  <c r="N37" i="80"/>
  <c r="L37" i="80"/>
  <c r="B37" i="80"/>
  <c r="Z36" i="80"/>
  <c r="X36" i="80"/>
  <c r="N36" i="80"/>
  <c r="L36" i="80"/>
  <c r="B36" i="80"/>
  <c r="Z35" i="80"/>
  <c r="X35" i="80"/>
  <c r="N35" i="80"/>
  <c r="L35" i="80"/>
  <c r="B35" i="80"/>
  <c r="T34" i="80"/>
  <c r="P34" i="80"/>
  <c r="X34" i="80" s="1"/>
  <c r="L34" i="80"/>
  <c r="J34" i="80"/>
  <c r="H34" i="80"/>
  <c r="D34" i="80"/>
  <c r="B34" i="80"/>
  <c r="X33" i="80"/>
  <c r="Z33" i="80" s="1"/>
  <c r="N33" i="80"/>
  <c r="L33" i="80"/>
  <c r="B33" i="80"/>
  <c r="Z32" i="80"/>
  <c r="X32" i="80"/>
  <c r="L32" i="80"/>
  <c r="N32" i="80" s="1"/>
  <c r="B32" i="80"/>
  <c r="Z31" i="80"/>
  <c r="X31" i="80"/>
  <c r="N31" i="80"/>
  <c r="L31" i="80"/>
  <c r="B31" i="80"/>
  <c r="X30" i="80"/>
  <c r="Z30" i="80" s="1"/>
  <c r="N30" i="80"/>
  <c r="L30" i="80"/>
  <c r="B30" i="80"/>
  <c r="X29" i="80"/>
  <c r="Z29" i="80" s="1"/>
  <c r="V29" i="80"/>
  <c r="N29" i="80"/>
  <c r="L29" i="80"/>
  <c r="B29" i="80"/>
  <c r="Z28" i="80"/>
  <c r="X28" i="80"/>
  <c r="L28" i="80"/>
  <c r="N28" i="80" s="1"/>
  <c r="B28" i="80"/>
  <c r="X27" i="80"/>
  <c r="Z27" i="80" s="1"/>
  <c r="L27" i="80"/>
  <c r="N27" i="80" s="1"/>
  <c r="B27" i="80"/>
  <c r="X26" i="80"/>
  <c r="Z26" i="80" s="1"/>
  <c r="N26" i="80"/>
  <c r="L26" i="80"/>
  <c r="B26" i="80"/>
  <c r="T25" i="80"/>
  <c r="P25" i="80"/>
  <c r="L25" i="80"/>
  <c r="N25" i="80" s="1"/>
  <c r="J25" i="80"/>
  <c r="H25" i="80"/>
  <c r="D25" i="80"/>
  <c r="B25" i="80"/>
  <c r="T24" i="80"/>
  <c r="P24" i="80"/>
  <c r="X24" i="80" s="1"/>
  <c r="H24" i="80"/>
  <c r="D24" i="80"/>
  <c r="L24" i="80" s="1"/>
  <c r="N24" i="80" s="1"/>
  <c r="Z20" i="80"/>
  <c r="X20" i="80"/>
  <c r="N20" i="80"/>
  <c r="L20" i="80"/>
  <c r="B20" i="80"/>
  <c r="Z19" i="80"/>
  <c r="X19" i="80"/>
  <c r="V19" i="80"/>
  <c r="N19" i="80"/>
  <c r="L19" i="80"/>
  <c r="B19" i="80"/>
  <c r="X18" i="80"/>
  <c r="Z18" i="80" s="1"/>
  <c r="L18" i="80"/>
  <c r="N18" i="80" s="1"/>
  <c r="B18" i="80"/>
  <c r="T17" i="80"/>
  <c r="P17" i="80"/>
  <c r="H17" i="80"/>
  <c r="D17" i="80"/>
  <c r="L17" i="80" s="1"/>
  <c r="N17" i="80" s="1"/>
  <c r="Z15" i="80"/>
  <c r="P15" i="80"/>
  <c r="X15" i="80" s="1"/>
  <c r="N15" i="80"/>
  <c r="L15" i="80"/>
  <c r="D15" i="80"/>
  <c r="B15" i="80"/>
  <c r="X14" i="80"/>
  <c r="Z14" i="80" s="1"/>
  <c r="P14" i="80"/>
  <c r="L14" i="80"/>
  <c r="N14" i="80" s="1"/>
  <c r="D14" i="80"/>
  <c r="B14" i="80"/>
  <c r="Z13" i="80"/>
  <c r="P13" i="80"/>
  <c r="N13" i="80"/>
  <c r="L13" i="80"/>
  <c r="D13" i="80"/>
  <c r="B13" i="80"/>
  <c r="T12" i="80"/>
  <c r="V76" i="80" s="1"/>
  <c r="H12" i="80"/>
  <c r="J65" i="80" s="1"/>
  <c r="D12" i="80"/>
  <c r="F53" i="80" s="1"/>
  <c r="D6" i="80"/>
  <c r="D4" i="80"/>
  <c r="J75" i="79"/>
  <c r="J72" i="79"/>
  <c r="Z70" i="79"/>
  <c r="X70" i="79"/>
  <c r="N70" i="79"/>
  <c r="L70" i="79"/>
  <c r="X66" i="79"/>
  <c r="Z66" i="79" s="1"/>
  <c r="P66" i="79"/>
  <c r="D66" i="79"/>
  <c r="L66" i="79" s="1"/>
  <c r="N66" i="79" s="1"/>
  <c r="B66" i="79"/>
  <c r="Z65" i="79"/>
  <c r="X65" i="79"/>
  <c r="V65" i="79"/>
  <c r="P65" i="79"/>
  <c r="N65" i="79"/>
  <c r="L65" i="79"/>
  <c r="D65" i="79"/>
  <c r="B65" i="79"/>
  <c r="Z64" i="79"/>
  <c r="X64" i="79"/>
  <c r="V64" i="79"/>
  <c r="P64" i="79"/>
  <c r="N64" i="79"/>
  <c r="L64" i="79"/>
  <c r="D64" i="79"/>
  <c r="B64" i="79"/>
  <c r="Z63" i="79"/>
  <c r="P63" i="79"/>
  <c r="X63" i="79" s="1"/>
  <c r="N63" i="79"/>
  <c r="L63" i="79"/>
  <c r="D63" i="79"/>
  <c r="B63" i="79"/>
  <c r="T62" i="79"/>
  <c r="P62" i="79"/>
  <c r="X62" i="79" s="1"/>
  <c r="H62" i="79"/>
  <c r="L62" i="79" s="1"/>
  <c r="D62" i="79"/>
  <c r="Z60" i="79"/>
  <c r="X60" i="79"/>
  <c r="N60" i="79"/>
  <c r="L60" i="79"/>
  <c r="B60" i="79"/>
  <c r="Z59" i="79"/>
  <c r="T59" i="79"/>
  <c r="P59" i="79"/>
  <c r="X59" i="79" s="1"/>
  <c r="N59" i="79"/>
  <c r="L59" i="79"/>
  <c r="J59" i="79"/>
  <c r="H59" i="79"/>
  <c r="D59" i="79"/>
  <c r="B59" i="79"/>
  <c r="X58" i="79"/>
  <c r="Z58" i="79" s="1"/>
  <c r="L58" i="79"/>
  <c r="N58" i="79" s="1"/>
  <c r="J58" i="79"/>
  <c r="B58" i="79"/>
  <c r="Z57" i="79"/>
  <c r="X57" i="79"/>
  <c r="N57" i="79"/>
  <c r="L57" i="79"/>
  <c r="B57" i="79"/>
  <c r="X56" i="79"/>
  <c r="Z56" i="79" s="1"/>
  <c r="T56" i="79"/>
  <c r="P56" i="79"/>
  <c r="H56" i="79"/>
  <c r="D56" i="79"/>
  <c r="L56" i="79" s="1"/>
  <c r="B56" i="79"/>
  <c r="Z55" i="79"/>
  <c r="X55" i="79"/>
  <c r="N55" i="79"/>
  <c r="L55" i="79"/>
  <c r="B55" i="79"/>
  <c r="V54" i="79"/>
  <c r="T54" i="79"/>
  <c r="P54" i="79"/>
  <c r="L54" i="79"/>
  <c r="H54" i="79"/>
  <c r="N54" i="79" s="1"/>
  <c r="D54" i="79"/>
  <c r="B54" i="79"/>
  <c r="X53" i="79"/>
  <c r="Z53" i="79" s="1"/>
  <c r="V53" i="79"/>
  <c r="N53" i="79"/>
  <c r="L53" i="79"/>
  <c r="B53" i="79"/>
  <c r="T52" i="79"/>
  <c r="P52" i="79"/>
  <c r="X52" i="79" s="1"/>
  <c r="H52" i="79"/>
  <c r="L52" i="79" s="1"/>
  <c r="D52" i="79"/>
  <c r="B52" i="79"/>
  <c r="Z51" i="79"/>
  <c r="X51" i="79"/>
  <c r="N51" i="79"/>
  <c r="L51" i="79"/>
  <c r="B51" i="79"/>
  <c r="X50" i="79"/>
  <c r="Z50" i="79" s="1"/>
  <c r="L50" i="79"/>
  <c r="N50" i="79" s="1"/>
  <c r="J50" i="79"/>
  <c r="B50" i="79"/>
  <c r="T49" i="79"/>
  <c r="P49" i="79"/>
  <c r="X49" i="79" s="1"/>
  <c r="Z49" i="79" s="1"/>
  <c r="H49" i="79"/>
  <c r="D49" i="79"/>
  <c r="B49" i="79"/>
  <c r="X48" i="79"/>
  <c r="Z48" i="79" s="1"/>
  <c r="L48" i="79"/>
  <c r="N48" i="79" s="1"/>
  <c r="B48" i="79"/>
  <c r="T47" i="79"/>
  <c r="X47" i="79" s="1"/>
  <c r="Z47" i="79" s="1"/>
  <c r="P47" i="79"/>
  <c r="H47" i="79"/>
  <c r="D47" i="79"/>
  <c r="L47" i="79" s="1"/>
  <c r="N47" i="79" s="1"/>
  <c r="B47" i="79"/>
  <c r="Z46" i="79"/>
  <c r="X46" i="79"/>
  <c r="N46" i="79"/>
  <c r="L46" i="79"/>
  <c r="B46" i="79"/>
  <c r="Z45" i="79"/>
  <c r="X45" i="79"/>
  <c r="V45" i="79"/>
  <c r="N45" i="79"/>
  <c r="L45" i="79"/>
  <c r="B45" i="79"/>
  <c r="Z44" i="79"/>
  <c r="X44" i="79"/>
  <c r="N44" i="79"/>
  <c r="L44" i="79"/>
  <c r="B44" i="79"/>
  <c r="Z43" i="79"/>
  <c r="X43" i="79"/>
  <c r="N43" i="79"/>
  <c r="L43" i="79"/>
  <c r="B43" i="79"/>
  <c r="Z42" i="79"/>
  <c r="X42" i="79"/>
  <c r="N42" i="79"/>
  <c r="L42" i="79"/>
  <c r="B42" i="79"/>
  <c r="Z41" i="79"/>
  <c r="X41" i="79"/>
  <c r="V41" i="79"/>
  <c r="N41" i="79"/>
  <c r="L41" i="79"/>
  <c r="B41" i="79"/>
  <c r="Z40" i="79"/>
  <c r="X40" i="79"/>
  <c r="N40" i="79"/>
  <c r="L40" i="79"/>
  <c r="B40" i="79"/>
  <c r="Z39" i="79"/>
  <c r="X39" i="79"/>
  <c r="N39" i="79"/>
  <c r="L39" i="79"/>
  <c r="B39" i="79"/>
  <c r="X38" i="79"/>
  <c r="Z38" i="79" s="1"/>
  <c r="L38" i="79"/>
  <c r="N38" i="79" s="1"/>
  <c r="B38" i="79"/>
  <c r="Z37" i="79"/>
  <c r="X37" i="79"/>
  <c r="V37" i="79"/>
  <c r="N37" i="79"/>
  <c r="L37" i="79"/>
  <c r="B37" i="79"/>
  <c r="T36" i="79"/>
  <c r="P36" i="79"/>
  <c r="X36" i="79" s="1"/>
  <c r="H36" i="79"/>
  <c r="D36" i="79"/>
  <c r="L36" i="79" s="1"/>
  <c r="B36" i="79"/>
  <c r="X35" i="79"/>
  <c r="Z35" i="79" s="1"/>
  <c r="N35" i="79"/>
  <c r="L35" i="79"/>
  <c r="B35" i="79"/>
  <c r="X34" i="79"/>
  <c r="Z34" i="79" s="1"/>
  <c r="L34" i="79"/>
  <c r="N34" i="79" s="1"/>
  <c r="J34" i="79"/>
  <c r="B34" i="79"/>
  <c r="Z33" i="79"/>
  <c r="X33" i="79"/>
  <c r="N33" i="79"/>
  <c r="L33" i="79"/>
  <c r="B33" i="79"/>
  <c r="X32" i="79"/>
  <c r="Z32" i="79" s="1"/>
  <c r="L32" i="79"/>
  <c r="N32" i="79" s="1"/>
  <c r="B32" i="79"/>
  <c r="X31" i="79"/>
  <c r="Z31" i="79" s="1"/>
  <c r="V31" i="79"/>
  <c r="N31" i="79"/>
  <c r="L31" i="79"/>
  <c r="B31" i="79"/>
  <c r="X30" i="79"/>
  <c r="Z30" i="79" s="1"/>
  <c r="L30" i="79"/>
  <c r="N30" i="79" s="1"/>
  <c r="J30" i="79"/>
  <c r="B30" i="79"/>
  <c r="X29" i="79"/>
  <c r="Z29" i="79" s="1"/>
  <c r="N29" i="79"/>
  <c r="L29" i="79"/>
  <c r="B29" i="79"/>
  <c r="X28" i="79"/>
  <c r="Z28" i="79" s="1"/>
  <c r="L28" i="79"/>
  <c r="N28" i="79" s="1"/>
  <c r="B28" i="79"/>
  <c r="V27" i="79"/>
  <c r="T27" i="79"/>
  <c r="P27" i="79"/>
  <c r="X27" i="79" s="1"/>
  <c r="H27" i="79"/>
  <c r="D27" i="79"/>
  <c r="L27" i="79" s="1"/>
  <c r="B27" i="79"/>
  <c r="V26" i="79"/>
  <c r="T26" i="79"/>
  <c r="P26" i="79"/>
  <c r="H26" i="79"/>
  <c r="D26" i="79"/>
  <c r="V24" i="79"/>
  <c r="T24" i="79"/>
  <c r="Z22" i="79"/>
  <c r="X22" i="79"/>
  <c r="V22" i="79"/>
  <c r="N22" i="79"/>
  <c r="L22" i="79"/>
  <c r="B22" i="79"/>
  <c r="Z21" i="79"/>
  <c r="X21" i="79"/>
  <c r="N21" i="79"/>
  <c r="L21" i="79"/>
  <c r="J21" i="79"/>
  <c r="B21" i="79"/>
  <c r="Z20" i="79"/>
  <c r="X20" i="79"/>
  <c r="N20" i="79"/>
  <c r="L20" i="79"/>
  <c r="B20" i="79"/>
  <c r="Z19" i="79"/>
  <c r="X19" i="79"/>
  <c r="V19" i="79"/>
  <c r="N19" i="79"/>
  <c r="L19" i="79"/>
  <c r="J19" i="79"/>
  <c r="B19" i="79"/>
  <c r="Z18" i="79"/>
  <c r="X18" i="79"/>
  <c r="V18" i="79"/>
  <c r="N18" i="79"/>
  <c r="L18" i="79"/>
  <c r="B18" i="79"/>
  <c r="Z17" i="79"/>
  <c r="V17" i="79"/>
  <c r="T17" i="79"/>
  <c r="P17" i="79"/>
  <c r="X17" i="79" s="1"/>
  <c r="N17" i="79"/>
  <c r="J17" i="79"/>
  <c r="H17" i="79"/>
  <c r="D17" i="79"/>
  <c r="L17" i="79" s="1"/>
  <c r="Z15" i="79"/>
  <c r="P15" i="79"/>
  <c r="X15" i="79" s="1"/>
  <c r="N15" i="79"/>
  <c r="D15" i="79"/>
  <c r="L15" i="79" s="1"/>
  <c r="B15" i="79"/>
  <c r="Z14" i="79"/>
  <c r="X14" i="79"/>
  <c r="P14" i="79"/>
  <c r="N14" i="79"/>
  <c r="D14" i="79"/>
  <c r="L14" i="79" s="1"/>
  <c r="B14" i="79"/>
  <c r="Z13" i="79"/>
  <c r="P13" i="79"/>
  <c r="P12" i="79" s="1"/>
  <c r="R64" i="79" s="1"/>
  <c r="N13" i="79"/>
  <c r="L13" i="79"/>
  <c r="D13" i="79"/>
  <c r="B13" i="79"/>
  <c r="T12" i="79"/>
  <c r="V55" i="79" s="1"/>
  <c r="N12" i="79"/>
  <c r="H12" i="79"/>
  <c r="J51" i="79" s="1"/>
  <c r="D6" i="79"/>
  <c r="D4" i="79"/>
  <c r="X105" i="77"/>
  <c r="Z105" i="77" s="1"/>
  <c r="L105" i="77"/>
  <c r="N105" i="77" s="1"/>
  <c r="X101" i="77"/>
  <c r="Z101" i="77" s="1"/>
  <c r="P101" i="77"/>
  <c r="D101" i="77"/>
  <c r="B101" i="77"/>
  <c r="Z100" i="77"/>
  <c r="P100" i="77"/>
  <c r="X100" i="77" s="1"/>
  <c r="N100" i="77"/>
  <c r="D100" i="77"/>
  <c r="L100" i="77" s="1"/>
  <c r="B100" i="77"/>
  <c r="Z99" i="77"/>
  <c r="P99" i="77"/>
  <c r="X99" i="77" s="1"/>
  <c r="N99" i="77"/>
  <c r="D99" i="77"/>
  <c r="L99" i="77" s="1"/>
  <c r="B99" i="77"/>
  <c r="Z98" i="77"/>
  <c r="T98" i="77"/>
  <c r="P98" i="77"/>
  <c r="X98" i="77" s="1"/>
  <c r="H98" i="77"/>
  <c r="Z96" i="77"/>
  <c r="X96" i="77"/>
  <c r="N96" i="77"/>
  <c r="L96" i="77"/>
  <c r="B96" i="77"/>
  <c r="T95" i="77"/>
  <c r="P95" i="77"/>
  <c r="H95" i="77"/>
  <c r="D95" i="77"/>
  <c r="L95" i="77" s="1"/>
  <c r="B95" i="77"/>
  <c r="Z94" i="77"/>
  <c r="X94" i="77"/>
  <c r="V94" i="77"/>
  <c r="N94" i="77"/>
  <c r="L94" i="77"/>
  <c r="B94" i="77"/>
  <c r="X93" i="77"/>
  <c r="Z93" i="77" s="1"/>
  <c r="L93" i="77"/>
  <c r="N93" i="77" s="1"/>
  <c r="B93" i="77"/>
  <c r="T92" i="77"/>
  <c r="P92" i="77"/>
  <c r="X92" i="77" s="1"/>
  <c r="L92" i="77"/>
  <c r="N92" i="77" s="1"/>
  <c r="J92" i="77"/>
  <c r="H92" i="77"/>
  <c r="D92" i="77"/>
  <c r="B92" i="77"/>
  <c r="Z91" i="77"/>
  <c r="X91" i="77"/>
  <c r="N91" i="77"/>
  <c r="L91" i="77"/>
  <c r="J91" i="77"/>
  <c r="B91" i="77"/>
  <c r="X90" i="77"/>
  <c r="Z90" i="77" s="1"/>
  <c r="L90" i="77"/>
  <c r="N90" i="77" s="1"/>
  <c r="B90" i="77"/>
  <c r="X89" i="77"/>
  <c r="Z89" i="77" s="1"/>
  <c r="T89" i="77"/>
  <c r="P89" i="77"/>
  <c r="H89" i="77"/>
  <c r="D89" i="77"/>
  <c r="L89" i="77" s="1"/>
  <c r="B89" i="77"/>
  <c r="Z88" i="77"/>
  <c r="X88" i="77"/>
  <c r="N88" i="77"/>
  <c r="L88" i="77"/>
  <c r="B88" i="77"/>
  <c r="T87" i="77"/>
  <c r="P87" i="77"/>
  <c r="N87" i="77"/>
  <c r="H87" i="77"/>
  <c r="D87" i="77"/>
  <c r="L87" i="77" s="1"/>
  <c r="B87" i="77"/>
  <c r="X86" i="77"/>
  <c r="Z86" i="77" s="1"/>
  <c r="V86" i="77"/>
  <c r="L86" i="77"/>
  <c r="N86" i="77" s="1"/>
  <c r="B86" i="77"/>
  <c r="T85" i="77"/>
  <c r="Z85" i="77" s="1"/>
  <c r="P85" i="77"/>
  <c r="X85" i="77" s="1"/>
  <c r="H85" i="77"/>
  <c r="N85" i="77" s="1"/>
  <c r="D85" i="77"/>
  <c r="L85" i="77" s="1"/>
  <c r="B85" i="77"/>
  <c r="Z84" i="77"/>
  <c r="X84" i="77"/>
  <c r="N84" i="77"/>
  <c r="L84" i="77"/>
  <c r="B84" i="77"/>
  <c r="T83" i="77"/>
  <c r="P83" i="77"/>
  <c r="X83" i="77" s="1"/>
  <c r="L83" i="77"/>
  <c r="N83" i="77" s="1"/>
  <c r="H83" i="77"/>
  <c r="D83" i="77"/>
  <c r="B83" i="77"/>
  <c r="Z82" i="77"/>
  <c r="X82" i="77"/>
  <c r="L82" i="77"/>
  <c r="N82" i="77" s="1"/>
  <c r="J82" i="77"/>
  <c r="B82" i="77"/>
  <c r="T81" i="77"/>
  <c r="Z81" i="77" s="1"/>
  <c r="P81" i="77"/>
  <c r="X81" i="77" s="1"/>
  <c r="H81" i="77"/>
  <c r="D81" i="77"/>
  <c r="B81" i="77"/>
  <c r="Z80" i="77"/>
  <c r="X80" i="77"/>
  <c r="N80" i="77"/>
  <c r="L80" i="77"/>
  <c r="B80" i="77"/>
  <c r="T79" i="77"/>
  <c r="Z79" i="77" s="1"/>
  <c r="P79" i="77"/>
  <c r="X79" i="77" s="1"/>
  <c r="H79" i="77"/>
  <c r="N79" i="77" s="1"/>
  <c r="D79" i="77"/>
  <c r="L79" i="77" s="1"/>
  <c r="B79" i="77"/>
  <c r="Z78" i="77"/>
  <c r="X78" i="77"/>
  <c r="N78" i="77"/>
  <c r="L78" i="77"/>
  <c r="B78" i="77"/>
  <c r="X77" i="77"/>
  <c r="Z77" i="77" s="1"/>
  <c r="T77" i="77"/>
  <c r="P77" i="77"/>
  <c r="H77" i="77"/>
  <c r="D77" i="77"/>
  <c r="L77" i="77" s="1"/>
  <c r="B77" i="77"/>
  <c r="Z76" i="77"/>
  <c r="X76" i="77"/>
  <c r="N76" i="77"/>
  <c r="L76" i="77"/>
  <c r="B76" i="77"/>
  <c r="Z75" i="77"/>
  <c r="X75" i="77"/>
  <c r="V75" i="77"/>
  <c r="N75" i="77"/>
  <c r="L75" i="77"/>
  <c r="B75" i="77"/>
  <c r="Z74" i="77"/>
  <c r="X74" i="77"/>
  <c r="N74" i="77"/>
  <c r="L74" i="77"/>
  <c r="J74" i="77"/>
  <c r="B74" i="77"/>
  <c r="X73" i="77"/>
  <c r="Z73" i="77" s="1"/>
  <c r="L73" i="77"/>
  <c r="N73" i="77" s="1"/>
  <c r="B73" i="77"/>
  <c r="Z72" i="77"/>
  <c r="X72" i="77"/>
  <c r="N72" i="77"/>
  <c r="L72" i="77"/>
  <c r="B72" i="77"/>
  <c r="Z71" i="77"/>
  <c r="X71" i="77"/>
  <c r="V71" i="77"/>
  <c r="N71" i="77"/>
  <c r="L71" i="77"/>
  <c r="B71" i="77"/>
  <c r="X70" i="77"/>
  <c r="Z70" i="77" s="1"/>
  <c r="L70" i="77"/>
  <c r="N70" i="77" s="1"/>
  <c r="J70" i="77"/>
  <c r="B70" i="77"/>
  <c r="Z69" i="77"/>
  <c r="X69" i="77"/>
  <c r="N69" i="77"/>
  <c r="L69" i="77"/>
  <c r="B69" i="77"/>
  <c r="Z68" i="77"/>
  <c r="X68" i="77"/>
  <c r="N68" i="77"/>
  <c r="L68" i="77"/>
  <c r="B68" i="77"/>
  <c r="X67" i="77"/>
  <c r="Z67" i="77" s="1"/>
  <c r="V67" i="77"/>
  <c r="L67" i="77"/>
  <c r="N67" i="77" s="1"/>
  <c r="B67" i="77"/>
  <c r="T66" i="77"/>
  <c r="P66" i="77"/>
  <c r="X66" i="77" s="1"/>
  <c r="H66" i="77"/>
  <c r="D66" i="77"/>
  <c r="L66" i="77" s="1"/>
  <c r="N66" i="77" s="1"/>
  <c r="B66" i="77"/>
  <c r="Z65" i="77"/>
  <c r="X65" i="77"/>
  <c r="N65" i="77"/>
  <c r="L65" i="77"/>
  <c r="B65" i="77"/>
  <c r="X64" i="77"/>
  <c r="Z64" i="77" s="1"/>
  <c r="N64" i="77"/>
  <c r="L64" i="77"/>
  <c r="B64" i="77"/>
  <c r="X63" i="77"/>
  <c r="Z63" i="77" s="1"/>
  <c r="L63" i="77"/>
  <c r="N63" i="77" s="1"/>
  <c r="B63" i="77"/>
  <c r="Z62" i="77"/>
  <c r="X62" i="77"/>
  <c r="V62" i="77"/>
  <c r="N62" i="77"/>
  <c r="L62" i="77"/>
  <c r="B62" i="77"/>
  <c r="Z61" i="77"/>
  <c r="X61" i="77"/>
  <c r="N61" i="77"/>
  <c r="L61" i="77"/>
  <c r="B61" i="77"/>
  <c r="X60" i="77"/>
  <c r="Z60" i="77" s="1"/>
  <c r="N60" i="77"/>
  <c r="L60" i="77"/>
  <c r="B60" i="77"/>
  <c r="X59" i="77"/>
  <c r="Z59" i="77" s="1"/>
  <c r="L59" i="77"/>
  <c r="N59" i="77" s="1"/>
  <c r="B59" i="77"/>
  <c r="X58" i="77"/>
  <c r="Z58" i="77" s="1"/>
  <c r="V58" i="77"/>
  <c r="L58" i="77"/>
  <c r="N58" i="77" s="1"/>
  <c r="B58" i="77"/>
  <c r="X57" i="77"/>
  <c r="Z57" i="77" s="1"/>
  <c r="L57" i="77"/>
  <c r="N57" i="77" s="1"/>
  <c r="B57" i="77"/>
  <c r="Z56" i="77"/>
  <c r="X56" i="77"/>
  <c r="L56" i="77"/>
  <c r="N56" i="77" s="1"/>
  <c r="B56" i="77"/>
  <c r="T55" i="77"/>
  <c r="P55" i="77"/>
  <c r="X55" i="77" s="1"/>
  <c r="H55" i="77"/>
  <c r="N55" i="77" s="1"/>
  <c r="D55" i="77"/>
  <c r="L55" i="77" s="1"/>
  <c r="B55" i="77"/>
  <c r="T54" i="77"/>
  <c r="P54" i="77"/>
  <c r="H54" i="77"/>
  <c r="D54" i="77"/>
  <c r="Z50" i="77"/>
  <c r="X50" i="77"/>
  <c r="N50" i="77"/>
  <c r="L50" i="77"/>
  <c r="B50" i="77"/>
  <c r="Z49" i="77"/>
  <c r="X49" i="77"/>
  <c r="N49" i="77"/>
  <c r="L49" i="77"/>
  <c r="B49" i="77"/>
  <c r="Z48" i="77"/>
  <c r="X48" i="77"/>
  <c r="N48" i="77"/>
  <c r="L48" i="77"/>
  <c r="B48" i="77"/>
  <c r="Z47" i="77"/>
  <c r="X47" i="77"/>
  <c r="N47" i="77"/>
  <c r="L47" i="77"/>
  <c r="J47" i="77"/>
  <c r="B47" i="77"/>
  <c r="Z46" i="77"/>
  <c r="X46" i="77"/>
  <c r="N46" i="77"/>
  <c r="L46" i="77"/>
  <c r="B46" i="77"/>
  <c r="Z45" i="77"/>
  <c r="X45" i="77"/>
  <c r="N45" i="77"/>
  <c r="L45" i="77"/>
  <c r="B45" i="77"/>
  <c r="Z44" i="77"/>
  <c r="X44" i="77"/>
  <c r="N44" i="77"/>
  <c r="L44" i="77"/>
  <c r="B44" i="77"/>
  <c r="Z43" i="77"/>
  <c r="X43" i="77"/>
  <c r="N43" i="77"/>
  <c r="L43" i="77"/>
  <c r="J43" i="77"/>
  <c r="B43" i="77"/>
  <c r="Z42" i="77"/>
  <c r="X42" i="77"/>
  <c r="N42" i="77"/>
  <c r="L42" i="77"/>
  <c r="B42" i="77"/>
  <c r="Z41" i="77"/>
  <c r="X41" i="77"/>
  <c r="N41" i="77"/>
  <c r="L41" i="77"/>
  <c r="B41" i="77"/>
  <c r="Z40" i="77"/>
  <c r="X40" i="77"/>
  <c r="N40" i="77"/>
  <c r="L40" i="77"/>
  <c r="B40" i="77"/>
  <c r="Z39" i="77"/>
  <c r="X39" i="77"/>
  <c r="L39" i="77"/>
  <c r="N39" i="77" s="1"/>
  <c r="J39" i="77"/>
  <c r="B39" i="77"/>
  <c r="T38" i="77"/>
  <c r="P38" i="77"/>
  <c r="X38" i="77" s="1"/>
  <c r="H38" i="77"/>
  <c r="D38" i="77"/>
  <c r="L38" i="77" s="1"/>
  <c r="Z36" i="77"/>
  <c r="P36" i="77"/>
  <c r="X36" i="77" s="1"/>
  <c r="N36" i="77"/>
  <c r="D36" i="77"/>
  <c r="L36" i="77" s="1"/>
  <c r="B36" i="77"/>
  <c r="Z35" i="77"/>
  <c r="P35" i="77"/>
  <c r="X35" i="77" s="1"/>
  <c r="N35" i="77"/>
  <c r="L35" i="77"/>
  <c r="D35" i="77"/>
  <c r="B35" i="77"/>
  <c r="Z34" i="77"/>
  <c r="X34" i="77"/>
  <c r="P34" i="77"/>
  <c r="N34" i="77"/>
  <c r="L34" i="77"/>
  <c r="D34" i="77"/>
  <c r="B34" i="77"/>
  <c r="Z33" i="77"/>
  <c r="X33" i="77"/>
  <c r="P33" i="77"/>
  <c r="N33" i="77"/>
  <c r="D33" i="77"/>
  <c r="L33" i="77" s="1"/>
  <c r="B33" i="77"/>
  <c r="Z32" i="77"/>
  <c r="X32" i="77"/>
  <c r="P32" i="77"/>
  <c r="N32" i="77"/>
  <c r="D32" i="77"/>
  <c r="L32" i="77" s="1"/>
  <c r="B32" i="77"/>
  <c r="Z31" i="77"/>
  <c r="P31" i="77"/>
  <c r="X31" i="77" s="1"/>
  <c r="N31" i="77"/>
  <c r="L31" i="77"/>
  <c r="D31" i="77"/>
  <c r="B31" i="77"/>
  <c r="Z30" i="77"/>
  <c r="P30" i="77"/>
  <c r="X30" i="77" s="1"/>
  <c r="N30" i="77"/>
  <c r="L30" i="77"/>
  <c r="D30" i="77"/>
  <c r="B30" i="77"/>
  <c r="Z29" i="77"/>
  <c r="P29" i="77"/>
  <c r="X29" i="77" s="1"/>
  <c r="N29" i="77"/>
  <c r="L29" i="77"/>
  <c r="D29" i="77"/>
  <c r="B29" i="77"/>
  <c r="Z28" i="77"/>
  <c r="X28" i="77"/>
  <c r="P28" i="77"/>
  <c r="N28" i="77"/>
  <c r="L28" i="77"/>
  <c r="D28" i="77"/>
  <c r="B28" i="77"/>
  <c r="Z27" i="77"/>
  <c r="P27" i="77"/>
  <c r="X27" i="77" s="1"/>
  <c r="N27" i="77"/>
  <c r="D27" i="77"/>
  <c r="L27" i="77" s="1"/>
  <c r="B27" i="77"/>
  <c r="Z26" i="77"/>
  <c r="X26" i="77"/>
  <c r="P26" i="77"/>
  <c r="N26" i="77"/>
  <c r="D26" i="77"/>
  <c r="L26" i="77" s="1"/>
  <c r="B26" i="77"/>
  <c r="Z25" i="77"/>
  <c r="P25" i="77"/>
  <c r="X25" i="77" s="1"/>
  <c r="N25" i="77"/>
  <c r="D25" i="77"/>
  <c r="L25" i="77" s="1"/>
  <c r="B25" i="77"/>
  <c r="Z24" i="77"/>
  <c r="P24" i="77"/>
  <c r="X24" i="77" s="1"/>
  <c r="N24" i="77"/>
  <c r="D24" i="77"/>
  <c r="L24" i="77" s="1"/>
  <c r="B24" i="77"/>
  <c r="Z23" i="77"/>
  <c r="P23" i="77"/>
  <c r="X23" i="77" s="1"/>
  <c r="N23" i="77"/>
  <c r="L23" i="77"/>
  <c r="D23" i="77"/>
  <c r="B23" i="77"/>
  <c r="Z22" i="77"/>
  <c r="X22" i="77"/>
  <c r="P22" i="77"/>
  <c r="N22" i="77"/>
  <c r="L22" i="77"/>
  <c r="D22" i="77"/>
  <c r="B22" i="77"/>
  <c r="Z21" i="77"/>
  <c r="X21" i="77"/>
  <c r="P21" i="77"/>
  <c r="D21" i="77"/>
  <c r="L21" i="77" s="1"/>
  <c r="N21" i="77" s="1"/>
  <c r="B21" i="77"/>
  <c r="Z20" i="77"/>
  <c r="X20" i="77"/>
  <c r="P20" i="77"/>
  <c r="N20" i="77"/>
  <c r="D20" i="77"/>
  <c r="L20" i="77" s="1"/>
  <c r="B20" i="77"/>
  <c r="Z19" i="77"/>
  <c r="P19" i="77"/>
  <c r="X19" i="77" s="1"/>
  <c r="N19" i="77"/>
  <c r="L19" i="77"/>
  <c r="D19" i="77"/>
  <c r="B19" i="77"/>
  <c r="Z18" i="77"/>
  <c r="P18" i="77"/>
  <c r="X18" i="77" s="1"/>
  <c r="N18" i="77"/>
  <c r="L18" i="77"/>
  <c r="D18" i="77"/>
  <c r="B18" i="77"/>
  <c r="Z17" i="77"/>
  <c r="P17" i="77"/>
  <c r="X17" i="77" s="1"/>
  <c r="N17" i="77"/>
  <c r="L17" i="77"/>
  <c r="D17" i="77"/>
  <c r="B17" i="77"/>
  <c r="Z16" i="77"/>
  <c r="P16" i="77"/>
  <c r="X16" i="77" s="1"/>
  <c r="N16" i="77"/>
  <c r="L16" i="77"/>
  <c r="D16" i="77"/>
  <c r="B16" i="77"/>
  <c r="Z15" i="77"/>
  <c r="P15" i="77"/>
  <c r="N15" i="77"/>
  <c r="D15" i="77"/>
  <c r="L15" i="77" s="1"/>
  <c r="B15" i="77"/>
  <c r="Z14" i="77"/>
  <c r="X14" i="77"/>
  <c r="P14" i="77"/>
  <c r="N14" i="77"/>
  <c r="L14" i="77"/>
  <c r="D14" i="77"/>
  <c r="B14" i="77"/>
  <c r="P13" i="77"/>
  <c r="X13" i="77" s="1"/>
  <c r="Z13" i="77" s="1"/>
  <c r="D13" i="77"/>
  <c r="B13" i="77"/>
  <c r="T12" i="77"/>
  <c r="V98" i="77" s="1"/>
  <c r="H12" i="77"/>
  <c r="J84" i="77" s="1"/>
  <c r="D6" i="77"/>
  <c r="D4" i="77"/>
  <c r="Z87" i="76"/>
  <c r="X87" i="76"/>
  <c r="N87" i="76"/>
  <c r="L87" i="76"/>
  <c r="P83" i="76"/>
  <c r="N83" i="76"/>
  <c r="D83" i="76"/>
  <c r="L83" i="76" s="1"/>
  <c r="B83" i="76"/>
  <c r="P82" i="76"/>
  <c r="X82" i="76" s="1"/>
  <c r="Z82" i="76" s="1"/>
  <c r="N82" i="76"/>
  <c r="L82" i="76"/>
  <c r="D82" i="76"/>
  <c r="B82" i="76"/>
  <c r="T81" i="76"/>
  <c r="N81" i="76"/>
  <c r="H81" i="76"/>
  <c r="D81" i="76"/>
  <c r="L81" i="76" s="1"/>
  <c r="Z79" i="76"/>
  <c r="X79" i="76"/>
  <c r="N79" i="76"/>
  <c r="L79" i="76"/>
  <c r="B79" i="76"/>
  <c r="X78" i="76"/>
  <c r="Z78" i="76" s="1"/>
  <c r="N78" i="76"/>
  <c r="L78" i="76"/>
  <c r="B78" i="76"/>
  <c r="Z77" i="76"/>
  <c r="T77" i="76"/>
  <c r="P77" i="76"/>
  <c r="X77" i="76" s="1"/>
  <c r="H77" i="76"/>
  <c r="N77" i="76" s="1"/>
  <c r="D77" i="76"/>
  <c r="L77" i="76" s="1"/>
  <c r="B77" i="76"/>
  <c r="Z76" i="76"/>
  <c r="X76" i="76"/>
  <c r="N76" i="76"/>
  <c r="L76" i="76"/>
  <c r="B76" i="76"/>
  <c r="Z75" i="76"/>
  <c r="X75" i="76"/>
  <c r="V75" i="76"/>
  <c r="N75" i="76"/>
  <c r="L75" i="76"/>
  <c r="B75" i="76"/>
  <c r="Z74" i="76"/>
  <c r="X74" i="76"/>
  <c r="N74" i="76"/>
  <c r="L74" i="76"/>
  <c r="B74" i="76"/>
  <c r="Z73" i="76"/>
  <c r="X73" i="76"/>
  <c r="N73" i="76"/>
  <c r="L73" i="76"/>
  <c r="B73" i="76"/>
  <c r="T72" i="76"/>
  <c r="P72" i="76"/>
  <c r="X72" i="76" s="1"/>
  <c r="Z72" i="76" s="1"/>
  <c r="H72" i="76"/>
  <c r="D72" i="76"/>
  <c r="L72" i="76" s="1"/>
  <c r="B72" i="76"/>
  <c r="Z71" i="76"/>
  <c r="X71" i="76"/>
  <c r="N71" i="76"/>
  <c r="L71" i="76"/>
  <c r="B71" i="76"/>
  <c r="Z70" i="76"/>
  <c r="X70" i="76"/>
  <c r="N70" i="76"/>
  <c r="L70" i="76"/>
  <c r="B70" i="76"/>
  <c r="T69" i="76"/>
  <c r="P69" i="76"/>
  <c r="X69" i="76" s="1"/>
  <c r="H69" i="76"/>
  <c r="D69" i="76"/>
  <c r="L69" i="76" s="1"/>
  <c r="B69" i="76"/>
  <c r="X68" i="76"/>
  <c r="Z68" i="76" s="1"/>
  <c r="V68" i="76"/>
  <c r="N68" i="76"/>
  <c r="L68" i="76"/>
  <c r="B68" i="76"/>
  <c r="T67" i="76"/>
  <c r="P67" i="76"/>
  <c r="X67" i="76" s="1"/>
  <c r="H67" i="76"/>
  <c r="D67" i="76"/>
  <c r="L67" i="76" s="1"/>
  <c r="N67" i="76" s="1"/>
  <c r="B67" i="76"/>
  <c r="Z66" i="76"/>
  <c r="X66" i="76"/>
  <c r="L66" i="76"/>
  <c r="N66" i="76" s="1"/>
  <c r="B66" i="76"/>
  <c r="X65" i="76"/>
  <c r="T65" i="76"/>
  <c r="Z65" i="76" s="1"/>
  <c r="P65" i="76"/>
  <c r="L65" i="76"/>
  <c r="H65" i="76"/>
  <c r="N65" i="76" s="1"/>
  <c r="D65" i="76"/>
  <c r="B65" i="76"/>
  <c r="Z64" i="76"/>
  <c r="X64" i="76"/>
  <c r="L64" i="76"/>
  <c r="N64" i="76" s="1"/>
  <c r="B64" i="76"/>
  <c r="T63" i="76"/>
  <c r="P63" i="76"/>
  <c r="X63" i="76" s="1"/>
  <c r="H63" i="76"/>
  <c r="F63" i="76"/>
  <c r="D63" i="76"/>
  <c r="B63" i="76"/>
  <c r="Z62" i="76"/>
  <c r="X62" i="76"/>
  <c r="N62" i="76"/>
  <c r="L62" i="76"/>
  <c r="B62" i="76"/>
  <c r="T61" i="76"/>
  <c r="P61" i="76"/>
  <c r="X61" i="76" s="1"/>
  <c r="Z61" i="76" s="1"/>
  <c r="H61" i="76"/>
  <c r="D61" i="76"/>
  <c r="L61" i="76" s="1"/>
  <c r="B61" i="76"/>
  <c r="Z60" i="76"/>
  <c r="X60" i="76"/>
  <c r="N60" i="76"/>
  <c r="L60" i="76"/>
  <c r="B60" i="76"/>
  <c r="X59" i="76"/>
  <c r="V59" i="76"/>
  <c r="T59" i="76"/>
  <c r="Z59" i="76" s="1"/>
  <c r="P59" i="76"/>
  <c r="L59" i="76"/>
  <c r="H59" i="76"/>
  <c r="N59" i="76" s="1"/>
  <c r="D59" i="76"/>
  <c r="B59" i="76"/>
  <c r="Z58" i="76"/>
  <c r="X58" i="76"/>
  <c r="N58" i="76"/>
  <c r="L58" i="76"/>
  <c r="B58" i="76"/>
  <c r="T57" i="76"/>
  <c r="P57" i="76"/>
  <c r="X57" i="76" s="1"/>
  <c r="H57" i="76"/>
  <c r="D57" i="76"/>
  <c r="L57" i="76" s="1"/>
  <c r="B57" i="76"/>
  <c r="Z56" i="76"/>
  <c r="X56" i="76"/>
  <c r="V56" i="76"/>
  <c r="N56" i="76"/>
  <c r="L56" i="76"/>
  <c r="B56" i="76"/>
  <c r="T55" i="76"/>
  <c r="Z55" i="76" s="1"/>
  <c r="P55" i="76"/>
  <c r="X55" i="76" s="1"/>
  <c r="N55" i="76"/>
  <c r="H55" i="76"/>
  <c r="D55" i="76"/>
  <c r="L55" i="76" s="1"/>
  <c r="B55" i="76"/>
  <c r="Z54" i="76"/>
  <c r="X54" i="76"/>
  <c r="N54" i="76"/>
  <c r="L54" i="76"/>
  <c r="B54" i="76"/>
  <c r="X53" i="76"/>
  <c r="T53" i="76"/>
  <c r="Z53" i="76" s="1"/>
  <c r="P53" i="76"/>
  <c r="L53" i="76"/>
  <c r="J53" i="76"/>
  <c r="H53" i="76"/>
  <c r="D53" i="76"/>
  <c r="B53" i="76"/>
  <c r="Z52" i="76"/>
  <c r="X52" i="76"/>
  <c r="N52" i="76"/>
  <c r="L52" i="76"/>
  <c r="B52" i="76"/>
  <c r="Z51" i="76"/>
  <c r="X51" i="76"/>
  <c r="N51" i="76"/>
  <c r="L51" i="76"/>
  <c r="B51" i="76"/>
  <c r="X50" i="76"/>
  <c r="Z50" i="76" s="1"/>
  <c r="N50" i="76"/>
  <c r="L50" i="76"/>
  <c r="B50" i="76"/>
  <c r="X49" i="76"/>
  <c r="Z49" i="76" s="1"/>
  <c r="N49" i="76"/>
  <c r="L49" i="76"/>
  <c r="B49" i="76"/>
  <c r="Z48" i="76"/>
  <c r="X48" i="76"/>
  <c r="N48" i="76"/>
  <c r="L48" i="76"/>
  <c r="B48" i="76"/>
  <c r="Z47" i="76"/>
  <c r="X47" i="76"/>
  <c r="N47" i="76"/>
  <c r="L47" i="76"/>
  <c r="B47" i="76"/>
  <c r="X46" i="76"/>
  <c r="Z46" i="76" s="1"/>
  <c r="L46" i="76"/>
  <c r="N46" i="76" s="1"/>
  <c r="B46" i="76"/>
  <c r="Z45" i="76"/>
  <c r="X45" i="76"/>
  <c r="N45" i="76"/>
  <c r="L45" i="76"/>
  <c r="B45" i="76"/>
  <c r="Z44" i="76"/>
  <c r="X44" i="76"/>
  <c r="L44" i="76"/>
  <c r="N44" i="76" s="1"/>
  <c r="J44" i="76"/>
  <c r="B44" i="76"/>
  <c r="X43" i="76"/>
  <c r="Z43" i="76" s="1"/>
  <c r="L43" i="76"/>
  <c r="N43" i="76" s="1"/>
  <c r="B43" i="76"/>
  <c r="X42" i="76"/>
  <c r="Z42" i="76" s="1"/>
  <c r="T42" i="76"/>
  <c r="P42" i="76"/>
  <c r="H42" i="76"/>
  <c r="D42" i="76"/>
  <c r="L42" i="76" s="1"/>
  <c r="N42" i="76" s="1"/>
  <c r="B42" i="76"/>
  <c r="Z41" i="76"/>
  <c r="X41" i="76"/>
  <c r="L41" i="76"/>
  <c r="N41" i="76" s="1"/>
  <c r="B41" i="76"/>
  <c r="X40" i="76"/>
  <c r="Z40" i="76" s="1"/>
  <c r="V40" i="76"/>
  <c r="N40" i="76"/>
  <c r="L40" i="76"/>
  <c r="B40" i="76"/>
  <c r="X39" i="76"/>
  <c r="Z39" i="76" s="1"/>
  <c r="L39" i="76"/>
  <c r="N39" i="76" s="1"/>
  <c r="B39" i="76"/>
  <c r="Z38" i="76"/>
  <c r="X38" i="76"/>
  <c r="N38" i="76"/>
  <c r="L38" i="76"/>
  <c r="B38" i="76"/>
  <c r="Z37" i="76"/>
  <c r="X37" i="76"/>
  <c r="L37" i="76"/>
  <c r="N37" i="76" s="1"/>
  <c r="B37" i="76"/>
  <c r="X36" i="76"/>
  <c r="Z36" i="76" s="1"/>
  <c r="V36" i="76"/>
  <c r="N36" i="76"/>
  <c r="L36" i="76"/>
  <c r="B36" i="76"/>
  <c r="X35" i="76"/>
  <c r="Z35" i="76" s="1"/>
  <c r="L35" i="76"/>
  <c r="N35" i="76" s="1"/>
  <c r="B35" i="76"/>
  <c r="X34" i="76"/>
  <c r="Z34" i="76" s="1"/>
  <c r="N34" i="76"/>
  <c r="L34" i="76"/>
  <c r="B34" i="76"/>
  <c r="Z33" i="76"/>
  <c r="X33" i="76"/>
  <c r="L33" i="76"/>
  <c r="N33" i="76" s="1"/>
  <c r="B33" i="76"/>
  <c r="T32" i="76"/>
  <c r="P32" i="76"/>
  <c r="H32" i="76"/>
  <c r="N32" i="76" s="1"/>
  <c r="D32" i="76"/>
  <c r="L32" i="76" s="1"/>
  <c r="B32" i="76"/>
  <c r="V31" i="76"/>
  <c r="T31" i="76"/>
  <c r="P31" i="76"/>
  <c r="X31" i="76" s="1"/>
  <c r="H31" i="76"/>
  <c r="D31" i="76"/>
  <c r="X27" i="76"/>
  <c r="V27" i="76"/>
  <c r="T27" i="76"/>
  <c r="Z27" i="76" s="1"/>
  <c r="P27" i="76"/>
  <c r="H27" i="76"/>
  <c r="N27" i="76" s="1"/>
  <c r="D27" i="76"/>
  <c r="L27" i="76" s="1"/>
  <c r="Z25" i="76"/>
  <c r="P25" i="76"/>
  <c r="X25" i="76" s="1"/>
  <c r="N25" i="76"/>
  <c r="D25" i="76"/>
  <c r="L25" i="76" s="1"/>
  <c r="B25" i="76"/>
  <c r="Z24" i="76"/>
  <c r="P24" i="76"/>
  <c r="X24" i="76" s="1"/>
  <c r="N24" i="76"/>
  <c r="L24" i="76"/>
  <c r="D24" i="76"/>
  <c r="B24" i="76"/>
  <c r="Z23" i="76"/>
  <c r="X23" i="76"/>
  <c r="P23" i="76"/>
  <c r="N23" i="76"/>
  <c r="D23" i="76"/>
  <c r="L23" i="76" s="1"/>
  <c r="B23" i="76"/>
  <c r="Z22" i="76"/>
  <c r="P22" i="76"/>
  <c r="X22" i="76" s="1"/>
  <c r="N22" i="76"/>
  <c r="D22" i="76"/>
  <c r="L22" i="76" s="1"/>
  <c r="B22" i="76"/>
  <c r="Z21" i="76"/>
  <c r="X21" i="76"/>
  <c r="P21" i="76"/>
  <c r="N21" i="76"/>
  <c r="D21" i="76"/>
  <c r="L21" i="76" s="1"/>
  <c r="B21" i="76"/>
  <c r="Z20" i="76"/>
  <c r="P20" i="76"/>
  <c r="X20" i="76" s="1"/>
  <c r="N20" i="76"/>
  <c r="L20" i="76"/>
  <c r="D20" i="76"/>
  <c r="B20" i="76"/>
  <c r="Z19" i="76"/>
  <c r="X19" i="76"/>
  <c r="P19" i="76"/>
  <c r="N19" i="76"/>
  <c r="D19" i="76"/>
  <c r="L19" i="76" s="1"/>
  <c r="B19" i="76"/>
  <c r="X18" i="76"/>
  <c r="Z18" i="76" s="1"/>
  <c r="P18" i="76"/>
  <c r="L18" i="76"/>
  <c r="N18" i="76" s="1"/>
  <c r="D18" i="76"/>
  <c r="B18" i="76"/>
  <c r="Z17" i="76"/>
  <c r="X17" i="76"/>
  <c r="P17" i="76"/>
  <c r="N17" i="76"/>
  <c r="D17" i="76"/>
  <c r="L17" i="76" s="1"/>
  <c r="B17" i="76"/>
  <c r="Z16" i="76"/>
  <c r="P16" i="76"/>
  <c r="X16" i="76" s="1"/>
  <c r="N16" i="76"/>
  <c r="L16" i="76"/>
  <c r="D16" i="76"/>
  <c r="B16" i="76"/>
  <c r="Z15" i="76"/>
  <c r="X15" i="76"/>
  <c r="P15" i="76"/>
  <c r="N15" i="76"/>
  <c r="L15" i="76"/>
  <c r="D15" i="76"/>
  <c r="B15" i="76"/>
  <c r="Z14" i="76"/>
  <c r="P14" i="76"/>
  <c r="X14" i="76" s="1"/>
  <c r="N14" i="76"/>
  <c r="L14" i="76"/>
  <c r="D14" i="76"/>
  <c r="B14" i="76"/>
  <c r="P13" i="76"/>
  <c r="D13" i="76"/>
  <c r="L13" i="76" s="1"/>
  <c r="N13" i="76" s="1"/>
  <c r="B13" i="76"/>
  <c r="T12" i="76"/>
  <c r="H12" i="76"/>
  <c r="D12" i="76"/>
  <c r="D6" i="76"/>
  <c r="D4" i="76"/>
  <c r="Z116" i="75"/>
  <c r="X116" i="75"/>
  <c r="N116" i="75"/>
  <c r="L116" i="75"/>
  <c r="X112" i="75"/>
  <c r="Z112" i="75" s="1"/>
  <c r="P112" i="75"/>
  <c r="L112" i="75"/>
  <c r="N112" i="75" s="1"/>
  <c r="D112" i="75"/>
  <c r="B112" i="75"/>
  <c r="X111" i="75"/>
  <c r="Z111" i="75" s="1"/>
  <c r="P111" i="75"/>
  <c r="D111" i="75"/>
  <c r="L111" i="75" s="1"/>
  <c r="N111" i="75" s="1"/>
  <c r="B111" i="75"/>
  <c r="V110" i="75"/>
  <c r="P110" i="75"/>
  <c r="X110" i="75" s="1"/>
  <c r="Z110" i="75" s="1"/>
  <c r="L110" i="75"/>
  <c r="N110" i="75" s="1"/>
  <c r="D110" i="75"/>
  <c r="B110" i="75"/>
  <c r="T109" i="75"/>
  <c r="P109" i="75"/>
  <c r="X109" i="75" s="1"/>
  <c r="H109" i="75"/>
  <c r="D109" i="75"/>
  <c r="L109" i="75" s="1"/>
  <c r="Z107" i="75"/>
  <c r="X107" i="75"/>
  <c r="N107" i="75"/>
  <c r="L107" i="75"/>
  <c r="B107" i="75"/>
  <c r="T106" i="75"/>
  <c r="Z106" i="75" s="1"/>
  <c r="P106" i="75"/>
  <c r="X106" i="75" s="1"/>
  <c r="N106" i="75"/>
  <c r="L106" i="75"/>
  <c r="H106" i="75"/>
  <c r="D106" i="75"/>
  <c r="B106" i="75"/>
  <c r="X105" i="75"/>
  <c r="Z105" i="75" s="1"/>
  <c r="L105" i="75"/>
  <c r="N105" i="75" s="1"/>
  <c r="B105" i="75"/>
  <c r="T104" i="75"/>
  <c r="P104" i="75"/>
  <c r="X104" i="75" s="1"/>
  <c r="H104" i="75"/>
  <c r="D104" i="75"/>
  <c r="B104" i="75"/>
  <c r="X103" i="75"/>
  <c r="Z103" i="75" s="1"/>
  <c r="N103" i="75"/>
  <c r="L103" i="75"/>
  <c r="B103" i="75"/>
  <c r="T102" i="75"/>
  <c r="X102" i="75" s="1"/>
  <c r="P102" i="75"/>
  <c r="H102" i="75"/>
  <c r="D102" i="75"/>
  <c r="L102" i="75" s="1"/>
  <c r="N102" i="75" s="1"/>
  <c r="B102" i="75"/>
  <c r="Z101" i="75"/>
  <c r="X101" i="75"/>
  <c r="L101" i="75"/>
  <c r="N101" i="75" s="1"/>
  <c r="B101" i="75"/>
  <c r="X100" i="75"/>
  <c r="Z100" i="75" s="1"/>
  <c r="L100" i="75"/>
  <c r="N100" i="75" s="1"/>
  <c r="B100" i="75"/>
  <c r="Z99" i="75"/>
  <c r="X99" i="75"/>
  <c r="N99" i="75"/>
  <c r="L99" i="75"/>
  <c r="B99" i="75"/>
  <c r="Z98" i="75"/>
  <c r="X98" i="75"/>
  <c r="L98" i="75"/>
  <c r="N98" i="75" s="1"/>
  <c r="B98" i="75"/>
  <c r="T97" i="75"/>
  <c r="Z97" i="75" s="1"/>
  <c r="P97" i="75"/>
  <c r="X97" i="75" s="1"/>
  <c r="H97" i="75"/>
  <c r="D97" i="75"/>
  <c r="L97" i="75" s="1"/>
  <c r="B97" i="75"/>
  <c r="X96" i="75"/>
  <c r="Z96" i="75" s="1"/>
  <c r="N96" i="75"/>
  <c r="L96" i="75"/>
  <c r="B96" i="75"/>
  <c r="Z95" i="75"/>
  <c r="X95" i="75"/>
  <c r="N95" i="75"/>
  <c r="L95" i="75"/>
  <c r="B95" i="75"/>
  <c r="T94" i="75"/>
  <c r="P94" i="75"/>
  <c r="X94" i="75" s="1"/>
  <c r="H94" i="75"/>
  <c r="D94" i="75"/>
  <c r="L94" i="75" s="1"/>
  <c r="B94" i="75"/>
  <c r="X93" i="75"/>
  <c r="Z93" i="75" s="1"/>
  <c r="V93" i="75"/>
  <c r="N93" i="75"/>
  <c r="L93" i="75"/>
  <c r="B93" i="75"/>
  <c r="X92" i="75"/>
  <c r="Z92" i="75" s="1"/>
  <c r="L92" i="75"/>
  <c r="N92" i="75" s="1"/>
  <c r="B92" i="75"/>
  <c r="Z91" i="75"/>
  <c r="X91" i="75"/>
  <c r="N91" i="75"/>
  <c r="L91" i="75"/>
  <c r="B91" i="75"/>
  <c r="T90" i="75"/>
  <c r="Z90" i="75" s="1"/>
  <c r="P90" i="75"/>
  <c r="X90" i="75" s="1"/>
  <c r="H90" i="75"/>
  <c r="D90" i="75"/>
  <c r="L90" i="75" s="1"/>
  <c r="N90" i="75" s="1"/>
  <c r="B90" i="75"/>
  <c r="Z89" i="75"/>
  <c r="X89" i="75"/>
  <c r="L89" i="75"/>
  <c r="N89" i="75" s="1"/>
  <c r="B89" i="75"/>
  <c r="Z88" i="75"/>
  <c r="X88" i="75"/>
  <c r="T88" i="75"/>
  <c r="P88" i="75"/>
  <c r="H88" i="75"/>
  <c r="N88" i="75" s="1"/>
  <c r="D88" i="75"/>
  <c r="L88" i="75" s="1"/>
  <c r="B88" i="75"/>
  <c r="Z87" i="75"/>
  <c r="X87" i="75"/>
  <c r="N87" i="75"/>
  <c r="L87" i="75"/>
  <c r="B87" i="75"/>
  <c r="V86" i="75"/>
  <c r="T86" i="75"/>
  <c r="P86" i="75"/>
  <c r="H86" i="75"/>
  <c r="N86" i="75" s="1"/>
  <c r="D86" i="75"/>
  <c r="L86" i="75" s="1"/>
  <c r="B86" i="75"/>
  <c r="X85" i="75"/>
  <c r="Z85" i="75" s="1"/>
  <c r="V85" i="75"/>
  <c r="N85" i="75"/>
  <c r="L85" i="75"/>
  <c r="B85" i="75"/>
  <c r="T84" i="75"/>
  <c r="P84" i="75"/>
  <c r="X84" i="75" s="1"/>
  <c r="H84" i="75"/>
  <c r="N84" i="75" s="1"/>
  <c r="D84" i="75"/>
  <c r="L84" i="75" s="1"/>
  <c r="B84" i="75"/>
  <c r="Z83" i="75"/>
  <c r="X83" i="75"/>
  <c r="N83" i="75"/>
  <c r="L83" i="75"/>
  <c r="B83" i="75"/>
  <c r="T82" i="75"/>
  <c r="Z82" i="75" s="1"/>
  <c r="P82" i="75"/>
  <c r="X82" i="75" s="1"/>
  <c r="N82" i="75"/>
  <c r="L82" i="75"/>
  <c r="H82" i="75"/>
  <c r="D82" i="75"/>
  <c r="B82" i="75"/>
  <c r="X81" i="75"/>
  <c r="Z81" i="75" s="1"/>
  <c r="L81" i="75"/>
  <c r="N81" i="75" s="1"/>
  <c r="B81" i="75"/>
  <c r="X80" i="75"/>
  <c r="T80" i="75"/>
  <c r="Z80" i="75" s="1"/>
  <c r="P80" i="75"/>
  <c r="H80" i="75"/>
  <c r="D80" i="75"/>
  <c r="B80" i="75"/>
  <c r="Z79" i="75"/>
  <c r="X79" i="75"/>
  <c r="N79" i="75"/>
  <c r="L79" i="75"/>
  <c r="B79" i="75"/>
  <c r="T78" i="75"/>
  <c r="P78" i="75"/>
  <c r="X78" i="75" s="1"/>
  <c r="H78" i="75"/>
  <c r="N78" i="75" s="1"/>
  <c r="D78" i="75"/>
  <c r="L78" i="75" s="1"/>
  <c r="B78" i="75"/>
  <c r="Z77" i="75"/>
  <c r="X77" i="75"/>
  <c r="L77" i="75"/>
  <c r="N77" i="75" s="1"/>
  <c r="B77" i="75"/>
  <c r="Z76" i="75"/>
  <c r="X76" i="75"/>
  <c r="T76" i="75"/>
  <c r="P76" i="75"/>
  <c r="H76" i="75"/>
  <c r="D76" i="75"/>
  <c r="L76" i="75" s="1"/>
  <c r="B76" i="75"/>
  <c r="Z75" i="75"/>
  <c r="X75" i="75"/>
  <c r="N75" i="75"/>
  <c r="L75" i="75"/>
  <c r="B75" i="75"/>
  <c r="V74" i="75"/>
  <c r="T74" i="75"/>
  <c r="P74" i="75"/>
  <c r="H74" i="75"/>
  <c r="N74" i="75" s="1"/>
  <c r="D74" i="75"/>
  <c r="L74" i="75" s="1"/>
  <c r="B74" i="75"/>
  <c r="Z73" i="75"/>
  <c r="X73" i="75"/>
  <c r="N73" i="75"/>
  <c r="L73" i="75"/>
  <c r="B73" i="75"/>
  <c r="Z72" i="75"/>
  <c r="X72" i="75"/>
  <c r="N72" i="75"/>
  <c r="L72" i="75"/>
  <c r="B72" i="75"/>
  <c r="Z71" i="75"/>
  <c r="X71" i="75"/>
  <c r="N71" i="75"/>
  <c r="L71" i="75"/>
  <c r="B71" i="75"/>
  <c r="X70" i="75"/>
  <c r="Z70" i="75" s="1"/>
  <c r="L70" i="75"/>
  <c r="N70" i="75" s="1"/>
  <c r="B70" i="75"/>
  <c r="Z69" i="75"/>
  <c r="X69" i="75"/>
  <c r="N69" i="75"/>
  <c r="L69" i="75"/>
  <c r="B69" i="75"/>
  <c r="Z68" i="75"/>
  <c r="X68" i="75"/>
  <c r="N68" i="75"/>
  <c r="L68" i="75"/>
  <c r="B68" i="75"/>
  <c r="Z67" i="75"/>
  <c r="X67" i="75"/>
  <c r="L67" i="75"/>
  <c r="N67" i="75" s="1"/>
  <c r="B67" i="75"/>
  <c r="Z66" i="75"/>
  <c r="X66" i="75"/>
  <c r="N66" i="75"/>
  <c r="L66" i="75"/>
  <c r="B66" i="75"/>
  <c r="X65" i="75"/>
  <c r="Z65" i="75" s="1"/>
  <c r="V65" i="75"/>
  <c r="L65" i="75"/>
  <c r="N65" i="75" s="1"/>
  <c r="B65" i="75"/>
  <c r="Z64" i="75"/>
  <c r="X64" i="75"/>
  <c r="N64" i="75"/>
  <c r="L64" i="75"/>
  <c r="B64" i="75"/>
  <c r="T63" i="75"/>
  <c r="P63" i="75"/>
  <c r="X63" i="75" s="1"/>
  <c r="L63" i="75"/>
  <c r="H63" i="75"/>
  <c r="N63" i="75" s="1"/>
  <c r="D63" i="75"/>
  <c r="B63" i="75"/>
  <c r="Z62" i="75"/>
  <c r="X62" i="75"/>
  <c r="N62" i="75"/>
  <c r="L62" i="75"/>
  <c r="B62" i="75"/>
  <c r="X61" i="75"/>
  <c r="Z61" i="75" s="1"/>
  <c r="N61" i="75"/>
  <c r="L61" i="75"/>
  <c r="B61" i="75"/>
  <c r="X60" i="75"/>
  <c r="Z60" i="75" s="1"/>
  <c r="L60" i="75"/>
  <c r="N60" i="75" s="1"/>
  <c r="B60" i="75"/>
  <c r="Z59" i="75"/>
  <c r="X59" i="75"/>
  <c r="N59" i="75"/>
  <c r="L59" i="75"/>
  <c r="B59" i="75"/>
  <c r="X58" i="75"/>
  <c r="Z58" i="75" s="1"/>
  <c r="N58" i="75"/>
  <c r="L58" i="75"/>
  <c r="B58" i="75"/>
  <c r="X57" i="75"/>
  <c r="Z57" i="75" s="1"/>
  <c r="N57" i="75"/>
  <c r="L57" i="75"/>
  <c r="B57" i="75"/>
  <c r="Z56" i="75"/>
  <c r="X56" i="75"/>
  <c r="L56" i="75"/>
  <c r="N56" i="75" s="1"/>
  <c r="B56" i="75"/>
  <c r="X55" i="75"/>
  <c r="Z55" i="75" s="1"/>
  <c r="N55" i="75"/>
  <c r="L55" i="75"/>
  <c r="B55" i="75"/>
  <c r="X54" i="75"/>
  <c r="Z54" i="75" s="1"/>
  <c r="L54" i="75"/>
  <c r="N54" i="75" s="1"/>
  <c r="B54" i="75"/>
  <c r="T53" i="75"/>
  <c r="Z53" i="75" s="1"/>
  <c r="P53" i="75"/>
  <c r="X53" i="75" s="1"/>
  <c r="H53" i="75"/>
  <c r="D53" i="75"/>
  <c r="L53" i="75" s="1"/>
  <c r="B53" i="75"/>
  <c r="T52" i="75"/>
  <c r="P52" i="75"/>
  <c r="H52" i="75"/>
  <c r="D52" i="75"/>
  <c r="L52" i="75" s="1"/>
  <c r="T50" i="75"/>
  <c r="Z48" i="75"/>
  <c r="X48" i="75"/>
  <c r="N48" i="75"/>
  <c r="L48" i="75"/>
  <c r="B48" i="75"/>
  <c r="Z47" i="75"/>
  <c r="X47" i="75"/>
  <c r="N47" i="75"/>
  <c r="L47" i="75"/>
  <c r="B47" i="75"/>
  <c r="Z46" i="75"/>
  <c r="X46" i="75"/>
  <c r="V46" i="75"/>
  <c r="N46" i="75"/>
  <c r="L46" i="75"/>
  <c r="B46" i="75"/>
  <c r="Z45" i="75"/>
  <c r="X45" i="75"/>
  <c r="N45" i="75"/>
  <c r="L45" i="75"/>
  <c r="B45" i="75"/>
  <c r="Z44" i="75"/>
  <c r="X44" i="75"/>
  <c r="N44" i="75"/>
  <c r="L44" i="75"/>
  <c r="B44" i="75"/>
  <c r="Z43" i="75"/>
  <c r="X43" i="75"/>
  <c r="N43" i="75"/>
  <c r="L43" i="75"/>
  <c r="B43" i="75"/>
  <c r="Z42" i="75"/>
  <c r="X42" i="75"/>
  <c r="V42" i="75"/>
  <c r="N42" i="75"/>
  <c r="L42" i="75"/>
  <c r="B42" i="75"/>
  <c r="Z41" i="75"/>
  <c r="X41" i="75"/>
  <c r="V41" i="75"/>
  <c r="N41" i="75"/>
  <c r="L41" i="75"/>
  <c r="B41" i="75"/>
  <c r="Z40" i="75"/>
  <c r="X40" i="75"/>
  <c r="N40" i="75"/>
  <c r="L40" i="75"/>
  <c r="B40" i="75"/>
  <c r="Z39" i="75"/>
  <c r="X39" i="75"/>
  <c r="N39" i="75"/>
  <c r="L39" i="75"/>
  <c r="B39" i="75"/>
  <c r="Z38" i="75"/>
  <c r="X38" i="75"/>
  <c r="N38" i="75"/>
  <c r="L38" i="75"/>
  <c r="B38" i="75"/>
  <c r="Z37" i="75"/>
  <c r="X37" i="75"/>
  <c r="V37" i="75"/>
  <c r="N37" i="75"/>
  <c r="L37" i="75"/>
  <c r="B37" i="75"/>
  <c r="Z36" i="75"/>
  <c r="X36" i="75"/>
  <c r="V36" i="75"/>
  <c r="N36" i="75"/>
  <c r="L36" i="75"/>
  <c r="B36" i="75"/>
  <c r="Z35" i="75"/>
  <c r="X35" i="75"/>
  <c r="N35" i="75"/>
  <c r="L35" i="75"/>
  <c r="B35" i="75"/>
  <c r="X34" i="75"/>
  <c r="Z34" i="75" s="1"/>
  <c r="V34" i="75"/>
  <c r="N34" i="75"/>
  <c r="L34" i="75"/>
  <c r="B34" i="75"/>
  <c r="V33" i="75"/>
  <c r="T33" i="75"/>
  <c r="P33" i="75"/>
  <c r="X33" i="75" s="1"/>
  <c r="Z33" i="75" s="1"/>
  <c r="L33" i="75"/>
  <c r="N33" i="75" s="1"/>
  <c r="H33" i="75"/>
  <c r="D33" i="75"/>
  <c r="Z31" i="75"/>
  <c r="P31" i="75"/>
  <c r="X31" i="75" s="1"/>
  <c r="N31" i="75"/>
  <c r="D31" i="75"/>
  <c r="L31" i="75" s="1"/>
  <c r="B31" i="75"/>
  <c r="Z30" i="75"/>
  <c r="P30" i="75"/>
  <c r="X30" i="75" s="1"/>
  <c r="N30" i="75"/>
  <c r="D30" i="75"/>
  <c r="L30" i="75" s="1"/>
  <c r="B30" i="75"/>
  <c r="Z29" i="75"/>
  <c r="P29" i="75"/>
  <c r="X29" i="75" s="1"/>
  <c r="N29" i="75"/>
  <c r="D29" i="75"/>
  <c r="L29" i="75" s="1"/>
  <c r="B29" i="75"/>
  <c r="Z28" i="75"/>
  <c r="X28" i="75"/>
  <c r="P28" i="75"/>
  <c r="N28" i="75"/>
  <c r="D28" i="75"/>
  <c r="L28" i="75" s="1"/>
  <c r="B28" i="75"/>
  <c r="Z27" i="75"/>
  <c r="X27" i="75"/>
  <c r="P27" i="75"/>
  <c r="N27" i="75"/>
  <c r="D27" i="75"/>
  <c r="L27" i="75" s="1"/>
  <c r="B27" i="75"/>
  <c r="Z26" i="75"/>
  <c r="X26" i="75"/>
  <c r="P26" i="75"/>
  <c r="N26" i="75"/>
  <c r="D26" i="75"/>
  <c r="L26" i="75" s="1"/>
  <c r="B26" i="75"/>
  <c r="Z25" i="75"/>
  <c r="X25" i="75"/>
  <c r="P25" i="75"/>
  <c r="N25" i="75"/>
  <c r="L25" i="75"/>
  <c r="D25" i="75"/>
  <c r="B25" i="75"/>
  <c r="Z24" i="75"/>
  <c r="X24" i="75"/>
  <c r="P24" i="75"/>
  <c r="N24" i="75"/>
  <c r="L24" i="75"/>
  <c r="D24" i="75"/>
  <c r="B24" i="75"/>
  <c r="Z23" i="75"/>
  <c r="P23" i="75"/>
  <c r="X23" i="75" s="1"/>
  <c r="N23" i="75"/>
  <c r="L23" i="75"/>
  <c r="D23" i="75"/>
  <c r="B23" i="75"/>
  <c r="Z22" i="75"/>
  <c r="P22" i="75"/>
  <c r="X22" i="75" s="1"/>
  <c r="N22" i="75"/>
  <c r="L22" i="75"/>
  <c r="D22" i="75"/>
  <c r="B22" i="75"/>
  <c r="Z21" i="75"/>
  <c r="P21" i="75"/>
  <c r="X21" i="75" s="1"/>
  <c r="N21" i="75"/>
  <c r="L21" i="75"/>
  <c r="D21" i="75"/>
  <c r="B21" i="75"/>
  <c r="Z20" i="75"/>
  <c r="P20" i="75"/>
  <c r="N20" i="75"/>
  <c r="D20" i="75"/>
  <c r="L20" i="75" s="1"/>
  <c r="B20" i="75"/>
  <c r="Z19" i="75"/>
  <c r="P19" i="75"/>
  <c r="X19" i="75" s="1"/>
  <c r="N19" i="75"/>
  <c r="D19" i="75"/>
  <c r="L19" i="75" s="1"/>
  <c r="B19" i="75"/>
  <c r="Z18" i="75"/>
  <c r="P18" i="75"/>
  <c r="X18" i="75" s="1"/>
  <c r="N18" i="75"/>
  <c r="D18" i="75"/>
  <c r="L18" i="75" s="1"/>
  <c r="B18" i="75"/>
  <c r="Z17" i="75"/>
  <c r="P17" i="75"/>
  <c r="X17" i="75" s="1"/>
  <c r="N17" i="75"/>
  <c r="D17" i="75"/>
  <c r="L17" i="75" s="1"/>
  <c r="B17" i="75"/>
  <c r="Z16" i="75"/>
  <c r="X16" i="75"/>
  <c r="P16" i="75"/>
  <c r="N16" i="75"/>
  <c r="D16" i="75"/>
  <c r="L16" i="75" s="1"/>
  <c r="B16" i="75"/>
  <c r="Z15" i="75"/>
  <c r="X15" i="75"/>
  <c r="P15" i="75"/>
  <c r="N15" i="75"/>
  <c r="D15" i="75"/>
  <c r="L15" i="75" s="1"/>
  <c r="B15" i="75"/>
  <c r="Z14" i="75"/>
  <c r="X14" i="75"/>
  <c r="P14" i="75"/>
  <c r="N14" i="75"/>
  <c r="D14" i="75"/>
  <c r="L14" i="75" s="1"/>
  <c r="B14" i="75"/>
  <c r="X13" i="75"/>
  <c r="Z13" i="75" s="1"/>
  <c r="P13" i="75"/>
  <c r="L13" i="75"/>
  <c r="N13" i="75" s="1"/>
  <c r="D13" i="75"/>
  <c r="B13" i="75"/>
  <c r="T12" i="75"/>
  <c r="V45" i="75" s="1"/>
  <c r="H12" i="75"/>
  <c r="D6" i="75"/>
  <c r="D4" i="75"/>
  <c r="X91" i="74"/>
  <c r="Z91" i="74" s="1"/>
  <c r="L91" i="74"/>
  <c r="N91" i="74" s="1"/>
  <c r="J91" i="74"/>
  <c r="Z87" i="74"/>
  <c r="T87" i="74"/>
  <c r="P87" i="74"/>
  <c r="X87" i="74" s="1"/>
  <c r="H87" i="74"/>
  <c r="N87" i="74" s="1"/>
  <c r="D87" i="74"/>
  <c r="Z85" i="74"/>
  <c r="X85" i="74"/>
  <c r="L85" i="74"/>
  <c r="N85" i="74" s="1"/>
  <c r="B85" i="74"/>
  <c r="T84" i="74"/>
  <c r="P84" i="74"/>
  <c r="N84" i="74"/>
  <c r="L84" i="74"/>
  <c r="J84" i="74"/>
  <c r="H84" i="74"/>
  <c r="D84" i="74"/>
  <c r="B84" i="74"/>
  <c r="Z83" i="74"/>
  <c r="X83" i="74"/>
  <c r="V83" i="74"/>
  <c r="N83" i="74"/>
  <c r="L83" i="74"/>
  <c r="B83" i="74"/>
  <c r="T82" i="74"/>
  <c r="Z82" i="74" s="1"/>
  <c r="P82" i="74"/>
  <c r="H82" i="74"/>
  <c r="L82" i="74" s="1"/>
  <c r="D82" i="74"/>
  <c r="B82" i="74"/>
  <c r="X81" i="74"/>
  <c r="Z81" i="74" s="1"/>
  <c r="V81" i="74"/>
  <c r="N81" i="74"/>
  <c r="L81" i="74"/>
  <c r="B81" i="74"/>
  <c r="T80" i="74"/>
  <c r="P80" i="74"/>
  <c r="X80" i="74" s="1"/>
  <c r="Z80" i="74" s="1"/>
  <c r="L80" i="74"/>
  <c r="N80" i="74" s="1"/>
  <c r="H80" i="74"/>
  <c r="D80" i="74"/>
  <c r="B80" i="74"/>
  <c r="Z79" i="74"/>
  <c r="X79" i="74"/>
  <c r="N79" i="74"/>
  <c r="L79" i="74"/>
  <c r="J79" i="74"/>
  <c r="B79" i="74"/>
  <c r="Z78" i="74"/>
  <c r="X78" i="74"/>
  <c r="V78" i="74"/>
  <c r="N78" i="74"/>
  <c r="L78" i="74"/>
  <c r="J78" i="74"/>
  <c r="B78" i="74"/>
  <c r="Z77" i="74"/>
  <c r="T77" i="74"/>
  <c r="P77" i="74"/>
  <c r="X77" i="74" s="1"/>
  <c r="H77" i="74"/>
  <c r="D77" i="74"/>
  <c r="B77" i="74"/>
  <c r="X76" i="74"/>
  <c r="Z76" i="74" s="1"/>
  <c r="N76" i="74"/>
  <c r="L76" i="74"/>
  <c r="B76" i="74"/>
  <c r="Z75" i="74"/>
  <c r="V75" i="74"/>
  <c r="T75" i="74"/>
  <c r="P75" i="74"/>
  <c r="X75" i="74" s="1"/>
  <c r="L75" i="74"/>
  <c r="H75" i="74"/>
  <c r="N75" i="74" s="1"/>
  <c r="D75" i="74"/>
  <c r="B75" i="74"/>
  <c r="Z74" i="74"/>
  <c r="X74" i="74"/>
  <c r="N74" i="74"/>
  <c r="L74" i="74"/>
  <c r="J74" i="74"/>
  <c r="B74" i="74"/>
  <c r="Z73" i="74"/>
  <c r="X73" i="74"/>
  <c r="V73" i="74"/>
  <c r="N73" i="74"/>
  <c r="L73" i="74"/>
  <c r="B73" i="74"/>
  <c r="Z72" i="74"/>
  <c r="X72" i="74"/>
  <c r="N72" i="74"/>
  <c r="L72" i="74"/>
  <c r="B72" i="74"/>
  <c r="X71" i="74"/>
  <c r="Z71" i="74" s="1"/>
  <c r="L71" i="74"/>
  <c r="N71" i="74" s="1"/>
  <c r="B71" i="74"/>
  <c r="Z70" i="74"/>
  <c r="X70" i="74"/>
  <c r="N70" i="74"/>
  <c r="L70" i="74"/>
  <c r="J70" i="74"/>
  <c r="B70" i="74"/>
  <c r="Z69" i="74"/>
  <c r="X69" i="74"/>
  <c r="V69" i="74"/>
  <c r="N69" i="74"/>
  <c r="L69" i="74"/>
  <c r="B69" i="74"/>
  <c r="Z68" i="74"/>
  <c r="X68" i="74"/>
  <c r="N68" i="74"/>
  <c r="L68" i="74"/>
  <c r="B68" i="74"/>
  <c r="Z67" i="74"/>
  <c r="X67" i="74"/>
  <c r="N67" i="74"/>
  <c r="L67" i="74"/>
  <c r="B67" i="74"/>
  <c r="Z66" i="74"/>
  <c r="X66" i="74"/>
  <c r="N66" i="74"/>
  <c r="L66" i="74"/>
  <c r="J66" i="74"/>
  <c r="B66" i="74"/>
  <c r="X65" i="74"/>
  <c r="Z65" i="74" s="1"/>
  <c r="V65" i="74"/>
  <c r="N65" i="74"/>
  <c r="L65" i="74"/>
  <c r="B65" i="74"/>
  <c r="Z64" i="74"/>
  <c r="T64" i="74"/>
  <c r="P64" i="74"/>
  <c r="X64" i="74" s="1"/>
  <c r="L64" i="74"/>
  <c r="H64" i="74"/>
  <c r="N64" i="74" s="1"/>
  <c r="D64" i="74"/>
  <c r="B64" i="74"/>
  <c r="X63" i="74"/>
  <c r="Z63" i="74" s="1"/>
  <c r="N63" i="74"/>
  <c r="L63" i="74"/>
  <c r="J63" i="74"/>
  <c r="B63" i="74"/>
  <c r="Z62" i="74"/>
  <c r="X62" i="74"/>
  <c r="V62" i="74"/>
  <c r="N62" i="74"/>
  <c r="L62" i="74"/>
  <c r="J62" i="74"/>
  <c r="B62" i="74"/>
  <c r="Z61" i="74"/>
  <c r="X61" i="74"/>
  <c r="N61" i="74"/>
  <c r="L61" i="74"/>
  <c r="B61" i="74"/>
  <c r="X60" i="74"/>
  <c r="Z60" i="74" s="1"/>
  <c r="L60" i="74"/>
  <c r="N60" i="74" s="1"/>
  <c r="B60" i="74"/>
  <c r="X59" i="74"/>
  <c r="Z59" i="74" s="1"/>
  <c r="N59" i="74"/>
  <c r="L59" i="74"/>
  <c r="J59" i="74"/>
  <c r="B59" i="74"/>
  <c r="Z58" i="74"/>
  <c r="X58" i="74"/>
  <c r="V58" i="74"/>
  <c r="N58" i="74"/>
  <c r="L58" i="74"/>
  <c r="J58" i="74"/>
  <c r="B58" i="74"/>
  <c r="Z57" i="74"/>
  <c r="X57" i="74"/>
  <c r="L57" i="74"/>
  <c r="N57" i="74" s="1"/>
  <c r="B57" i="74"/>
  <c r="X56" i="74"/>
  <c r="Z56" i="74" s="1"/>
  <c r="L56" i="74"/>
  <c r="N56" i="74" s="1"/>
  <c r="B56" i="74"/>
  <c r="T55" i="74"/>
  <c r="P55" i="74"/>
  <c r="H55" i="74"/>
  <c r="D55" i="74"/>
  <c r="L55" i="74" s="1"/>
  <c r="N55" i="74" s="1"/>
  <c r="B55" i="74"/>
  <c r="T54" i="74"/>
  <c r="P54" i="74"/>
  <c r="X54" i="74" s="1"/>
  <c r="H54" i="74"/>
  <c r="D54" i="74"/>
  <c r="L54" i="74" s="1"/>
  <c r="T52" i="74"/>
  <c r="Z50" i="74"/>
  <c r="X50" i="74"/>
  <c r="V50" i="74"/>
  <c r="N50" i="74"/>
  <c r="L50" i="74"/>
  <c r="B50" i="74"/>
  <c r="Z49" i="74"/>
  <c r="X49" i="74"/>
  <c r="N49" i="74"/>
  <c r="L49" i="74"/>
  <c r="J49" i="74"/>
  <c r="B49" i="74"/>
  <c r="Z48" i="74"/>
  <c r="X48" i="74"/>
  <c r="N48" i="74"/>
  <c r="L48" i="74"/>
  <c r="B48" i="74"/>
  <c r="Z47" i="74"/>
  <c r="X47" i="74"/>
  <c r="V47" i="74"/>
  <c r="N47" i="74"/>
  <c r="L47" i="74"/>
  <c r="B47" i="74"/>
  <c r="Z46" i="74"/>
  <c r="X46" i="74"/>
  <c r="V46" i="74"/>
  <c r="N46" i="74"/>
  <c r="L46" i="74"/>
  <c r="B46" i="74"/>
  <c r="Z45" i="74"/>
  <c r="X45" i="74"/>
  <c r="N45" i="74"/>
  <c r="L45" i="74"/>
  <c r="J45" i="74"/>
  <c r="B45" i="74"/>
  <c r="Z44" i="74"/>
  <c r="X44" i="74"/>
  <c r="N44" i="74"/>
  <c r="L44" i="74"/>
  <c r="B44" i="74"/>
  <c r="Z43" i="74"/>
  <c r="X43" i="74"/>
  <c r="V43" i="74"/>
  <c r="N43" i="74"/>
  <c r="L43" i="74"/>
  <c r="B43" i="74"/>
  <c r="Z42" i="74"/>
  <c r="X42" i="74"/>
  <c r="V42" i="74"/>
  <c r="N42" i="74"/>
  <c r="L42" i="74"/>
  <c r="B42" i="74"/>
  <c r="Z41" i="74"/>
  <c r="X41" i="74"/>
  <c r="N41" i="74"/>
  <c r="L41" i="74"/>
  <c r="J41" i="74"/>
  <c r="B41" i="74"/>
  <c r="Z40" i="74"/>
  <c r="X40" i="74"/>
  <c r="N40" i="74"/>
  <c r="L40" i="74"/>
  <c r="B40" i="74"/>
  <c r="Z39" i="74"/>
  <c r="X39" i="74"/>
  <c r="V39" i="74"/>
  <c r="N39" i="74"/>
  <c r="L39" i="74"/>
  <c r="B39" i="74"/>
  <c r="Z38" i="74"/>
  <c r="X38" i="74"/>
  <c r="V38" i="74"/>
  <c r="N38" i="74"/>
  <c r="L38" i="74"/>
  <c r="B38" i="74"/>
  <c r="Z37" i="74"/>
  <c r="X37" i="74"/>
  <c r="N37" i="74"/>
  <c r="L37" i="74"/>
  <c r="J37" i="74"/>
  <c r="B37" i="74"/>
  <c r="X36" i="74"/>
  <c r="Z36" i="74" s="1"/>
  <c r="N36" i="74"/>
  <c r="L36" i="74"/>
  <c r="B36" i="74"/>
  <c r="V35" i="74"/>
  <c r="T35" i="74"/>
  <c r="P35" i="74"/>
  <c r="X35" i="74" s="1"/>
  <c r="Z35" i="74" s="1"/>
  <c r="L35" i="74"/>
  <c r="H35" i="74"/>
  <c r="N35" i="74" s="1"/>
  <c r="D35" i="74"/>
  <c r="Z33" i="74"/>
  <c r="P33" i="74"/>
  <c r="X33" i="74" s="1"/>
  <c r="N33" i="74"/>
  <c r="D33" i="74"/>
  <c r="L33" i="74" s="1"/>
  <c r="B33" i="74"/>
  <c r="Z32" i="74"/>
  <c r="P32" i="74"/>
  <c r="X32" i="74" s="1"/>
  <c r="N32" i="74"/>
  <c r="D32" i="74"/>
  <c r="L32" i="74" s="1"/>
  <c r="B32" i="74"/>
  <c r="Z31" i="74"/>
  <c r="X31" i="74"/>
  <c r="P31" i="74"/>
  <c r="N31" i="74"/>
  <c r="D31" i="74"/>
  <c r="L31" i="74" s="1"/>
  <c r="B31" i="74"/>
  <c r="Z30" i="74"/>
  <c r="P30" i="74"/>
  <c r="X30" i="74" s="1"/>
  <c r="N30" i="74"/>
  <c r="D30" i="74"/>
  <c r="L30" i="74" s="1"/>
  <c r="B30" i="74"/>
  <c r="Z29" i="74"/>
  <c r="X29" i="74"/>
  <c r="P29" i="74"/>
  <c r="N29" i="74"/>
  <c r="D29" i="74"/>
  <c r="L29" i="74" s="1"/>
  <c r="B29" i="74"/>
  <c r="Z28" i="74"/>
  <c r="X28" i="74"/>
  <c r="P28" i="74"/>
  <c r="N28" i="74"/>
  <c r="L28" i="74"/>
  <c r="D28" i="74"/>
  <c r="B28" i="74"/>
  <c r="Z27" i="74"/>
  <c r="X27" i="74"/>
  <c r="P27" i="74"/>
  <c r="N27" i="74"/>
  <c r="D27" i="74"/>
  <c r="L27" i="74" s="1"/>
  <c r="B27" i="74"/>
  <c r="Z26" i="74"/>
  <c r="X26" i="74"/>
  <c r="P26" i="74"/>
  <c r="N26" i="74"/>
  <c r="L26" i="74"/>
  <c r="D26" i="74"/>
  <c r="B26" i="74"/>
  <c r="Z25" i="74"/>
  <c r="X25" i="74"/>
  <c r="P25" i="74"/>
  <c r="N25" i="74"/>
  <c r="L25" i="74"/>
  <c r="D25" i="74"/>
  <c r="B25" i="74"/>
  <c r="Z24" i="74"/>
  <c r="P24" i="74"/>
  <c r="X24" i="74" s="1"/>
  <c r="N24" i="74"/>
  <c r="L24" i="74"/>
  <c r="D24" i="74"/>
  <c r="B24" i="74"/>
  <c r="Z23" i="74"/>
  <c r="P23" i="74"/>
  <c r="X23" i="74" s="1"/>
  <c r="N23" i="74"/>
  <c r="L23" i="74"/>
  <c r="D23" i="74"/>
  <c r="B23" i="74"/>
  <c r="Z22" i="74"/>
  <c r="P22" i="74"/>
  <c r="X22" i="74" s="1"/>
  <c r="N22" i="74"/>
  <c r="L22" i="74"/>
  <c r="D22" i="74"/>
  <c r="B22" i="74"/>
  <c r="Z21" i="74"/>
  <c r="P21" i="74"/>
  <c r="X21" i="74" s="1"/>
  <c r="D21" i="74"/>
  <c r="L21" i="74" s="1"/>
  <c r="N21" i="74" s="1"/>
  <c r="B21" i="74"/>
  <c r="Z20" i="74"/>
  <c r="P20" i="74"/>
  <c r="X20" i="74" s="1"/>
  <c r="N20" i="74"/>
  <c r="D20" i="74"/>
  <c r="L20" i="74" s="1"/>
  <c r="B20" i="74"/>
  <c r="Z19" i="74"/>
  <c r="P19" i="74"/>
  <c r="X19" i="74" s="1"/>
  <c r="N19" i="74"/>
  <c r="D19" i="74"/>
  <c r="L19" i="74" s="1"/>
  <c r="B19" i="74"/>
  <c r="Z18" i="74"/>
  <c r="P18" i="74"/>
  <c r="X18" i="74" s="1"/>
  <c r="N18" i="74"/>
  <c r="D18" i="74"/>
  <c r="L18" i="74" s="1"/>
  <c r="B18" i="74"/>
  <c r="Z17" i="74"/>
  <c r="X17" i="74"/>
  <c r="P17" i="74"/>
  <c r="N17" i="74"/>
  <c r="L17" i="74"/>
  <c r="D17" i="74"/>
  <c r="B17" i="74"/>
  <c r="Z16" i="74"/>
  <c r="X16" i="74"/>
  <c r="P16" i="74"/>
  <c r="N16" i="74"/>
  <c r="L16" i="74"/>
  <c r="D16" i="74"/>
  <c r="B16" i="74"/>
  <c r="Z15" i="74"/>
  <c r="X15" i="74"/>
  <c r="P15" i="74"/>
  <c r="P12" i="74" s="1"/>
  <c r="N15" i="74"/>
  <c r="D15" i="74"/>
  <c r="L15" i="74" s="1"/>
  <c r="B15" i="74"/>
  <c r="Z14" i="74"/>
  <c r="X14" i="74"/>
  <c r="P14" i="74"/>
  <c r="N14" i="74"/>
  <c r="L14" i="74"/>
  <c r="D14" i="74"/>
  <c r="B14" i="74"/>
  <c r="Z13" i="74"/>
  <c r="X13" i="74"/>
  <c r="P13" i="74"/>
  <c r="L13" i="74"/>
  <c r="N13" i="74" s="1"/>
  <c r="D13" i="74"/>
  <c r="B13" i="74"/>
  <c r="T12" i="74"/>
  <c r="H12" i="74"/>
  <c r="J81" i="74" s="1"/>
  <c r="D6" i="74"/>
  <c r="D4" i="74"/>
  <c r="X82" i="73"/>
  <c r="Z82" i="73" s="1"/>
  <c r="N82" i="73"/>
  <c r="L82" i="73"/>
  <c r="T78" i="73"/>
  <c r="Z78" i="73" s="1"/>
  <c r="P78" i="73"/>
  <c r="X78" i="73" s="1"/>
  <c r="H78" i="73"/>
  <c r="N78" i="73" s="1"/>
  <c r="D78" i="73"/>
  <c r="L78" i="73" s="1"/>
  <c r="Z76" i="73"/>
  <c r="X76" i="73"/>
  <c r="L76" i="73"/>
  <c r="N76" i="73" s="1"/>
  <c r="B76" i="73"/>
  <c r="X75" i="73"/>
  <c r="T75" i="73"/>
  <c r="P75" i="73"/>
  <c r="N75" i="73"/>
  <c r="H75" i="73"/>
  <c r="D75" i="73"/>
  <c r="L75" i="73" s="1"/>
  <c r="B75" i="73"/>
  <c r="Z74" i="73"/>
  <c r="X74" i="73"/>
  <c r="L74" i="73"/>
  <c r="N74" i="73" s="1"/>
  <c r="B74" i="73"/>
  <c r="T73" i="73"/>
  <c r="P73" i="73"/>
  <c r="L73" i="73"/>
  <c r="H73" i="73"/>
  <c r="N73" i="73" s="1"/>
  <c r="D73" i="73"/>
  <c r="B73" i="73"/>
  <c r="Z72" i="73"/>
  <c r="X72" i="73"/>
  <c r="N72" i="73"/>
  <c r="L72" i="73"/>
  <c r="B72" i="73"/>
  <c r="Z71" i="73"/>
  <c r="X71" i="73"/>
  <c r="N71" i="73"/>
  <c r="L71" i="73"/>
  <c r="B71" i="73"/>
  <c r="Z70" i="73"/>
  <c r="X70" i="73"/>
  <c r="N70" i="73"/>
  <c r="L70" i="73"/>
  <c r="B70" i="73"/>
  <c r="Z69" i="73"/>
  <c r="X69" i="73"/>
  <c r="N69" i="73"/>
  <c r="L69" i="73"/>
  <c r="B69" i="73"/>
  <c r="Z68" i="73"/>
  <c r="X68" i="73"/>
  <c r="V68" i="73"/>
  <c r="T68" i="73"/>
  <c r="P68" i="73"/>
  <c r="N68" i="73"/>
  <c r="L68" i="73"/>
  <c r="H68" i="73"/>
  <c r="D68" i="73"/>
  <c r="B68" i="73"/>
  <c r="Z67" i="73"/>
  <c r="X67" i="73"/>
  <c r="N67" i="73"/>
  <c r="L67" i="73"/>
  <c r="J67" i="73"/>
  <c r="B67" i="73"/>
  <c r="T66" i="73"/>
  <c r="X66" i="73" s="1"/>
  <c r="P66" i="73"/>
  <c r="H66" i="73"/>
  <c r="N66" i="73" s="1"/>
  <c r="D66" i="73"/>
  <c r="B66" i="73"/>
  <c r="X65" i="73"/>
  <c r="Z65" i="73" s="1"/>
  <c r="L65" i="73"/>
  <c r="N65" i="73" s="1"/>
  <c r="B65" i="73"/>
  <c r="Z64" i="73"/>
  <c r="X64" i="73"/>
  <c r="N64" i="73"/>
  <c r="L64" i="73"/>
  <c r="B64" i="73"/>
  <c r="X63" i="73"/>
  <c r="T63" i="73"/>
  <c r="Z63" i="73" s="1"/>
  <c r="P63" i="73"/>
  <c r="H63" i="73"/>
  <c r="D63" i="73"/>
  <c r="B63" i="73"/>
  <c r="Z62" i="73"/>
  <c r="X62" i="73"/>
  <c r="N62" i="73"/>
  <c r="L62" i="73"/>
  <c r="B62" i="73"/>
  <c r="T61" i="73"/>
  <c r="P61" i="73"/>
  <c r="H61" i="73"/>
  <c r="D61" i="73"/>
  <c r="L61" i="73" s="1"/>
  <c r="N61" i="73" s="1"/>
  <c r="B61" i="73"/>
  <c r="Z60" i="73"/>
  <c r="X60" i="73"/>
  <c r="N60" i="73"/>
  <c r="L60" i="73"/>
  <c r="B60" i="73"/>
  <c r="T59" i="73"/>
  <c r="Z59" i="73" s="1"/>
  <c r="P59" i="73"/>
  <c r="X59" i="73" s="1"/>
  <c r="N59" i="73"/>
  <c r="J59" i="73"/>
  <c r="H59" i="73"/>
  <c r="D59" i="73"/>
  <c r="L59" i="73" s="1"/>
  <c r="B59" i="73"/>
  <c r="Z58" i="73"/>
  <c r="X58" i="73"/>
  <c r="N58" i="73"/>
  <c r="L58" i="73"/>
  <c r="B58" i="73"/>
  <c r="T57" i="73"/>
  <c r="P57" i="73"/>
  <c r="L57" i="73"/>
  <c r="H57" i="73"/>
  <c r="N57" i="73" s="1"/>
  <c r="D57" i="73"/>
  <c r="B57" i="73"/>
  <c r="Z56" i="73"/>
  <c r="X56" i="73"/>
  <c r="V56" i="73"/>
  <c r="N56" i="73"/>
  <c r="L56" i="73"/>
  <c r="J56" i="73"/>
  <c r="B56" i="73"/>
  <c r="Z55" i="73"/>
  <c r="T55" i="73"/>
  <c r="P55" i="73"/>
  <c r="X55" i="73" s="1"/>
  <c r="H55" i="73"/>
  <c r="D55" i="73"/>
  <c r="B55" i="73"/>
  <c r="Z54" i="73"/>
  <c r="X54" i="73"/>
  <c r="N54" i="73"/>
  <c r="L54" i="73"/>
  <c r="B54" i="73"/>
  <c r="Z53" i="73"/>
  <c r="T53" i="73"/>
  <c r="P53" i="73"/>
  <c r="X53" i="73" s="1"/>
  <c r="H53" i="73"/>
  <c r="D53" i="73"/>
  <c r="L53" i="73" s="1"/>
  <c r="B53" i="73"/>
  <c r="Z52" i="73"/>
  <c r="X52" i="73"/>
  <c r="N52" i="73"/>
  <c r="L52" i="73"/>
  <c r="B52" i="73"/>
  <c r="X51" i="73"/>
  <c r="T51" i="73"/>
  <c r="Z51" i="73" s="1"/>
  <c r="P51" i="73"/>
  <c r="H51" i="73"/>
  <c r="D51" i="73"/>
  <c r="B51" i="73"/>
  <c r="Z50" i="73"/>
  <c r="X50" i="73"/>
  <c r="N50" i="73"/>
  <c r="L50" i="73"/>
  <c r="B50" i="73"/>
  <c r="T49" i="73"/>
  <c r="P49" i="73"/>
  <c r="N49" i="73"/>
  <c r="H49" i="73"/>
  <c r="D49" i="73"/>
  <c r="L49" i="73" s="1"/>
  <c r="B49" i="73"/>
  <c r="Z48" i="73"/>
  <c r="X48" i="73"/>
  <c r="N48" i="73"/>
  <c r="L48" i="73"/>
  <c r="B48" i="73"/>
  <c r="Z47" i="73"/>
  <c r="X47" i="73"/>
  <c r="N47" i="73"/>
  <c r="L47" i="73"/>
  <c r="J47" i="73"/>
  <c r="B47" i="73"/>
  <c r="Z46" i="73"/>
  <c r="X46" i="73"/>
  <c r="N46" i="73"/>
  <c r="L46" i="73"/>
  <c r="B46" i="73"/>
  <c r="Z45" i="73"/>
  <c r="X45" i="73"/>
  <c r="N45" i="73"/>
  <c r="L45" i="73"/>
  <c r="B45" i="73"/>
  <c r="Z44" i="73"/>
  <c r="X44" i="73"/>
  <c r="N44" i="73"/>
  <c r="L44" i="73"/>
  <c r="B44" i="73"/>
  <c r="Z43" i="73"/>
  <c r="X43" i="73"/>
  <c r="N43" i="73"/>
  <c r="L43" i="73"/>
  <c r="B43" i="73"/>
  <c r="Z42" i="73"/>
  <c r="X42" i="73"/>
  <c r="N42" i="73"/>
  <c r="L42" i="73"/>
  <c r="B42" i="73"/>
  <c r="Z41" i="73"/>
  <c r="X41" i="73"/>
  <c r="V41" i="73"/>
  <c r="N41" i="73"/>
  <c r="L41" i="73"/>
  <c r="B41" i="73"/>
  <c r="Z40" i="73"/>
  <c r="X40" i="73"/>
  <c r="N40" i="73"/>
  <c r="L40" i="73"/>
  <c r="B40" i="73"/>
  <c r="X39" i="73"/>
  <c r="Z39" i="73" s="1"/>
  <c r="L39" i="73"/>
  <c r="N39" i="73" s="1"/>
  <c r="J39" i="73"/>
  <c r="B39" i="73"/>
  <c r="T38" i="73"/>
  <c r="P38" i="73"/>
  <c r="X38" i="73" s="1"/>
  <c r="Z38" i="73" s="1"/>
  <c r="H38" i="73"/>
  <c r="D38" i="73"/>
  <c r="B38" i="73"/>
  <c r="Z37" i="73"/>
  <c r="X37" i="73"/>
  <c r="N37" i="73"/>
  <c r="L37" i="73"/>
  <c r="B37" i="73"/>
  <c r="X36" i="73"/>
  <c r="Z36" i="73" s="1"/>
  <c r="N36" i="73"/>
  <c r="L36" i="73"/>
  <c r="B36" i="73"/>
  <c r="X35" i="73"/>
  <c r="Z35" i="73" s="1"/>
  <c r="V35" i="73"/>
  <c r="N35" i="73"/>
  <c r="L35" i="73"/>
  <c r="B35" i="73"/>
  <c r="Z34" i="73"/>
  <c r="X34" i="73"/>
  <c r="N34" i="73"/>
  <c r="L34" i="73"/>
  <c r="B34" i="73"/>
  <c r="X33" i="73"/>
  <c r="Z33" i="73" s="1"/>
  <c r="L33" i="73"/>
  <c r="N33" i="73" s="1"/>
  <c r="B33" i="73"/>
  <c r="X32" i="73"/>
  <c r="Z32" i="73" s="1"/>
  <c r="N32" i="73"/>
  <c r="L32" i="73"/>
  <c r="B32" i="73"/>
  <c r="X31" i="73"/>
  <c r="Z31" i="73" s="1"/>
  <c r="N31" i="73"/>
  <c r="L31" i="73"/>
  <c r="B31" i="73"/>
  <c r="Z30" i="73"/>
  <c r="X30" i="73"/>
  <c r="N30" i="73"/>
  <c r="L30" i="73"/>
  <c r="B30" i="73"/>
  <c r="X29" i="73"/>
  <c r="Z29" i="73" s="1"/>
  <c r="L29" i="73"/>
  <c r="N29" i="73" s="1"/>
  <c r="B29" i="73"/>
  <c r="X28" i="73"/>
  <c r="T28" i="73"/>
  <c r="P28" i="73"/>
  <c r="N28" i="73"/>
  <c r="H28" i="73"/>
  <c r="D28" i="73"/>
  <c r="L28" i="73" s="1"/>
  <c r="B28" i="73"/>
  <c r="T27" i="73"/>
  <c r="P27" i="73"/>
  <c r="X27" i="73" s="1"/>
  <c r="Z27" i="73" s="1"/>
  <c r="H27" i="73"/>
  <c r="D27" i="73"/>
  <c r="L27" i="73" s="1"/>
  <c r="Z23" i="73"/>
  <c r="X23" i="73"/>
  <c r="N23" i="73"/>
  <c r="L23" i="73"/>
  <c r="B23" i="73"/>
  <c r="Z22" i="73"/>
  <c r="X22" i="73"/>
  <c r="N22" i="73"/>
  <c r="L22" i="73"/>
  <c r="B22" i="73"/>
  <c r="X21" i="73"/>
  <c r="Z21" i="73" s="1"/>
  <c r="L21" i="73"/>
  <c r="N21" i="73" s="1"/>
  <c r="J21" i="73"/>
  <c r="B21" i="73"/>
  <c r="Z20" i="73"/>
  <c r="T20" i="73"/>
  <c r="P20" i="73"/>
  <c r="X20" i="73" s="1"/>
  <c r="H20" i="73"/>
  <c r="D20" i="73"/>
  <c r="Z18" i="73"/>
  <c r="P18" i="73"/>
  <c r="X18" i="73" s="1"/>
  <c r="N18" i="73"/>
  <c r="L18" i="73"/>
  <c r="D18" i="73"/>
  <c r="B18" i="73"/>
  <c r="Z17" i="73"/>
  <c r="P17" i="73"/>
  <c r="X17" i="73" s="1"/>
  <c r="N17" i="73"/>
  <c r="D17" i="73"/>
  <c r="L17" i="73" s="1"/>
  <c r="B17" i="73"/>
  <c r="Z16" i="73"/>
  <c r="P16" i="73"/>
  <c r="X16" i="73" s="1"/>
  <c r="N16" i="73"/>
  <c r="L16" i="73"/>
  <c r="D16" i="73"/>
  <c r="B16" i="73"/>
  <c r="Z15" i="73"/>
  <c r="P15" i="73"/>
  <c r="X15" i="73" s="1"/>
  <c r="N15" i="73"/>
  <c r="D15" i="73"/>
  <c r="L15" i="73" s="1"/>
  <c r="B15" i="73"/>
  <c r="Z14" i="73"/>
  <c r="P14" i="73"/>
  <c r="N14" i="73"/>
  <c r="L14" i="73"/>
  <c r="D14" i="73"/>
  <c r="B14" i="73"/>
  <c r="Z13" i="73"/>
  <c r="X13" i="73"/>
  <c r="P13" i="73"/>
  <c r="N13" i="73"/>
  <c r="L13" i="73"/>
  <c r="D13" i="73"/>
  <c r="B13" i="73"/>
  <c r="T12" i="73"/>
  <c r="H12" i="73"/>
  <c r="H25" i="73" s="1"/>
  <c r="D6" i="73"/>
  <c r="D4" i="73"/>
  <c r="J29" i="72"/>
  <c r="F29" i="72"/>
  <c r="V26" i="72"/>
  <c r="Z24" i="72"/>
  <c r="X24" i="72"/>
  <c r="V24" i="72"/>
  <c r="R24" i="72"/>
  <c r="N24" i="72"/>
  <c r="L24" i="72"/>
  <c r="J22" i="72"/>
  <c r="F22" i="72"/>
  <c r="Z20" i="72"/>
  <c r="T20" i="72"/>
  <c r="X20" i="72" s="1"/>
  <c r="P20" i="72"/>
  <c r="J20" i="72"/>
  <c r="H20" i="72"/>
  <c r="N20" i="72" s="1"/>
  <c r="F20" i="72"/>
  <c r="D20" i="72"/>
  <c r="L20" i="72" s="1"/>
  <c r="Z18" i="72"/>
  <c r="T18" i="72"/>
  <c r="X18" i="72" s="1"/>
  <c r="P18" i="72"/>
  <c r="J18" i="72"/>
  <c r="H18" i="72"/>
  <c r="N18" i="72" s="1"/>
  <c r="F18" i="72"/>
  <c r="D18" i="72"/>
  <c r="L18" i="72" s="1"/>
  <c r="J16" i="72"/>
  <c r="F16" i="72"/>
  <c r="D16" i="72"/>
  <c r="Z14" i="72"/>
  <c r="T14" i="72"/>
  <c r="X14" i="72" s="1"/>
  <c r="P14" i="72"/>
  <c r="J14" i="72"/>
  <c r="H14" i="72"/>
  <c r="N14" i="72" s="1"/>
  <c r="F14" i="72"/>
  <c r="D14" i="72"/>
  <c r="L14" i="72" s="1"/>
  <c r="Z12" i="72"/>
  <c r="T12" i="72"/>
  <c r="V22" i="72" s="1"/>
  <c r="P12" i="72"/>
  <c r="X12" i="72" s="1"/>
  <c r="H12" i="72"/>
  <c r="J24" i="72" s="1"/>
  <c r="D12" i="72"/>
  <c r="F24" i="72" s="1"/>
  <c r="D6" i="72"/>
  <c r="D4" i="72"/>
  <c r="X117" i="71"/>
  <c r="Z117" i="71" s="1"/>
  <c r="L117" i="71"/>
  <c r="N117" i="71" s="1"/>
  <c r="V113" i="71"/>
  <c r="P113" i="71"/>
  <c r="N113" i="71"/>
  <c r="L113" i="71"/>
  <c r="D113" i="71"/>
  <c r="D110" i="71" s="1"/>
  <c r="B113" i="71"/>
  <c r="Z112" i="71"/>
  <c r="P112" i="71"/>
  <c r="X112" i="71" s="1"/>
  <c r="N112" i="71"/>
  <c r="L112" i="71"/>
  <c r="D112" i="71"/>
  <c r="B112" i="71"/>
  <c r="Z111" i="71"/>
  <c r="P111" i="71"/>
  <c r="X111" i="71" s="1"/>
  <c r="N111" i="71"/>
  <c r="L111" i="71"/>
  <c r="J111" i="71"/>
  <c r="D111" i="71"/>
  <c r="B111" i="71"/>
  <c r="T110" i="71"/>
  <c r="L110" i="71"/>
  <c r="N110" i="71" s="1"/>
  <c r="J110" i="71"/>
  <c r="H110" i="71"/>
  <c r="Z108" i="71"/>
  <c r="X108" i="71"/>
  <c r="N108" i="71"/>
  <c r="L108" i="71"/>
  <c r="B108" i="71"/>
  <c r="T107" i="71"/>
  <c r="Z107" i="71" s="1"/>
  <c r="P107" i="71"/>
  <c r="X107" i="71" s="1"/>
  <c r="J107" i="71"/>
  <c r="H107" i="71"/>
  <c r="N107" i="71" s="1"/>
  <c r="D107" i="71"/>
  <c r="L107" i="71" s="1"/>
  <c r="B107" i="71"/>
  <c r="X106" i="71"/>
  <c r="Z106" i="71" s="1"/>
  <c r="N106" i="71"/>
  <c r="L106" i="71"/>
  <c r="B106" i="71"/>
  <c r="Z105" i="71"/>
  <c r="X105" i="71"/>
  <c r="T105" i="71"/>
  <c r="P105" i="71"/>
  <c r="N105" i="71"/>
  <c r="H105" i="71"/>
  <c r="D105" i="71"/>
  <c r="L105" i="71" s="1"/>
  <c r="B105" i="71"/>
  <c r="Z104" i="71"/>
  <c r="X104" i="71"/>
  <c r="N104" i="71"/>
  <c r="L104" i="71"/>
  <c r="B104" i="71"/>
  <c r="Z103" i="71"/>
  <c r="X103" i="71"/>
  <c r="V103" i="71"/>
  <c r="R103" i="71"/>
  <c r="N103" i="71"/>
  <c r="L103" i="71"/>
  <c r="B103" i="71"/>
  <c r="T102" i="71"/>
  <c r="P102" i="71"/>
  <c r="X102" i="71" s="1"/>
  <c r="N102" i="71"/>
  <c r="L102" i="71"/>
  <c r="H102" i="71"/>
  <c r="D102" i="71"/>
  <c r="B102" i="71"/>
  <c r="X101" i="71"/>
  <c r="Z101" i="71" s="1"/>
  <c r="V101" i="71"/>
  <c r="N101" i="71"/>
  <c r="L101" i="71"/>
  <c r="B101" i="71"/>
  <c r="Z100" i="71"/>
  <c r="X100" i="71"/>
  <c r="L100" i="71"/>
  <c r="N100" i="71" s="1"/>
  <c r="B100" i="71"/>
  <c r="Z99" i="71"/>
  <c r="X99" i="71"/>
  <c r="L99" i="71"/>
  <c r="N99" i="71" s="1"/>
  <c r="B99" i="71"/>
  <c r="X98" i="71"/>
  <c r="Z98" i="71" s="1"/>
  <c r="V98" i="71"/>
  <c r="T98" i="71"/>
  <c r="P98" i="71"/>
  <c r="H98" i="71"/>
  <c r="D98" i="71"/>
  <c r="L98" i="71" s="1"/>
  <c r="N98" i="71" s="1"/>
  <c r="B98" i="71"/>
  <c r="X97" i="71"/>
  <c r="Z97" i="71" s="1"/>
  <c r="L97" i="71"/>
  <c r="N97" i="71" s="1"/>
  <c r="B97" i="71"/>
  <c r="T96" i="71"/>
  <c r="P96" i="71"/>
  <c r="H96" i="71"/>
  <c r="D96" i="71"/>
  <c r="L96" i="71" s="1"/>
  <c r="B96" i="71"/>
  <c r="Z95" i="71"/>
  <c r="X95" i="71"/>
  <c r="V95" i="71"/>
  <c r="N95" i="71"/>
  <c r="L95" i="71"/>
  <c r="B95" i="71"/>
  <c r="X94" i="71"/>
  <c r="Z94" i="71" s="1"/>
  <c r="L94" i="71"/>
  <c r="N94" i="71" s="1"/>
  <c r="J94" i="71"/>
  <c r="B94" i="71"/>
  <c r="T93" i="71"/>
  <c r="Z93" i="71" s="1"/>
  <c r="P93" i="71"/>
  <c r="X93" i="71" s="1"/>
  <c r="N93" i="71"/>
  <c r="J93" i="71"/>
  <c r="H93" i="71"/>
  <c r="L93" i="71" s="1"/>
  <c r="D93" i="71"/>
  <c r="B93" i="71"/>
  <c r="Z92" i="71"/>
  <c r="X92" i="71"/>
  <c r="L92" i="71"/>
  <c r="N92" i="71" s="1"/>
  <c r="B92" i="71"/>
  <c r="T91" i="71"/>
  <c r="X91" i="71" s="1"/>
  <c r="Z91" i="71" s="1"/>
  <c r="P91" i="71"/>
  <c r="J91" i="71"/>
  <c r="H91" i="71"/>
  <c r="D91" i="71"/>
  <c r="L91" i="71" s="1"/>
  <c r="B91" i="71"/>
  <c r="Z90" i="71"/>
  <c r="X90" i="71"/>
  <c r="N90" i="71"/>
  <c r="L90" i="71"/>
  <c r="B90" i="71"/>
  <c r="Z89" i="71"/>
  <c r="X89" i="71"/>
  <c r="T89" i="71"/>
  <c r="P89" i="71"/>
  <c r="H89" i="71"/>
  <c r="N89" i="71" s="1"/>
  <c r="D89" i="71"/>
  <c r="L89" i="71" s="1"/>
  <c r="B89" i="71"/>
  <c r="Z88" i="71"/>
  <c r="X88" i="71"/>
  <c r="N88" i="71"/>
  <c r="L88" i="71"/>
  <c r="B88" i="71"/>
  <c r="Z87" i="71"/>
  <c r="V87" i="71"/>
  <c r="T87" i="71"/>
  <c r="X87" i="71" s="1"/>
  <c r="P87" i="71"/>
  <c r="H87" i="71"/>
  <c r="N87" i="71" s="1"/>
  <c r="D87" i="71"/>
  <c r="L87" i="71" s="1"/>
  <c r="B87" i="71"/>
  <c r="X86" i="71"/>
  <c r="Z86" i="71" s="1"/>
  <c r="V86" i="71"/>
  <c r="N86" i="71"/>
  <c r="L86" i="71"/>
  <c r="B86" i="71"/>
  <c r="V85" i="71"/>
  <c r="T85" i="71"/>
  <c r="P85" i="71"/>
  <c r="X85" i="71" s="1"/>
  <c r="H85" i="71"/>
  <c r="D85" i="71"/>
  <c r="L85" i="71" s="1"/>
  <c r="N85" i="71" s="1"/>
  <c r="B85" i="71"/>
  <c r="X84" i="71"/>
  <c r="Z84" i="71" s="1"/>
  <c r="N84" i="71"/>
  <c r="L84" i="71"/>
  <c r="B84" i="71"/>
  <c r="T83" i="71"/>
  <c r="Z83" i="71" s="1"/>
  <c r="P83" i="71"/>
  <c r="X83" i="71" s="1"/>
  <c r="N83" i="71"/>
  <c r="L83" i="71"/>
  <c r="H83" i="71"/>
  <c r="D83" i="71"/>
  <c r="B83" i="71"/>
  <c r="Z82" i="71"/>
  <c r="X82" i="71"/>
  <c r="N82" i="71"/>
  <c r="L82" i="71"/>
  <c r="J82" i="71"/>
  <c r="B82" i="71"/>
  <c r="X81" i="71"/>
  <c r="Z81" i="71" s="1"/>
  <c r="L81" i="71"/>
  <c r="N81" i="71" s="1"/>
  <c r="J81" i="71"/>
  <c r="B81" i="71"/>
  <c r="T80" i="71"/>
  <c r="P80" i="71"/>
  <c r="X80" i="71" s="1"/>
  <c r="Z80" i="71" s="1"/>
  <c r="H80" i="71"/>
  <c r="D80" i="71"/>
  <c r="B80" i="71"/>
  <c r="X79" i="71"/>
  <c r="Z79" i="71" s="1"/>
  <c r="N79" i="71"/>
  <c r="L79" i="71"/>
  <c r="B79" i="71"/>
  <c r="X78" i="71"/>
  <c r="Z78" i="71" s="1"/>
  <c r="V78" i="71"/>
  <c r="T78" i="71"/>
  <c r="P78" i="71"/>
  <c r="H78" i="71"/>
  <c r="D78" i="71"/>
  <c r="L78" i="71" s="1"/>
  <c r="N78" i="71" s="1"/>
  <c r="B78" i="71"/>
  <c r="Z77" i="71"/>
  <c r="X77" i="71"/>
  <c r="N77" i="71"/>
  <c r="L77" i="71"/>
  <c r="B77" i="71"/>
  <c r="Z76" i="71"/>
  <c r="X76" i="71"/>
  <c r="N76" i="71"/>
  <c r="L76" i="71"/>
  <c r="B76" i="71"/>
  <c r="Z75" i="71"/>
  <c r="X75" i="71"/>
  <c r="N75" i="71"/>
  <c r="L75" i="71"/>
  <c r="J75" i="71"/>
  <c r="B75" i="71"/>
  <c r="X74" i="71"/>
  <c r="Z74" i="71" s="1"/>
  <c r="L74" i="71"/>
  <c r="N74" i="71" s="1"/>
  <c r="B74" i="71"/>
  <c r="Z73" i="71"/>
  <c r="X73" i="71"/>
  <c r="N73" i="71"/>
  <c r="L73" i="71"/>
  <c r="B73" i="71"/>
  <c r="X72" i="71"/>
  <c r="Z72" i="71" s="1"/>
  <c r="N72" i="71"/>
  <c r="L72" i="71"/>
  <c r="B72" i="71"/>
  <c r="X71" i="71"/>
  <c r="Z71" i="71" s="1"/>
  <c r="N71" i="71"/>
  <c r="L71" i="71"/>
  <c r="J71" i="71"/>
  <c r="B71" i="71"/>
  <c r="Z70" i="71"/>
  <c r="X70" i="71"/>
  <c r="N70" i="71"/>
  <c r="L70" i="71"/>
  <c r="B70" i="71"/>
  <c r="X69" i="71"/>
  <c r="Z69" i="71" s="1"/>
  <c r="L69" i="71"/>
  <c r="N69" i="71" s="1"/>
  <c r="B69" i="71"/>
  <c r="Z68" i="71"/>
  <c r="X68" i="71"/>
  <c r="N68" i="71"/>
  <c r="L68" i="71"/>
  <c r="B68" i="71"/>
  <c r="T67" i="71"/>
  <c r="P67" i="71"/>
  <c r="X67" i="71" s="1"/>
  <c r="L67" i="71"/>
  <c r="N67" i="71" s="1"/>
  <c r="H67" i="71"/>
  <c r="D67" i="71"/>
  <c r="B67" i="71"/>
  <c r="X66" i="71"/>
  <c r="Z66" i="71" s="1"/>
  <c r="L66" i="71"/>
  <c r="N66" i="71" s="1"/>
  <c r="J66" i="71"/>
  <c r="B66" i="71"/>
  <c r="X65" i="71"/>
  <c r="Z65" i="71" s="1"/>
  <c r="N65" i="71"/>
  <c r="L65" i="71"/>
  <c r="J65" i="71"/>
  <c r="B65" i="71"/>
  <c r="Z64" i="71"/>
  <c r="X64" i="71"/>
  <c r="N64" i="71"/>
  <c r="L64" i="71"/>
  <c r="B64" i="71"/>
  <c r="Z63" i="71"/>
  <c r="X63" i="71"/>
  <c r="V63" i="71"/>
  <c r="N63" i="71"/>
  <c r="L63" i="71"/>
  <c r="B63" i="71"/>
  <c r="Z62" i="71"/>
  <c r="X62" i="71"/>
  <c r="N62" i="71"/>
  <c r="L62" i="71"/>
  <c r="J62" i="71"/>
  <c r="B62" i="71"/>
  <c r="X61" i="71"/>
  <c r="Z61" i="71" s="1"/>
  <c r="N61" i="71"/>
  <c r="L61" i="71"/>
  <c r="J61" i="71"/>
  <c r="B61" i="71"/>
  <c r="Z60" i="71"/>
  <c r="X60" i="71"/>
  <c r="N60" i="71"/>
  <c r="L60" i="71"/>
  <c r="B60" i="71"/>
  <c r="Z59" i="71"/>
  <c r="X59" i="71"/>
  <c r="V59" i="71"/>
  <c r="N59" i="71"/>
  <c r="L59" i="71"/>
  <c r="B59" i="71"/>
  <c r="X58" i="71"/>
  <c r="Z58" i="71" s="1"/>
  <c r="L58" i="71"/>
  <c r="N58" i="71" s="1"/>
  <c r="J58" i="71"/>
  <c r="B58" i="71"/>
  <c r="X57" i="71"/>
  <c r="Z57" i="71" s="1"/>
  <c r="L57" i="71"/>
  <c r="N57" i="71" s="1"/>
  <c r="J57" i="71"/>
  <c r="B57" i="71"/>
  <c r="Z56" i="71"/>
  <c r="T56" i="71"/>
  <c r="P56" i="71"/>
  <c r="X56" i="71" s="1"/>
  <c r="H56" i="71"/>
  <c r="D56" i="71"/>
  <c r="B56" i="71"/>
  <c r="T55" i="71"/>
  <c r="P55" i="71"/>
  <c r="H55" i="71"/>
  <c r="J55" i="71" s="1"/>
  <c r="D55" i="71"/>
  <c r="Z51" i="71"/>
  <c r="X51" i="71"/>
  <c r="N51" i="71"/>
  <c r="L51" i="71"/>
  <c r="B51" i="71"/>
  <c r="Z50" i="71"/>
  <c r="X50" i="71"/>
  <c r="V50" i="71"/>
  <c r="N50" i="71"/>
  <c r="L50" i="71"/>
  <c r="B50" i="71"/>
  <c r="Z49" i="71"/>
  <c r="X49" i="71"/>
  <c r="V49" i="71"/>
  <c r="N49" i="71"/>
  <c r="L49" i="71"/>
  <c r="B49" i="71"/>
  <c r="Z48" i="71"/>
  <c r="X48" i="71"/>
  <c r="N48" i="71"/>
  <c r="L48" i="71"/>
  <c r="B48" i="71"/>
  <c r="Z47" i="71"/>
  <c r="X47" i="71"/>
  <c r="N47" i="71"/>
  <c r="L47" i="71"/>
  <c r="B47" i="71"/>
  <c r="Z46" i="71"/>
  <c r="X46" i="71"/>
  <c r="V46" i="71"/>
  <c r="N46" i="71"/>
  <c r="L46" i="71"/>
  <c r="B46" i="71"/>
  <c r="Z45" i="71"/>
  <c r="X45" i="71"/>
  <c r="V45" i="71"/>
  <c r="N45" i="71"/>
  <c r="L45" i="71"/>
  <c r="B45" i="71"/>
  <c r="Z44" i="71"/>
  <c r="X44" i="71"/>
  <c r="N44" i="71"/>
  <c r="L44" i="71"/>
  <c r="B44" i="71"/>
  <c r="Z43" i="71"/>
  <c r="X43" i="71"/>
  <c r="N43" i="71"/>
  <c r="L43" i="71"/>
  <c r="B43" i="71"/>
  <c r="Z42" i="71"/>
  <c r="X42" i="71"/>
  <c r="V42" i="71"/>
  <c r="N42" i="71"/>
  <c r="L42" i="71"/>
  <c r="B42" i="71"/>
  <c r="Z41" i="71"/>
  <c r="X41" i="71"/>
  <c r="V41" i="71"/>
  <c r="N41" i="71"/>
  <c r="L41" i="71"/>
  <c r="B41" i="71"/>
  <c r="Z40" i="71"/>
  <c r="X40" i="71"/>
  <c r="N40" i="71"/>
  <c r="L40" i="71"/>
  <c r="B40" i="71"/>
  <c r="Z39" i="71"/>
  <c r="X39" i="71"/>
  <c r="N39" i="71"/>
  <c r="L39" i="71"/>
  <c r="B39" i="71"/>
  <c r="X38" i="71"/>
  <c r="Z38" i="71" s="1"/>
  <c r="V38" i="71"/>
  <c r="L38" i="71"/>
  <c r="N38" i="71" s="1"/>
  <c r="B38" i="71"/>
  <c r="V37" i="71"/>
  <c r="T37" i="71"/>
  <c r="P37" i="71"/>
  <c r="X37" i="71" s="1"/>
  <c r="H37" i="71"/>
  <c r="N37" i="71" s="1"/>
  <c r="D37" i="71"/>
  <c r="L37" i="71" s="1"/>
  <c r="Z35" i="71"/>
  <c r="P35" i="71"/>
  <c r="X35" i="71" s="1"/>
  <c r="N35" i="71"/>
  <c r="D35" i="71"/>
  <c r="L35" i="71" s="1"/>
  <c r="B35" i="71"/>
  <c r="Z34" i="71"/>
  <c r="P34" i="71"/>
  <c r="X34" i="71" s="1"/>
  <c r="N34" i="71"/>
  <c r="L34" i="71"/>
  <c r="D34" i="71"/>
  <c r="B34" i="71"/>
  <c r="Z33" i="71"/>
  <c r="P33" i="71"/>
  <c r="X33" i="71" s="1"/>
  <c r="N33" i="71"/>
  <c r="L33" i="71"/>
  <c r="D33" i="71"/>
  <c r="B33" i="71"/>
  <c r="Z32" i="71"/>
  <c r="P32" i="71"/>
  <c r="X32" i="71" s="1"/>
  <c r="N32" i="71"/>
  <c r="D32" i="71"/>
  <c r="L32" i="71" s="1"/>
  <c r="B32" i="71"/>
  <c r="Z31" i="71"/>
  <c r="X31" i="71"/>
  <c r="P31" i="71"/>
  <c r="N31" i="71"/>
  <c r="D31" i="71"/>
  <c r="L31" i="71" s="1"/>
  <c r="B31" i="71"/>
  <c r="Z30" i="71"/>
  <c r="P30" i="71"/>
  <c r="X30" i="71" s="1"/>
  <c r="N30" i="71"/>
  <c r="D30" i="71"/>
  <c r="L30" i="71" s="1"/>
  <c r="B30" i="71"/>
  <c r="Z29" i="71"/>
  <c r="P29" i="71"/>
  <c r="X29" i="71" s="1"/>
  <c r="N29" i="71"/>
  <c r="D29" i="71"/>
  <c r="L29" i="71" s="1"/>
  <c r="B29" i="71"/>
  <c r="Z28" i="71"/>
  <c r="X28" i="71"/>
  <c r="P28" i="71"/>
  <c r="N28" i="71"/>
  <c r="L28" i="71"/>
  <c r="D28" i="71"/>
  <c r="B28" i="71"/>
  <c r="Z27" i="71"/>
  <c r="X27" i="71"/>
  <c r="P27" i="71"/>
  <c r="N27" i="71"/>
  <c r="L27" i="71"/>
  <c r="D27" i="71"/>
  <c r="B27" i="71"/>
  <c r="Z26" i="71"/>
  <c r="P26" i="71"/>
  <c r="X26" i="71" s="1"/>
  <c r="N26" i="71"/>
  <c r="D26" i="71"/>
  <c r="L26" i="71" s="1"/>
  <c r="B26" i="71"/>
  <c r="Z25" i="71"/>
  <c r="X25" i="71"/>
  <c r="P25" i="71"/>
  <c r="N25" i="71"/>
  <c r="L25" i="71"/>
  <c r="D25" i="71"/>
  <c r="B25" i="71"/>
  <c r="Z24" i="71"/>
  <c r="P24" i="71"/>
  <c r="X24" i="71" s="1"/>
  <c r="N24" i="71"/>
  <c r="L24" i="71"/>
  <c r="D24" i="71"/>
  <c r="B24" i="71"/>
  <c r="Z23" i="71"/>
  <c r="P23" i="71"/>
  <c r="X23" i="71" s="1"/>
  <c r="N23" i="71"/>
  <c r="L23" i="71"/>
  <c r="D23" i="71"/>
  <c r="B23" i="71"/>
  <c r="Z22" i="71"/>
  <c r="P22" i="71"/>
  <c r="X22" i="71" s="1"/>
  <c r="N22" i="71"/>
  <c r="L22" i="71"/>
  <c r="D22" i="71"/>
  <c r="B22" i="71"/>
  <c r="Z21" i="71"/>
  <c r="P21" i="71"/>
  <c r="X21" i="71" s="1"/>
  <c r="N21" i="71"/>
  <c r="L21" i="71"/>
  <c r="D21" i="71"/>
  <c r="B21" i="71"/>
  <c r="P20" i="71"/>
  <c r="X20" i="71" s="1"/>
  <c r="Z20" i="71" s="1"/>
  <c r="D20" i="71"/>
  <c r="L20" i="71" s="1"/>
  <c r="N20" i="71" s="1"/>
  <c r="B20" i="71"/>
  <c r="Z19" i="71"/>
  <c r="X19" i="71"/>
  <c r="P19" i="71"/>
  <c r="N19" i="71"/>
  <c r="D19" i="71"/>
  <c r="L19" i="71" s="1"/>
  <c r="B19" i="71"/>
  <c r="Z18" i="71"/>
  <c r="P18" i="71"/>
  <c r="X18" i="71" s="1"/>
  <c r="N18" i="71"/>
  <c r="D18" i="71"/>
  <c r="L18" i="71" s="1"/>
  <c r="B18" i="71"/>
  <c r="Z17" i="71"/>
  <c r="P17" i="71"/>
  <c r="X17" i="71" s="1"/>
  <c r="N17" i="71"/>
  <c r="D17" i="71"/>
  <c r="L17" i="71" s="1"/>
  <c r="B17" i="71"/>
  <c r="Z16" i="71"/>
  <c r="X16" i="71"/>
  <c r="P16" i="71"/>
  <c r="N16" i="71"/>
  <c r="L16" i="71"/>
  <c r="D16" i="71"/>
  <c r="B16" i="71"/>
  <c r="Z15" i="71"/>
  <c r="X15" i="71"/>
  <c r="P15" i="71"/>
  <c r="N15" i="71"/>
  <c r="D15" i="71"/>
  <c r="L15" i="71" s="1"/>
  <c r="B15" i="71"/>
  <c r="Z14" i="71"/>
  <c r="X14" i="71"/>
  <c r="P14" i="71"/>
  <c r="P12" i="71" s="1"/>
  <c r="N14" i="71"/>
  <c r="D14" i="71"/>
  <c r="L14" i="71" s="1"/>
  <c r="B14" i="71"/>
  <c r="Z13" i="71"/>
  <c r="X13" i="71"/>
  <c r="P13" i="71"/>
  <c r="N13" i="71"/>
  <c r="L13" i="71"/>
  <c r="D13" i="71"/>
  <c r="B13" i="71"/>
  <c r="T12" i="71"/>
  <c r="V104" i="71" s="1"/>
  <c r="H12" i="71"/>
  <c r="J113" i="71" s="1"/>
  <c r="D6" i="71"/>
  <c r="D4" i="71"/>
  <c r="X76" i="70"/>
  <c r="Z76" i="70" s="1"/>
  <c r="V76" i="70"/>
  <c r="L76" i="70"/>
  <c r="N76" i="70" s="1"/>
  <c r="T72" i="70"/>
  <c r="Z72" i="70" s="1"/>
  <c r="P72" i="70"/>
  <c r="N72" i="70"/>
  <c r="H72" i="70"/>
  <c r="D72" i="70"/>
  <c r="L72" i="70" s="1"/>
  <c r="X70" i="70"/>
  <c r="Z70" i="70" s="1"/>
  <c r="L70" i="70"/>
  <c r="N70" i="70" s="1"/>
  <c r="J70" i="70"/>
  <c r="B70" i="70"/>
  <c r="T69" i="70"/>
  <c r="P69" i="70"/>
  <c r="X69" i="70" s="1"/>
  <c r="H69" i="70"/>
  <c r="J69" i="70" s="1"/>
  <c r="D69" i="70"/>
  <c r="B69" i="70"/>
  <c r="X68" i="70"/>
  <c r="Z68" i="70" s="1"/>
  <c r="L68" i="70"/>
  <c r="N68" i="70" s="1"/>
  <c r="F68" i="70"/>
  <c r="B68" i="70"/>
  <c r="X67" i="70"/>
  <c r="T67" i="70"/>
  <c r="Z67" i="70" s="1"/>
  <c r="P67" i="70"/>
  <c r="J67" i="70"/>
  <c r="H67" i="70"/>
  <c r="N67" i="70" s="1"/>
  <c r="D67" i="70"/>
  <c r="L67" i="70" s="1"/>
  <c r="B67" i="70"/>
  <c r="Z66" i="70"/>
  <c r="X66" i="70"/>
  <c r="N66" i="70"/>
  <c r="L66" i="70"/>
  <c r="B66" i="70"/>
  <c r="Z65" i="70"/>
  <c r="X65" i="70"/>
  <c r="N65" i="70"/>
  <c r="L65" i="70"/>
  <c r="B65" i="70"/>
  <c r="Z64" i="70"/>
  <c r="X64" i="70"/>
  <c r="N64" i="70"/>
  <c r="L64" i="70"/>
  <c r="B64" i="70"/>
  <c r="T63" i="70"/>
  <c r="P63" i="70"/>
  <c r="X63" i="70" s="1"/>
  <c r="L63" i="70"/>
  <c r="N63" i="70" s="1"/>
  <c r="H63" i="70"/>
  <c r="D63" i="70"/>
  <c r="B63" i="70"/>
  <c r="Z62" i="70"/>
  <c r="X62" i="70"/>
  <c r="N62" i="70"/>
  <c r="L62" i="70"/>
  <c r="J62" i="70"/>
  <c r="B62" i="70"/>
  <c r="X61" i="70"/>
  <c r="Z61" i="70" s="1"/>
  <c r="N61" i="70"/>
  <c r="L61" i="70"/>
  <c r="J61" i="70"/>
  <c r="B61" i="70"/>
  <c r="T60" i="70"/>
  <c r="P60" i="70"/>
  <c r="X60" i="70" s="1"/>
  <c r="Z60" i="70" s="1"/>
  <c r="H60" i="70"/>
  <c r="D60" i="70"/>
  <c r="L60" i="70" s="1"/>
  <c r="B60" i="70"/>
  <c r="X59" i="70"/>
  <c r="Z59" i="70" s="1"/>
  <c r="N59" i="70"/>
  <c r="L59" i="70"/>
  <c r="B59" i="70"/>
  <c r="X58" i="70"/>
  <c r="V58" i="70"/>
  <c r="T58" i="70"/>
  <c r="P58" i="70"/>
  <c r="H58" i="70"/>
  <c r="N58" i="70" s="1"/>
  <c r="D58" i="70"/>
  <c r="L58" i="70" s="1"/>
  <c r="B58" i="70"/>
  <c r="X57" i="70"/>
  <c r="Z57" i="70" s="1"/>
  <c r="L57" i="70"/>
  <c r="N57" i="70" s="1"/>
  <c r="B57" i="70"/>
  <c r="T56" i="70"/>
  <c r="P56" i="70"/>
  <c r="H56" i="70"/>
  <c r="N56" i="70" s="1"/>
  <c r="D56" i="70"/>
  <c r="L56" i="70" s="1"/>
  <c r="B56" i="70"/>
  <c r="Z55" i="70"/>
  <c r="X55" i="70"/>
  <c r="V55" i="70"/>
  <c r="N55" i="70"/>
  <c r="L55" i="70"/>
  <c r="B55" i="70"/>
  <c r="T54" i="70"/>
  <c r="Z54" i="70" s="1"/>
  <c r="P54" i="70"/>
  <c r="N54" i="70"/>
  <c r="H54" i="70"/>
  <c r="D54" i="70"/>
  <c r="L54" i="70" s="1"/>
  <c r="B54" i="70"/>
  <c r="Z53" i="70"/>
  <c r="X53" i="70"/>
  <c r="V53" i="70"/>
  <c r="N53" i="70"/>
  <c r="L53" i="70"/>
  <c r="B53" i="70"/>
  <c r="T52" i="70"/>
  <c r="Z52" i="70" s="1"/>
  <c r="P52" i="70"/>
  <c r="X52" i="70" s="1"/>
  <c r="L52" i="70"/>
  <c r="J52" i="70"/>
  <c r="H52" i="70"/>
  <c r="N52" i="70" s="1"/>
  <c r="D52" i="70"/>
  <c r="B52" i="70"/>
  <c r="Z51" i="70"/>
  <c r="X51" i="70"/>
  <c r="N51" i="70"/>
  <c r="L51" i="70"/>
  <c r="J51" i="70"/>
  <c r="B51" i="70"/>
  <c r="T50" i="70"/>
  <c r="P50" i="70"/>
  <c r="H50" i="70"/>
  <c r="D50" i="70"/>
  <c r="B50" i="70"/>
  <c r="Z49" i="70"/>
  <c r="X49" i="70"/>
  <c r="N49" i="70"/>
  <c r="L49" i="70"/>
  <c r="J49" i="70"/>
  <c r="B49" i="70"/>
  <c r="Z48" i="70"/>
  <c r="T48" i="70"/>
  <c r="P48" i="70"/>
  <c r="X48" i="70" s="1"/>
  <c r="H48" i="70"/>
  <c r="N48" i="70" s="1"/>
  <c r="D48" i="70"/>
  <c r="L48" i="70" s="1"/>
  <c r="B48" i="70"/>
  <c r="Z47" i="70"/>
  <c r="X47" i="70"/>
  <c r="N47" i="70"/>
  <c r="L47" i="70"/>
  <c r="B47" i="70"/>
  <c r="X46" i="70"/>
  <c r="V46" i="70"/>
  <c r="T46" i="70"/>
  <c r="Z46" i="70" s="1"/>
  <c r="P46" i="70"/>
  <c r="H46" i="70"/>
  <c r="N46" i="70" s="1"/>
  <c r="D46" i="70"/>
  <c r="L46" i="70" s="1"/>
  <c r="B46" i="70"/>
  <c r="Z45" i="70"/>
  <c r="X45" i="70"/>
  <c r="N45" i="70"/>
  <c r="L45" i="70"/>
  <c r="B45" i="70"/>
  <c r="Z44" i="70"/>
  <c r="X44" i="70"/>
  <c r="N44" i="70"/>
  <c r="L44" i="70"/>
  <c r="B44" i="70"/>
  <c r="Z43" i="70"/>
  <c r="X43" i="70"/>
  <c r="N43" i="70"/>
  <c r="L43" i="70"/>
  <c r="J43" i="70"/>
  <c r="B43" i="70"/>
  <c r="X42" i="70"/>
  <c r="Z42" i="70" s="1"/>
  <c r="N42" i="70"/>
  <c r="L42" i="70"/>
  <c r="B42" i="70"/>
  <c r="Z41" i="70"/>
  <c r="X41" i="70"/>
  <c r="N41" i="70"/>
  <c r="L41" i="70"/>
  <c r="B41" i="70"/>
  <c r="Z40" i="70"/>
  <c r="X40" i="70"/>
  <c r="N40" i="70"/>
  <c r="L40" i="70"/>
  <c r="B40" i="70"/>
  <c r="Z39" i="70"/>
  <c r="X39" i="70"/>
  <c r="N39" i="70"/>
  <c r="L39" i="70"/>
  <c r="J39" i="70"/>
  <c r="B39" i="70"/>
  <c r="Z38" i="70"/>
  <c r="X38" i="70"/>
  <c r="N38" i="70"/>
  <c r="L38" i="70"/>
  <c r="B38" i="70"/>
  <c r="Z37" i="70"/>
  <c r="X37" i="70"/>
  <c r="N37" i="70"/>
  <c r="L37" i="70"/>
  <c r="B37" i="70"/>
  <c r="X36" i="70"/>
  <c r="Z36" i="70" s="1"/>
  <c r="N36" i="70"/>
  <c r="L36" i="70"/>
  <c r="B36" i="70"/>
  <c r="T35" i="70"/>
  <c r="Z35" i="70" s="1"/>
  <c r="P35" i="70"/>
  <c r="X35" i="70" s="1"/>
  <c r="N35" i="70"/>
  <c r="L35" i="70"/>
  <c r="H35" i="70"/>
  <c r="D35" i="70"/>
  <c r="B35" i="70"/>
  <c r="Z34" i="70"/>
  <c r="X34" i="70"/>
  <c r="N34" i="70"/>
  <c r="L34" i="70"/>
  <c r="J34" i="70"/>
  <c r="B34" i="70"/>
  <c r="X33" i="70"/>
  <c r="Z33" i="70" s="1"/>
  <c r="L33" i="70"/>
  <c r="N33" i="70" s="1"/>
  <c r="J33" i="70"/>
  <c r="B33" i="70"/>
  <c r="Z32" i="70"/>
  <c r="X32" i="70"/>
  <c r="N32" i="70"/>
  <c r="L32" i="70"/>
  <c r="B32" i="70"/>
  <c r="Z31" i="70"/>
  <c r="X31" i="70"/>
  <c r="V31" i="70"/>
  <c r="N31" i="70"/>
  <c r="L31" i="70"/>
  <c r="B31" i="70"/>
  <c r="X30" i="70"/>
  <c r="Z30" i="70" s="1"/>
  <c r="L30" i="70"/>
  <c r="N30" i="70" s="1"/>
  <c r="J30" i="70"/>
  <c r="B30" i="70"/>
  <c r="X29" i="70"/>
  <c r="Z29" i="70" s="1"/>
  <c r="L29" i="70"/>
  <c r="N29" i="70" s="1"/>
  <c r="J29" i="70"/>
  <c r="B29" i="70"/>
  <c r="Z28" i="70"/>
  <c r="X28" i="70"/>
  <c r="L28" i="70"/>
  <c r="N28" i="70" s="1"/>
  <c r="B28" i="70"/>
  <c r="Z27" i="70"/>
  <c r="X27" i="70"/>
  <c r="V27" i="70"/>
  <c r="N27" i="70"/>
  <c r="L27" i="70"/>
  <c r="B27" i="70"/>
  <c r="X26" i="70"/>
  <c r="Z26" i="70" s="1"/>
  <c r="L26" i="70"/>
  <c r="N26" i="70" s="1"/>
  <c r="J26" i="70"/>
  <c r="B26" i="70"/>
  <c r="T25" i="70"/>
  <c r="P25" i="70"/>
  <c r="X25" i="70" s="1"/>
  <c r="H25" i="70"/>
  <c r="N25" i="70" s="1"/>
  <c r="D25" i="70"/>
  <c r="L25" i="70" s="1"/>
  <c r="B25" i="70"/>
  <c r="T24" i="70"/>
  <c r="P24" i="70"/>
  <c r="H24" i="70"/>
  <c r="J24" i="70" s="1"/>
  <c r="D24" i="70"/>
  <c r="L24" i="70" s="1"/>
  <c r="J22" i="70"/>
  <c r="H22" i="70"/>
  <c r="Z20" i="70"/>
  <c r="X20" i="70"/>
  <c r="N20" i="70"/>
  <c r="L20" i="70"/>
  <c r="B20" i="70"/>
  <c r="Z19" i="70"/>
  <c r="X19" i="70"/>
  <c r="N19" i="70"/>
  <c r="L19" i="70"/>
  <c r="B19" i="70"/>
  <c r="X18" i="70"/>
  <c r="Z18" i="70" s="1"/>
  <c r="V18" i="70"/>
  <c r="L18" i="70"/>
  <c r="N18" i="70" s="1"/>
  <c r="B18" i="70"/>
  <c r="V17" i="70"/>
  <c r="T17" i="70"/>
  <c r="P17" i="70"/>
  <c r="X17" i="70" s="1"/>
  <c r="Z17" i="70" s="1"/>
  <c r="H17" i="70"/>
  <c r="D17" i="70"/>
  <c r="L17" i="70" s="1"/>
  <c r="N17" i="70" s="1"/>
  <c r="Z15" i="70"/>
  <c r="P15" i="70"/>
  <c r="X15" i="70" s="1"/>
  <c r="N15" i="70"/>
  <c r="L15" i="70"/>
  <c r="D15" i="70"/>
  <c r="B15" i="70"/>
  <c r="X14" i="70"/>
  <c r="Z14" i="70" s="1"/>
  <c r="P14" i="70"/>
  <c r="D14" i="70"/>
  <c r="L14" i="70" s="1"/>
  <c r="N14" i="70" s="1"/>
  <c r="B14" i="70"/>
  <c r="Z13" i="70"/>
  <c r="P13" i="70"/>
  <c r="N13" i="70"/>
  <c r="L13" i="70"/>
  <c r="D13" i="70"/>
  <c r="B13" i="70"/>
  <c r="T12" i="70"/>
  <c r="V60" i="70" s="1"/>
  <c r="H12" i="70"/>
  <c r="D12" i="70"/>
  <c r="F51" i="70" s="1"/>
  <c r="D6" i="70"/>
  <c r="D4" i="70"/>
  <c r="Z109" i="69"/>
  <c r="X109" i="69"/>
  <c r="L109" i="69"/>
  <c r="N109" i="69" s="1"/>
  <c r="X105" i="69"/>
  <c r="V105" i="69"/>
  <c r="T105" i="69"/>
  <c r="Z105" i="69" s="1"/>
  <c r="P105" i="69"/>
  <c r="H105" i="69"/>
  <c r="N105" i="69" s="1"/>
  <c r="D105" i="69"/>
  <c r="L105" i="69" s="1"/>
  <c r="X103" i="69"/>
  <c r="Z103" i="69" s="1"/>
  <c r="V103" i="69"/>
  <c r="L103" i="69"/>
  <c r="N103" i="69" s="1"/>
  <c r="B103" i="69"/>
  <c r="V102" i="69"/>
  <c r="T102" i="69"/>
  <c r="Z102" i="69" s="1"/>
  <c r="P102" i="69"/>
  <c r="X102" i="69" s="1"/>
  <c r="H102" i="69"/>
  <c r="D102" i="69"/>
  <c r="L102" i="69" s="1"/>
  <c r="N102" i="69" s="1"/>
  <c r="B102" i="69"/>
  <c r="X101" i="69"/>
  <c r="Z101" i="69" s="1"/>
  <c r="N101" i="69"/>
  <c r="L101" i="69"/>
  <c r="B101" i="69"/>
  <c r="T100" i="69"/>
  <c r="P100" i="69"/>
  <c r="X100" i="69" s="1"/>
  <c r="L100" i="69"/>
  <c r="N100" i="69" s="1"/>
  <c r="H100" i="69"/>
  <c r="D100" i="69"/>
  <c r="B100" i="69"/>
  <c r="X99" i="69"/>
  <c r="Z99" i="69" s="1"/>
  <c r="L99" i="69"/>
  <c r="N99" i="69" s="1"/>
  <c r="J99" i="69"/>
  <c r="B99" i="69"/>
  <c r="X98" i="69"/>
  <c r="T98" i="69"/>
  <c r="Z98" i="69" s="1"/>
  <c r="P98" i="69"/>
  <c r="H98" i="69"/>
  <c r="D98" i="69"/>
  <c r="B98" i="69"/>
  <c r="Z97" i="69"/>
  <c r="X97" i="69"/>
  <c r="L97" i="69"/>
  <c r="N97" i="69" s="1"/>
  <c r="B97" i="69"/>
  <c r="Z96" i="69"/>
  <c r="X96" i="69"/>
  <c r="L96" i="69"/>
  <c r="N96" i="69" s="1"/>
  <c r="B96" i="69"/>
  <c r="X95" i="69"/>
  <c r="V95" i="69"/>
  <c r="T95" i="69"/>
  <c r="P95" i="69"/>
  <c r="H95" i="69"/>
  <c r="N95" i="69" s="1"/>
  <c r="D95" i="69"/>
  <c r="L95" i="69" s="1"/>
  <c r="B95" i="69"/>
  <c r="Z94" i="69"/>
  <c r="X94" i="69"/>
  <c r="N94" i="69"/>
  <c r="L94" i="69"/>
  <c r="B94" i="69"/>
  <c r="X93" i="69"/>
  <c r="T93" i="69"/>
  <c r="P93" i="69"/>
  <c r="H93" i="69"/>
  <c r="N93" i="69" s="1"/>
  <c r="D93" i="69"/>
  <c r="L93" i="69" s="1"/>
  <c r="B93" i="69"/>
  <c r="Z92" i="69"/>
  <c r="X92" i="69"/>
  <c r="V92" i="69"/>
  <c r="N92" i="69"/>
  <c r="L92" i="69"/>
  <c r="B92" i="69"/>
  <c r="T91" i="69"/>
  <c r="P91" i="69"/>
  <c r="N91" i="69"/>
  <c r="L91" i="69"/>
  <c r="H91" i="69"/>
  <c r="D91" i="69"/>
  <c r="B91" i="69"/>
  <c r="Z90" i="69"/>
  <c r="X90" i="69"/>
  <c r="V90" i="69"/>
  <c r="N90" i="69"/>
  <c r="L90" i="69"/>
  <c r="B90" i="69"/>
  <c r="T89" i="69"/>
  <c r="P89" i="69"/>
  <c r="X89" i="69" s="1"/>
  <c r="L89" i="69"/>
  <c r="J89" i="69"/>
  <c r="H89" i="69"/>
  <c r="N89" i="69" s="1"/>
  <c r="D89" i="69"/>
  <c r="B89" i="69"/>
  <c r="Z88" i="69"/>
  <c r="X88" i="69"/>
  <c r="N88" i="69"/>
  <c r="L88" i="69"/>
  <c r="J88" i="69"/>
  <c r="B88" i="69"/>
  <c r="T87" i="69"/>
  <c r="Z87" i="69" s="1"/>
  <c r="P87" i="69"/>
  <c r="X87" i="69" s="1"/>
  <c r="L87" i="69"/>
  <c r="H87" i="69"/>
  <c r="D87" i="69"/>
  <c r="B87" i="69"/>
  <c r="Z86" i="69"/>
  <c r="X86" i="69"/>
  <c r="N86" i="69"/>
  <c r="L86" i="69"/>
  <c r="J86" i="69"/>
  <c r="B86" i="69"/>
  <c r="Z85" i="69"/>
  <c r="X85" i="69"/>
  <c r="L85" i="69"/>
  <c r="N85" i="69" s="1"/>
  <c r="B85" i="69"/>
  <c r="T84" i="69"/>
  <c r="P84" i="69"/>
  <c r="H84" i="69"/>
  <c r="N84" i="69" s="1"/>
  <c r="D84" i="69"/>
  <c r="L84" i="69" s="1"/>
  <c r="B84" i="69"/>
  <c r="Z83" i="69"/>
  <c r="X83" i="69"/>
  <c r="V83" i="69"/>
  <c r="N83" i="69"/>
  <c r="L83" i="69"/>
  <c r="B83" i="69"/>
  <c r="Z82" i="69"/>
  <c r="V82" i="69"/>
  <c r="T82" i="69"/>
  <c r="P82" i="69"/>
  <c r="X82" i="69" s="1"/>
  <c r="N82" i="69"/>
  <c r="H82" i="69"/>
  <c r="D82" i="69"/>
  <c r="L82" i="69" s="1"/>
  <c r="B82" i="69"/>
  <c r="X81" i="69"/>
  <c r="Z81" i="69" s="1"/>
  <c r="N81" i="69"/>
  <c r="L81" i="69"/>
  <c r="B81" i="69"/>
  <c r="X80" i="69"/>
  <c r="T80" i="69"/>
  <c r="Z80" i="69" s="1"/>
  <c r="P80" i="69"/>
  <c r="N80" i="69"/>
  <c r="L80" i="69"/>
  <c r="H80" i="69"/>
  <c r="D80" i="69"/>
  <c r="B80" i="69"/>
  <c r="Z79" i="69"/>
  <c r="X79" i="69"/>
  <c r="N79" i="69"/>
  <c r="L79" i="69"/>
  <c r="J79" i="69"/>
  <c r="B79" i="69"/>
  <c r="Z78" i="69"/>
  <c r="X78" i="69"/>
  <c r="N78" i="69"/>
  <c r="L78" i="69"/>
  <c r="J78" i="69"/>
  <c r="B78" i="69"/>
  <c r="Z77" i="69"/>
  <c r="X77" i="69"/>
  <c r="N77" i="69"/>
  <c r="L77" i="69"/>
  <c r="B77" i="69"/>
  <c r="Z76" i="69"/>
  <c r="X76" i="69"/>
  <c r="V76" i="69"/>
  <c r="N76" i="69"/>
  <c r="L76" i="69"/>
  <c r="B76" i="69"/>
  <c r="Z75" i="69"/>
  <c r="X75" i="69"/>
  <c r="N75" i="69"/>
  <c r="L75" i="69"/>
  <c r="J75" i="69"/>
  <c r="B75" i="69"/>
  <c r="Z74" i="69"/>
  <c r="X74" i="69"/>
  <c r="N74" i="69"/>
  <c r="L74" i="69"/>
  <c r="J74" i="69"/>
  <c r="B74" i="69"/>
  <c r="Z73" i="69"/>
  <c r="X73" i="69"/>
  <c r="N73" i="69"/>
  <c r="L73" i="69"/>
  <c r="B73" i="69"/>
  <c r="Z72" i="69"/>
  <c r="X72" i="69"/>
  <c r="V72" i="69"/>
  <c r="N72" i="69"/>
  <c r="L72" i="69"/>
  <c r="B72" i="69"/>
  <c r="Z71" i="69"/>
  <c r="X71" i="69"/>
  <c r="N71" i="69"/>
  <c r="L71" i="69"/>
  <c r="J71" i="69"/>
  <c r="B71" i="69"/>
  <c r="X70" i="69"/>
  <c r="Z70" i="69" s="1"/>
  <c r="L70" i="69"/>
  <c r="N70" i="69" s="1"/>
  <c r="J70" i="69"/>
  <c r="B70" i="69"/>
  <c r="Z69" i="69"/>
  <c r="T69" i="69"/>
  <c r="P69" i="69"/>
  <c r="X69" i="69" s="1"/>
  <c r="H69" i="69"/>
  <c r="D69" i="69"/>
  <c r="B69" i="69"/>
  <c r="Z68" i="69"/>
  <c r="X68" i="69"/>
  <c r="N68" i="69"/>
  <c r="L68" i="69"/>
  <c r="B68" i="69"/>
  <c r="X67" i="69"/>
  <c r="Z67" i="69" s="1"/>
  <c r="V67" i="69"/>
  <c r="N67" i="69"/>
  <c r="L67" i="69"/>
  <c r="B67" i="69"/>
  <c r="X66" i="69"/>
  <c r="Z66" i="69" s="1"/>
  <c r="V66" i="69"/>
  <c r="N66" i="69"/>
  <c r="L66" i="69"/>
  <c r="B66" i="69"/>
  <c r="Z65" i="69"/>
  <c r="X65" i="69"/>
  <c r="N65" i="69"/>
  <c r="L65" i="69"/>
  <c r="B65" i="69"/>
  <c r="X64" i="69"/>
  <c r="Z64" i="69" s="1"/>
  <c r="N64" i="69"/>
  <c r="L64" i="69"/>
  <c r="B64" i="69"/>
  <c r="X63" i="69"/>
  <c r="Z63" i="69" s="1"/>
  <c r="V63" i="69"/>
  <c r="L63" i="69"/>
  <c r="N63" i="69" s="1"/>
  <c r="B63" i="69"/>
  <c r="X62" i="69"/>
  <c r="Z62" i="69" s="1"/>
  <c r="V62" i="69"/>
  <c r="N62" i="69"/>
  <c r="L62" i="69"/>
  <c r="B62" i="69"/>
  <c r="X61" i="69"/>
  <c r="Z61" i="69" s="1"/>
  <c r="L61" i="69"/>
  <c r="N61" i="69" s="1"/>
  <c r="B61" i="69"/>
  <c r="X60" i="69"/>
  <c r="Z60" i="69" s="1"/>
  <c r="N60" i="69"/>
  <c r="L60" i="69"/>
  <c r="B60" i="69"/>
  <c r="X59" i="69"/>
  <c r="V59" i="69"/>
  <c r="T59" i="69"/>
  <c r="P59" i="69"/>
  <c r="H59" i="69"/>
  <c r="D59" i="69"/>
  <c r="L59" i="69" s="1"/>
  <c r="B59" i="69"/>
  <c r="T58" i="69"/>
  <c r="P58" i="69"/>
  <c r="X58" i="69" s="1"/>
  <c r="Z58" i="69" s="1"/>
  <c r="H58" i="69"/>
  <c r="D58" i="69"/>
  <c r="L58" i="69" s="1"/>
  <c r="Z54" i="69"/>
  <c r="X54" i="69"/>
  <c r="N54" i="69"/>
  <c r="L54" i="69"/>
  <c r="B54" i="69"/>
  <c r="Z53" i="69"/>
  <c r="X53" i="69"/>
  <c r="N53" i="69"/>
  <c r="L53" i="69"/>
  <c r="B53" i="69"/>
  <c r="Z52" i="69"/>
  <c r="X52" i="69"/>
  <c r="N52" i="69"/>
  <c r="L52" i="69"/>
  <c r="J52" i="69"/>
  <c r="B52" i="69"/>
  <c r="Z51" i="69"/>
  <c r="X51" i="69"/>
  <c r="N51" i="69"/>
  <c r="L51" i="69"/>
  <c r="B51" i="69"/>
  <c r="Z50" i="69"/>
  <c r="X50" i="69"/>
  <c r="N50" i="69"/>
  <c r="L50" i="69"/>
  <c r="B50" i="69"/>
  <c r="Z49" i="69"/>
  <c r="X49" i="69"/>
  <c r="N49" i="69"/>
  <c r="L49" i="69"/>
  <c r="B49" i="69"/>
  <c r="Z48" i="69"/>
  <c r="X48" i="69"/>
  <c r="N48" i="69"/>
  <c r="L48" i="69"/>
  <c r="J48" i="69"/>
  <c r="B48" i="69"/>
  <c r="Z47" i="69"/>
  <c r="X47" i="69"/>
  <c r="N47" i="69"/>
  <c r="L47" i="69"/>
  <c r="B47" i="69"/>
  <c r="Z46" i="69"/>
  <c r="X46" i="69"/>
  <c r="N46" i="69"/>
  <c r="L46" i="69"/>
  <c r="B46" i="69"/>
  <c r="Z45" i="69"/>
  <c r="X45" i="69"/>
  <c r="N45" i="69"/>
  <c r="L45" i="69"/>
  <c r="B45" i="69"/>
  <c r="Z44" i="69"/>
  <c r="X44" i="69"/>
  <c r="N44" i="69"/>
  <c r="L44" i="69"/>
  <c r="J44" i="69"/>
  <c r="B44" i="69"/>
  <c r="Z43" i="69"/>
  <c r="X43" i="69"/>
  <c r="N43" i="69"/>
  <c r="L43" i="69"/>
  <c r="B43" i="69"/>
  <c r="Z42" i="69"/>
  <c r="X42" i="69"/>
  <c r="N42" i="69"/>
  <c r="L42" i="69"/>
  <c r="B42" i="69"/>
  <c r="Z41" i="69"/>
  <c r="X41" i="69"/>
  <c r="N41" i="69"/>
  <c r="L41" i="69"/>
  <c r="B41" i="69"/>
  <c r="Z40" i="69"/>
  <c r="X40" i="69"/>
  <c r="N40" i="69"/>
  <c r="L40" i="69"/>
  <c r="J40" i="69"/>
  <c r="B40" i="69"/>
  <c r="Z39" i="69"/>
  <c r="X39" i="69"/>
  <c r="N39" i="69"/>
  <c r="L39" i="69"/>
  <c r="B39" i="69"/>
  <c r="Z38" i="69"/>
  <c r="X38" i="69"/>
  <c r="L38" i="69"/>
  <c r="N38" i="69" s="1"/>
  <c r="B38" i="69"/>
  <c r="X37" i="69"/>
  <c r="T37" i="69"/>
  <c r="P37" i="69"/>
  <c r="H37" i="69"/>
  <c r="N37" i="69" s="1"/>
  <c r="D37" i="69"/>
  <c r="L37" i="69" s="1"/>
  <c r="Z35" i="69"/>
  <c r="X35" i="69"/>
  <c r="P35" i="69"/>
  <c r="N35" i="69"/>
  <c r="L35" i="69"/>
  <c r="D35" i="69"/>
  <c r="B35" i="69"/>
  <c r="Z34" i="69"/>
  <c r="X34" i="69"/>
  <c r="P34" i="69"/>
  <c r="N34" i="69"/>
  <c r="L34" i="69"/>
  <c r="D34" i="69"/>
  <c r="B34" i="69"/>
  <c r="Z33" i="69"/>
  <c r="X33" i="69"/>
  <c r="P33" i="69"/>
  <c r="N33" i="69"/>
  <c r="L33" i="69"/>
  <c r="D33" i="69"/>
  <c r="B33" i="69"/>
  <c r="Z32" i="69"/>
  <c r="P32" i="69"/>
  <c r="X32" i="69" s="1"/>
  <c r="N32" i="69"/>
  <c r="L32" i="69"/>
  <c r="D32" i="69"/>
  <c r="B32" i="69"/>
  <c r="Z31" i="69"/>
  <c r="X31" i="69"/>
  <c r="P31" i="69"/>
  <c r="N31" i="69"/>
  <c r="L31" i="69"/>
  <c r="D31" i="69"/>
  <c r="B31" i="69"/>
  <c r="Z30" i="69"/>
  <c r="P30" i="69"/>
  <c r="X30" i="69" s="1"/>
  <c r="N30" i="69"/>
  <c r="D30" i="69"/>
  <c r="L30" i="69" s="1"/>
  <c r="B30" i="69"/>
  <c r="Z29" i="69"/>
  <c r="P29" i="69"/>
  <c r="X29" i="69" s="1"/>
  <c r="N29" i="69"/>
  <c r="D29" i="69"/>
  <c r="L29" i="69" s="1"/>
  <c r="B29" i="69"/>
  <c r="P28" i="69"/>
  <c r="X28" i="69" s="1"/>
  <c r="Z28" i="69" s="1"/>
  <c r="N28" i="69"/>
  <c r="L28" i="69"/>
  <c r="D28" i="69"/>
  <c r="B28" i="69"/>
  <c r="Z27" i="69"/>
  <c r="P27" i="69"/>
  <c r="X27" i="69" s="1"/>
  <c r="N27" i="69"/>
  <c r="D27" i="69"/>
  <c r="L27" i="69" s="1"/>
  <c r="B27" i="69"/>
  <c r="Z26" i="69"/>
  <c r="X26" i="69"/>
  <c r="P26" i="69"/>
  <c r="N26" i="69"/>
  <c r="D26" i="69"/>
  <c r="L26" i="69" s="1"/>
  <c r="B26" i="69"/>
  <c r="Z25" i="69"/>
  <c r="P25" i="69"/>
  <c r="X25" i="69" s="1"/>
  <c r="N25" i="69"/>
  <c r="D25" i="69"/>
  <c r="L25" i="69" s="1"/>
  <c r="B25" i="69"/>
  <c r="Z24" i="69"/>
  <c r="X24" i="69"/>
  <c r="P24" i="69"/>
  <c r="N24" i="69"/>
  <c r="L24" i="69"/>
  <c r="D24" i="69"/>
  <c r="B24" i="69"/>
  <c r="Z23" i="69"/>
  <c r="X23" i="69"/>
  <c r="P23" i="69"/>
  <c r="N23" i="69"/>
  <c r="L23" i="69"/>
  <c r="D23" i="69"/>
  <c r="B23" i="69"/>
  <c r="Z22" i="69"/>
  <c r="P22" i="69"/>
  <c r="X22" i="69" s="1"/>
  <c r="N22" i="69"/>
  <c r="D22" i="69"/>
  <c r="L22" i="69" s="1"/>
  <c r="B22" i="69"/>
  <c r="Z21" i="69"/>
  <c r="X21" i="69"/>
  <c r="P21" i="69"/>
  <c r="N21" i="69"/>
  <c r="L21" i="69"/>
  <c r="D21" i="69"/>
  <c r="B21" i="69"/>
  <c r="Z20" i="69"/>
  <c r="P20" i="69"/>
  <c r="X20" i="69" s="1"/>
  <c r="N20" i="69"/>
  <c r="L20" i="69"/>
  <c r="D20" i="69"/>
  <c r="B20" i="69"/>
  <c r="Z19" i="69"/>
  <c r="X19" i="69"/>
  <c r="P19" i="69"/>
  <c r="N19" i="69"/>
  <c r="D19" i="69"/>
  <c r="L19" i="69" s="1"/>
  <c r="B19" i="69"/>
  <c r="Z18" i="69"/>
  <c r="P18" i="69"/>
  <c r="X18" i="69" s="1"/>
  <c r="N18" i="69"/>
  <c r="L18" i="69"/>
  <c r="D18" i="69"/>
  <c r="B18" i="69"/>
  <c r="Z17" i="69"/>
  <c r="P17" i="69"/>
  <c r="X17" i="69" s="1"/>
  <c r="N17" i="69"/>
  <c r="L17" i="69"/>
  <c r="D17" i="69"/>
  <c r="B17" i="69"/>
  <c r="Z16" i="69"/>
  <c r="P16" i="69"/>
  <c r="X16" i="69" s="1"/>
  <c r="N16" i="69"/>
  <c r="L16" i="69"/>
  <c r="D16" i="69"/>
  <c r="B16" i="69"/>
  <c r="Z15" i="69"/>
  <c r="X15" i="69"/>
  <c r="P15" i="69"/>
  <c r="N15" i="69"/>
  <c r="D15" i="69"/>
  <c r="L15" i="69" s="1"/>
  <c r="B15" i="69"/>
  <c r="Z14" i="69"/>
  <c r="X14" i="69"/>
  <c r="P14" i="69"/>
  <c r="N14" i="69"/>
  <c r="L14" i="69"/>
  <c r="D14" i="69"/>
  <c r="B14" i="69"/>
  <c r="P13" i="69"/>
  <c r="D13" i="69"/>
  <c r="B13" i="69"/>
  <c r="T12" i="69"/>
  <c r="V85" i="69" s="1"/>
  <c r="H12" i="69"/>
  <c r="J101" i="69" s="1"/>
  <c r="D6" i="69"/>
  <c r="D4" i="69"/>
  <c r="F66" i="68"/>
  <c r="F63" i="68"/>
  <c r="Z61" i="68"/>
  <c r="X61" i="68"/>
  <c r="N61" i="68"/>
  <c r="L61" i="68"/>
  <c r="V59" i="68"/>
  <c r="V57" i="68"/>
  <c r="T57" i="68"/>
  <c r="Z57" i="68" s="1"/>
  <c r="R57" i="68"/>
  <c r="P57" i="68"/>
  <c r="X57" i="68" s="1"/>
  <c r="H57" i="68"/>
  <c r="N57" i="68" s="1"/>
  <c r="D57" i="68"/>
  <c r="L57" i="68" s="1"/>
  <c r="Z55" i="68"/>
  <c r="X55" i="68"/>
  <c r="V55" i="68"/>
  <c r="N55" i="68"/>
  <c r="L55" i="68"/>
  <c r="B55" i="68"/>
  <c r="T54" i="68"/>
  <c r="P54" i="68"/>
  <c r="X54" i="68" s="1"/>
  <c r="L54" i="68"/>
  <c r="H54" i="68"/>
  <c r="N54" i="68" s="1"/>
  <c r="D54" i="68"/>
  <c r="B54" i="68"/>
  <c r="X53" i="68"/>
  <c r="Z53" i="68" s="1"/>
  <c r="N53" i="68"/>
  <c r="L53" i="68"/>
  <c r="B53" i="68"/>
  <c r="X52" i="68"/>
  <c r="Z52" i="68" s="1"/>
  <c r="L52" i="68"/>
  <c r="N52" i="68" s="1"/>
  <c r="B52" i="68"/>
  <c r="Z51" i="68"/>
  <c r="X51" i="68"/>
  <c r="L51" i="68"/>
  <c r="N51" i="68" s="1"/>
  <c r="B51" i="68"/>
  <c r="X50" i="68"/>
  <c r="T50" i="68"/>
  <c r="P50" i="68"/>
  <c r="H50" i="68"/>
  <c r="N50" i="68" s="1"/>
  <c r="D50" i="68"/>
  <c r="L50" i="68" s="1"/>
  <c r="B50" i="68"/>
  <c r="Z49" i="68"/>
  <c r="X49" i="68"/>
  <c r="V49" i="68"/>
  <c r="N49" i="68"/>
  <c r="L49" i="68"/>
  <c r="B49" i="68"/>
  <c r="T48" i="68"/>
  <c r="P48" i="68"/>
  <c r="N48" i="68"/>
  <c r="L48" i="68"/>
  <c r="H48" i="68"/>
  <c r="D48" i="68"/>
  <c r="B48" i="68"/>
  <c r="Z47" i="68"/>
  <c r="X47" i="68"/>
  <c r="V47" i="68"/>
  <c r="N47" i="68"/>
  <c r="L47" i="68"/>
  <c r="B47" i="68"/>
  <c r="T46" i="68"/>
  <c r="P46" i="68"/>
  <c r="X46" i="68" s="1"/>
  <c r="L46" i="68"/>
  <c r="H46" i="68"/>
  <c r="N46" i="68" s="1"/>
  <c r="D46" i="68"/>
  <c r="B46" i="68"/>
  <c r="X45" i="68"/>
  <c r="Z45" i="68" s="1"/>
  <c r="N45" i="68"/>
  <c r="L45" i="68"/>
  <c r="B45" i="68"/>
  <c r="T44" i="68"/>
  <c r="Z44" i="68" s="1"/>
  <c r="P44" i="68"/>
  <c r="X44" i="68" s="1"/>
  <c r="H44" i="68"/>
  <c r="F44" i="68"/>
  <c r="D44" i="68"/>
  <c r="B44" i="68"/>
  <c r="X43" i="68"/>
  <c r="Z43" i="68" s="1"/>
  <c r="N43" i="68"/>
  <c r="L43" i="68"/>
  <c r="J43" i="68"/>
  <c r="B43" i="68"/>
  <c r="Z42" i="68"/>
  <c r="X42" i="68"/>
  <c r="T42" i="68"/>
  <c r="P42" i="68"/>
  <c r="H42" i="68"/>
  <c r="D42" i="68"/>
  <c r="B42" i="68"/>
  <c r="Z41" i="68"/>
  <c r="X41" i="68"/>
  <c r="N41" i="68"/>
  <c r="L41" i="68"/>
  <c r="B41" i="68"/>
  <c r="X40" i="68"/>
  <c r="V40" i="68"/>
  <c r="T40" i="68"/>
  <c r="P40" i="68"/>
  <c r="H40" i="68"/>
  <c r="N40" i="68" s="1"/>
  <c r="D40" i="68"/>
  <c r="L40" i="68" s="1"/>
  <c r="B40" i="68"/>
  <c r="Z39" i="68"/>
  <c r="X39" i="68"/>
  <c r="N39" i="68"/>
  <c r="L39" i="68"/>
  <c r="B39" i="68"/>
  <c r="Z38" i="68"/>
  <c r="X38" i="68"/>
  <c r="N38" i="68"/>
  <c r="L38" i="68"/>
  <c r="B38" i="68"/>
  <c r="X37" i="68"/>
  <c r="Z37" i="68" s="1"/>
  <c r="N37" i="68"/>
  <c r="L37" i="68"/>
  <c r="B37" i="68"/>
  <c r="X36" i="68"/>
  <c r="Z36" i="68" s="1"/>
  <c r="L36" i="68"/>
  <c r="N36" i="68" s="1"/>
  <c r="B36" i="68"/>
  <c r="Z35" i="68"/>
  <c r="X35" i="68"/>
  <c r="N35" i="68"/>
  <c r="L35" i="68"/>
  <c r="B35" i="68"/>
  <c r="Z34" i="68"/>
  <c r="X34" i="68"/>
  <c r="N34" i="68"/>
  <c r="L34" i="68"/>
  <c r="B34" i="68"/>
  <c r="X33" i="68"/>
  <c r="Z33" i="68" s="1"/>
  <c r="N33" i="68"/>
  <c r="L33" i="68"/>
  <c r="J33" i="68"/>
  <c r="B33" i="68"/>
  <c r="Z32" i="68"/>
  <c r="X32" i="68"/>
  <c r="N32" i="68"/>
  <c r="L32" i="68"/>
  <c r="F32" i="68"/>
  <c r="B32" i="68"/>
  <c r="X31" i="68"/>
  <c r="Z31" i="68" s="1"/>
  <c r="L31" i="68"/>
  <c r="N31" i="68" s="1"/>
  <c r="B31" i="68"/>
  <c r="X30" i="68"/>
  <c r="Z30" i="68" s="1"/>
  <c r="N30" i="68"/>
  <c r="L30" i="68"/>
  <c r="B30" i="68"/>
  <c r="T29" i="68"/>
  <c r="Z29" i="68" s="1"/>
  <c r="R29" i="68"/>
  <c r="P29" i="68"/>
  <c r="X29" i="68" s="1"/>
  <c r="L29" i="68"/>
  <c r="N29" i="68" s="1"/>
  <c r="H29" i="68"/>
  <c r="D29" i="68"/>
  <c r="B29" i="68"/>
  <c r="Z28" i="68"/>
  <c r="X28" i="68"/>
  <c r="N28" i="68"/>
  <c r="L28" i="68"/>
  <c r="J28" i="68"/>
  <c r="B28" i="68"/>
  <c r="X27" i="68"/>
  <c r="Z27" i="68" s="1"/>
  <c r="N27" i="68"/>
  <c r="L27" i="68"/>
  <c r="J27" i="68"/>
  <c r="B27" i="68"/>
  <c r="Z26" i="68"/>
  <c r="X26" i="68"/>
  <c r="N26" i="68"/>
  <c r="L26" i="68"/>
  <c r="B26" i="68"/>
  <c r="Z25" i="68"/>
  <c r="X25" i="68"/>
  <c r="V25" i="68"/>
  <c r="R25" i="68"/>
  <c r="N25" i="68"/>
  <c r="L25" i="68"/>
  <c r="B25" i="68"/>
  <c r="X24" i="68"/>
  <c r="Z24" i="68" s="1"/>
  <c r="L24" i="68"/>
  <c r="N24" i="68" s="1"/>
  <c r="J24" i="68"/>
  <c r="B24" i="68"/>
  <c r="X23" i="68"/>
  <c r="Z23" i="68" s="1"/>
  <c r="N23" i="68"/>
  <c r="L23" i="68"/>
  <c r="J23" i="68"/>
  <c r="B23" i="68"/>
  <c r="Z22" i="68"/>
  <c r="X22" i="68"/>
  <c r="N22" i="68"/>
  <c r="L22" i="68"/>
  <c r="B22" i="68"/>
  <c r="Z21" i="68"/>
  <c r="X21" i="68"/>
  <c r="V21" i="68"/>
  <c r="L21" i="68"/>
  <c r="N21" i="68" s="1"/>
  <c r="B21" i="68"/>
  <c r="X20" i="68"/>
  <c r="Z20" i="68" s="1"/>
  <c r="L20" i="68"/>
  <c r="N20" i="68" s="1"/>
  <c r="J20" i="68"/>
  <c r="B20" i="68"/>
  <c r="T19" i="68"/>
  <c r="Z19" i="68" s="1"/>
  <c r="P19" i="68"/>
  <c r="X19" i="68" s="1"/>
  <c r="J19" i="68"/>
  <c r="H19" i="68"/>
  <c r="D19" i="68"/>
  <c r="L19" i="68" s="1"/>
  <c r="N19" i="68" s="1"/>
  <c r="B19" i="68"/>
  <c r="T18" i="68"/>
  <c r="P18" i="68"/>
  <c r="X18" i="68" s="1"/>
  <c r="J18" i="68"/>
  <c r="H18" i="68"/>
  <c r="D18" i="68"/>
  <c r="L18" i="68" s="1"/>
  <c r="T16" i="68"/>
  <c r="P16" i="68"/>
  <c r="J16" i="68"/>
  <c r="H16" i="68"/>
  <c r="D16" i="68"/>
  <c r="T14" i="68"/>
  <c r="Z14" i="68" s="1"/>
  <c r="P14" i="68"/>
  <c r="J14" i="68"/>
  <c r="H14" i="68"/>
  <c r="N14" i="68" s="1"/>
  <c r="F14" i="68"/>
  <c r="D14" i="68"/>
  <c r="Z12" i="68"/>
  <c r="X12" i="68"/>
  <c r="T12" i="68"/>
  <c r="V42" i="68" s="1"/>
  <c r="P12" i="68"/>
  <c r="R30" i="68" s="1"/>
  <c r="N12" i="68"/>
  <c r="H12" i="68"/>
  <c r="J54" i="68" s="1"/>
  <c r="D12" i="68"/>
  <c r="F52" i="68" s="1"/>
  <c r="D6" i="68"/>
  <c r="D4" i="68"/>
  <c r="Z105" i="64"/>
  <c r="X105" i="64"/>
  <c r="N105" i="64"/>
  <c r="L105" i="64"/>
  <c r="R103" i="64"/>
  <c r="P101" i="64"/>
  <c r="X101" i="64" s="1"/>
  <c r="Z101" i="64" s="1"/>
  <c r="L101" i="64"/>
  <c r="N101" i="64" s="1"/>
  <c r="D101" i="64"/>
  <c r="B101" i="64"/>
  <c r="P100" i="64"/>
  <c r="D100" i="64"/>
  <c r="L100" i="64" s="1"/>
  <c r="N100" i="64" s="1"/>
  <c r="B100" i="64"/>
  <c r="Z99" i="64"/>
  <c r="X99" i="64"/>
  <c r="P99" i="64"/>
  <c r="L99" i="64"/>
  <c r="N99" i="64" s="1"/>
  <c r="D99" i="64"/>
  <c r="B99" i="64"/>
  <c r="T98" i="64"/>
  <c r="N98" i="64"/>
  <c r="L98" i="64"/>
  <c r="H98" i="64"/>
  <c r="D98" i="64"/>
  <c r="X96" i="64"/>
  <c r="Z96" i="64" s="1"/>
  <c r="N96" i="64"/>
  <c r="L96" i="64"/>
  <c r="J96" i="64"/>
  <c r="F96" i="64"/>
  <c r="B96" i="64"/>
  <c r="X95" i="64"/>
  <c r="Z95" i="64" s="1"/>
  <c r="T95" i="64"/>
  <c r="P95" i="64"/>
  <c r="H95" i="64"/>
  <c r="F95" i="64"/>
  <c r="D95" i="64"/>
  <c r="B95" i="64"/>
  <c r="Z94" i="64"/>
  <c r="X94" i="64"/>
  <c r="N94" i="64"/>
  <c r="L94" i="64"/>
  <c r="B94" i="64"/>
  <c r="Z93" i="64"/>
  <c r="X93" i="64"/>
  <c r="N93" i="64"/>
  <c r="L93" i="64"/>
  <c r="B93" i="64"/>
  <c r="V92" i="64"/>
  <c r="T92" i="64"/>
  <c r="Z92" i="64" s="1"/>
  <c r="P92" i="64"/>
  <c r="X92" i="64" s="1"/>
  <c r="H92" i="64"/>
  <c r="N92" i="64" s="1"/>
  <c r="D92" i="64"/>
  <c r="L92" i="64" s="1"/>
  <c r="B92" i="64"/>
  <c r="X91" i="64"/>
  <c r="Z91" i="64" s="1"/>
  <c r="V91" i="64"/>
  <c r="N91" i="64"/>
  <c r="L91" i="64"/>
  <c r="B91" i="64"/>
  <c r="T90" i="64"/>
  <c r="P90" i="64"/>
  <c r="X90" i="64" s="1"/>
  <c r="Z90" i="64" s="1"/>
  <c r="H90" i="64"/>
  <c r="D90" i="64"/>
  <c r="L90" i="64" s="1"/>
  <c r="B90" i="64"/>
  <c r="Z89" i="64"/>
  <c r="X89" i="64"/>
  <c r="R89" i="64"/>
  <c r="N89" i="64"/>
  <c r="L89" i="64"/>
  <c r="B89" i="64"/>
  <c r="T88" i="64"/>
  <c r="P88" i="64"/>
  <c r="L88" i="64"/>
  <c r="N88" i="64" s="1"/>
  <c r="H88" i="64"/>
  <c r="D88" i="64"/>
  <c r="B88" i="64"/>
  <c r="Z87" i="64"/>
  <c r="X87" i="64"/>
  <c r="L87" i="64"/>
  <c r="N87" i="64" s="1"/>
  <c r="J87" i="64"/>
  <c r="B87" i="64"/>
  <c r="X86" i="64"/>
  <c r="Z86" i="64" s="1"/>
  <c r="L86" i="64"/>
  <c r="N86" i="64" s="1"/>
  <c r="B86" i="64"/>
  <c r="Z85" i="64"/>
  <c r="X85" i="64"/>
  <c r="N85" i="64"/>
  <c r="L85" i="64"/>
  <c r="B85" i="64"/>
  <c r="Z84" i="64"/>
  <c r="X84" i="64"/>
  <c r="V84" i="64"/>
  <c r="N84" i="64"/>
  <c r="L84" i="64"/>
  <c r="B84" i="64"/>
  <c r="Z83" i="64"/>
  <c r="X83" i="64"/>
  <c r="V83" i="64"/>
  <c r="N83" i="64"/>
  <c r="L83" i="64"/>
  <c r="J83" i="64"/>
  <c r="B83" i="64"/>
  <c r="Z82" i="64"/>
  <c r="X82" i="64"/>
  <c r="N82" i="64"/>
  <c r="L82" i="64"/>
  <c r="B82" i="64"/>
  <c r="Z81" i="64"/>
  <c r="T81" i="64"/>
  <c r="P81" i="64"/>
  <c r="X81" i="64" s="1"/>
  <c r="J81" i="64"/>
  <c r="H81" i="64"/>
  <c r="D81" i="64"/>
  <c r="L81" i="64" s="1"/>
  <c r="B81" i="64"/>
  <c r="Z80" i="64"/>
  <c r="X80" i="64"/>
  <c r="N80" i="64"/>
  <c r="L80" i="64"/>
  <c r="F80" i="64"/>
  <c r="B80" i="64"/>
  <c r="X79" i="64"/>
  <c r="Z79" i="64" s="1"/>
  <c r="V79" i="64"/>
  <c r="N79" i="64"/>
  <c r="L79" i="64"/>
  <c r="B79" i="64"/>
  <c r="T78" i="64"/>
  <c r="P78" i="64"/>
  <c r="X78" i="64" s="1"/>
  <c r="Z78" i="64" s="1"/>
  <c r="H78" i="64"/>
  <c r="D78" i="64"/>
  <c r="L78" i="64" s="1"/>
  <c r="B78" i="64"/>
  <c r="Z77" i="64"/>
  <c r="X77" i="64"/>
  <c r="N77" i="64"/>
  <c r="L77" i="64"/>
  <c r="B77" i="64"/>
  <c r="Z76" i="64"/>
  <c r="X76" i="64"/>
  <c r="N76" i="64"/>
  <c r="L76" i="64"/>
  <c r="J76" i="64"/>
  <c r="F76" i="64"/>
  <c r="B76" i="64"/>
  <c r="Z75" i="64"/>
  <c r="X75" i="64"/>
  <c r="N75" i="64"/>
  <c r="L75" i="64"/>
  <c r="J75" i="64"/>
  <c r="B75" i="64"/>
  <c r="Z74" i="64"/>
  <c r="X74" i="64"/>
  <c r="T74" i="64"/>
  <c r="P74" i="64"/>
  <c r="H74" i="64"/>
  <c r="D74" i="64"/>
  <c r="B74" i="64"/>
  <c r="Z73" i="64"/>
  <c r="X73" i="64"/>
  <c r="N73" i="64"/>
  <c r="L73" i="64"/>
  <c r="B73" i="64"/>
  <c r="Z72" i="64"/>
  <c r="X72" i="64"/>
  <c r="V72" i="64"/>
  <c r="N72" i="64"/>
  <c r="L72" i="64"/>
  <c r="B72" i="64"/>
  <c r="Z71" i="64"/>
  <c r="X71" i="64"/>
  <c r="V71" i="64"/>
  <c r="N71" i="64"/>
  <c r="L71" i="64"/>
  <c r="J71" i="64"/>
  <c r="B71" i="64"/>
  <c r="T70" i="64"/>
  <c r="P70" i="64"/>
  <c r="X70" i="64" s="1"/>
  <c r="J70" i="64"/>
  <c r="H70" i="64"/>
  <c r="D70" i="64"/>
  <c r="L70" i="64" s="1"/>
  <c r="B70" i="64"/>
  <c r="Z69" i="64"/>
  <c r="X69" i="64"/>
  <c r="N69" i="64"/>
  <c r="L69" i="64"/>
  <c r="F69" i="64"/>
  <c r="B69" i="64"/>
  <c r="T68" i="64"/>
  <c r="P68" i="64"/>
  <c r="X68" i="64" s="1"/>
  <c r="H68" i="64"/>
  <c r="F68" i="64"/>
  <c r="D68" i="64"/>
  <c r="L68" i="64" s="1"/>
  <c r="N68" i="64" s="1"/>
  <c r="B68" i="64"/>
  <c r="Z67" i="64"/>
  <c r="X67" i="64"/>
  <c r="N67" i="64"/>
  <c r="L67" i="64"/>
  <c r="J67" i="64"/>
  <c r="B67" i="64"/>
  <c r="X66" i="64"/>
  <c r="Z66" i="64" s="1"/>
  <c r="T66" i="64"/>
  <c r="P66" i="64"/>
  <c r="H66" i="64"/>
  <c r="D66" i="64"/>
  <c r="B66" i="64"/>
  <c r="Z65" i="64"/>
  <c r="X65" i="64"/>
  <c r="N65" i="64"/>
  <c r="L65" i="64"/>
  <c r="B65" i="64"/>
  <c r="V64" i="64"/>
  <c r="T64" i="64"/>
  <c r="Z64" i="64" s="1"/>
  <c r="P64" i="64"/>
  <c r="X64" i="64" s="1"/>
  <c r="H64" i="64"/>
  <c r="N64" i="64" s="1"/>
  <c r="D64" i="64"/>
  <c r="L64" i="64" s="1"/>
  <c r="B64" i="64"/>
  <c r="X63" i="64"/>
  <c r="Z63" i="64" s="1"/>
  <c r="V63" i="64"/>
  <c r="N63" i="64"/>
  <c r="L63" i="64"/>
  <c r="B63" i="64"/>
  <c r="T62" i="64"/>
  <c r="P62" i="64"/>
  <c r="X62" i="64" s="1"/>
  <c r="Z62" i="64" s="1"/>
  <c r="H62" i="64"/>
  <c r="D62" i="64"/>
  <c r="L62" i="64" s="1"/>
  <c r="B62" i="64"/>
  <c r="Z61" i="64"/>
  <c r="X61" i="64"/>
  <c r="N61" i="64"/>
  <c r="L61" i="64"/>
  <c r="B61" i="64"/>
  <c r="T60" i="64"/>
  <c r="P60" i="64"/>
  <c r="N60" i="64"/>
  <c r="L60" i="64"/>
  <c r="H60" i="64"/>
  <c r="D60" i="64"/>
  <c r="B60" i="64"/>
  <c r="Z59" i="64"/>
  <c r="X59" i="64"/>
  <c r="V59" i="64"/>
  <c r="L59" i="64"/>
  <c r="N59" i="64" s="1"/>
  <c r="J59" i="64"/>
  <c r="B59" i="64"/>
  <c r="T58" i="64"/>
  <c r="P58" i="64"/>
  <c r="X58" i="64" s="1"/>
  <c r="J58" i="64"/>
  <c r="H58" i="64"/>
  <c r="D58" i="64"/>
  <c r="L58" i="64" s="1"/>
  <c r="B58" i="64"/>
  <c r="Z57" i="64"/>
  <c r="X57" i="64"/>
  <c r="N57" i="64"/>
  <c r="L57" i="64"/>
  <c r="F57" i="64"/>
  <c r="B57" i="64"/>
  <c r="T56" i="64"/>
  <c r="P56" i="64"/>
  <c r="X56" i="64" s="1"/>
  <c r="H56" i="64"/>
  <c r="F56" i="64"/>
  <c r="D56" i="64"/>
  <c r="L56" i="64" s="1"/>
  <c r="N56" i="64" s="1"/>
  <c r="B56" i="64"/>
  <c r="Z55" i="64"/>
  <c r="X55" i="64"/>
  <c r="N55" i="64"/>
  <c r="L55" i="64"/>
  <c r="J55" i="64"/>
  <c r="B55" i="64"/>
  <c r="X54" i="64"/>
  <c r="Z54" i="64" s="1"/>
  <c r="L54" i="64"/>
  <c r="N54" i="64" s="1"/>
  <c r="B54" i="64"/>
  <c r="T53" i="64"/>
  <c r="P53" i="64"/>
  <c r="H53" i="64"/>
  <c r="D53" i="64"/>
  <c r="L53" i="64" s="1"/>
  <c r="N53" i="64" s="1"/>
  <c r="B53" i="64"/>
  <c r="Z52" i="64"/>
  <c r="X52" i="64"/>
  <c r="V52" i="64"/>
  <c r="N52" i="64"/>
  <c r="L52" i="64"/>
  <c r="B52" i="64"/>
  <c r="Z51" i="64"/>
  <c r="X51" i="64"/>
  <c r="V51" i="64"/>
  <c r="L51" i="64"/>
  <c r="N51" i="64" s="1"/>
  <c r="J51" i="64"/>
  <c r="B51" i="64"/>
  <c r="T50" i="64"/>
  <c r="Z50" i="64" s="1"/>
  <c r="P50" i="64"/>
  <c r="X50" i="64" s="1"/>
  <c r="J50" i="64"/>
  <c r="H50" i="64"/>
  <c r="D50" i="64"/>
  <c r="L50" i="64" s="1"/>
  <c r="B50" i="64"/>
  <c r="Z49" i="64"/>
  <c r="X49" i="64"/>
  <c r="N49" i="64"/>
  <c r="L49" i="64"/>
  <c r="F49" i="64"/>
  <c r="B49" i="64"/>
  <c r="X48" i="64"/>
  <c r="Z48" i="64" s="1"/>
  <c r="L48" i="64"/>
  <c r="N48" i="64" s="1"/>
  <c r="F48" i="64"/>
  <c r="B48" i="64"/>
  <c r="X47" i="64"/>
  <c r="Z47" i="64" s="1"/>
  <c r="V47" i="64"/>
  <c r="N47" i="64"/>
  <c r="L47" i="64"/>
  <c r="B47" i="64"/>
  <c r="T46" i="64"/>
  <c r="R46" i="64"/>
  <c r="P46" i="64"/>
  <c r="X46" i="64" s="1"/>
  <c r="Z46" i="64" s="1"/>
  <c r="H46" i="64"/>
  <c r="N46" i="64" s="1"/>
  <c r="D46" i="64"/>
  <c r="L46" i="64" s="1"/>
  <c r="B46" i="64"/>
  <c r="Z45" i="64"/>
  <c r="X45" i="64"/>
  <c r="R45" i="64"/>
  <c r="N45" i="64"/>
  <c r="L45" i="64"/>
  <c r="B45" i="64"/>
  <c r="T44" i="64"/>
  <c r="P44" i="64"/>
  <c r="L44" i="64"/>
  <c r="N44" i="64" s="1"/>
  <c r="H44" i="64"/>
  <c r="D44" i="64"/>
  <c r="B44" i="64"/>
  <c r="Z43" i="64"/>
  <c r="X43" i="64"/>
  <c r="V43" i="64"/>
  <c r="L43" i="64"/>
  <c r="N43" i="64" s="1"/>
  <c r="J43" i="64"/>
  <c r="B43" i="64"/>
  <c r="T42" i="64"/>
  <c r="Z42" i="64" s="1"/>
  <c r="P42" i="64"/>
  <c r="X42" i="64" s="1"/>
  <c r="J42" i="64"/>
  <c r="H42" i="64"/>
  <c r="D42" i="64"/>
  <c r="L42" i="64" s="1"/>
  <c r="B42" i="64"/>
  <c r="Z41" i="64"/>
  <c r="X41" i="64"/>
  <c r="N41" i="64"/>
  <c r="L41" i="64"/>
  <c r="F41" i="64"/>
  <c r="B41" i="64"/>
  <c r="T40" i="64"/>
  <c r="Z40" i="64" s="1"/>
  <c r="P40" i="64"/>
  <c r="X40" i="64" s="1"/>
  <c r="H40" i="64"/>
  <c r="F40" i="64"/>
  <c r="D40" i="64"/>
  <c r="L40" i="64" s="1"/>
  <c r="N40" i="64" s="1"/>
  <c r="B40" i="64"/>
  <c r="Z39" i="64"/>
  <c r="X39" i="64"/>
  <c r="N39" i="64"/>
  <c r="L39" i="64"/>
  <c r="J39" i="64"/>
  <c r="B39" i="64"/>
  <c r="Z38" i="64"/>
  <c r="X38" i="64"/>
  <c r="N38" i="64"/>
  <c r="L38" i="64"/>
  <c r="F38" i="64"/>
  <c r="B38" i="64"/>
  <c r="Z37" i="64"/>
  <c r="X37" i="64"/>
  <c r="N37" i="64"/>
  <c r="L37" i="64"/>
  <c r="B37" i="64"/>
  <c r="X36" i="64"/>
  <c r="Z36" i="64" s="1"/>
  <c r="N36" i="64"/>
  <c r="L36" i="64"/>
  <c r="J36" i="64"/>
  <c r="F36" i="64"/>
  <c r="B36" i="64"/>
  <c r="Z35" i="64"/>
  <c r="X35" i="64"/>
  <c r="N35" i="64"/>
  <c r="L35" i="64"/>
  <c r="J35" i="64"/>
  <c r="B35" i="64"/>
  <c r="Z34" i="64"/>
  <c r="X34" i="64"/>
  <c r="N34" i="64"/>
  <c r="L34" i="64"/>
  <c r="F34" i="64"/>
  <c r="B34" i="64"/>
  <c r="Z33" i="64"/>
  <c r="X33" i="64"/>
  <c r="N33" i="64"/>
  <c r="L33" i="64"/>
  <c r="B33" i="64"/>
  <c r="Z32" i="64"/>
  <c r="X32" i="64"/>
  <c r="N32" i="64"/>
  <c r="L32" i="64"/>
  <c r="J32" i="64"/>
  <c r="F32" i="64"/>
  <c r="B32" i="64"/>
  <c r="Z31" i="64"/>
  <c r="X31" i="64"/>
  <c r="N31" i="64"/>
  <c r="L31" i="64"/>
  <c r="J31" i="64"/>
  <c r="B31" i="64"/>
  <c r="Z30" i="64"/>
  <c r="X30" i="64"/>
  <c r="L30" i="64"/>
  <c r="N30" i="64" s="1"/>
  <c r="F30" i="64"/>
  <c r="B30" i="64"/>
  <c r="T29" i="64"/>
  <c r="R29" i="64"/>
  <c r="P29" i="64"/>
  <c r="J29" i="64"/>
  <c r="H29" i="64"/>
  <c r="F29" i="64"/>
  <c r="D29" i="64"/>
  <c r="L29" i="64" s="1"/>
  <c r="N29" i="64" s="1"/>
  <c r="B29" i="64"/>
  <c r="Z28" i="64"/>
  <c r="X28" i="64"/>
  <c r="V28" i="64"/>
  <c r="L28" i="64"/>
  <c r="N28" i="64" s="1"/>
  <c r="B28" i="64"/>
  <c r="Z27" i="64"/>
  <c r="X27" i="64"/>
  <c r="V27" i="64"/>
  <c r="L27" i="64"/>
  <c r="N27" i="64" s="1"/>
  <c r="J27" i="64"/>
  <c r="B27" i="64"/>
  <c r="X26" i="64"/>
  <c r="Z26" i="64" s="1"/>
  <c r="L26" i="64"/>
  <c r="N26" i="64" s="1"/>
  <c r="J26" i="64"/>
  <c r="B26" i="64"/>
  <c r="Z25" i="64"/>
  <c r="X25" i="64"/>
  <c r="N25" i="64"/>
  <c r="L25" i="64"/>
  <c r="J25" i="64"/>
  <c r="B25" i="64"/>
  <c r="Z24" i="64"/>
  <c r="X24" i="64"/>
  <c r="V24" i="64"/>
  <c r="L24" i="64"/>
  <c r="N24" i="64" s="1"/>
  <c r="B24" i="64"/>
  <c r="Z23" i="64"/>
  <c r="X23" i="64"/>
  <c r="V23" i="64"/>
  <c r="L23" i="64"/>
  <c r="N23" i="64" s="1"/>
  <c r="J23" i="64"/>
  <c r="B23" i="64"/>
  <c r="X22" i="64"/>
  <c r="Z22" i="64" s="1"/>
  <c r="L22" i="64"/>
  <c r="N22" i="64" s="1"/>
  <c r="J22" i="64"/>
  <c r="B22" i="64"/>
  <c r="Z21" i="64"/>
  <c r="X21" i="64"/>
  <c r="N21" i="64"/>
  <c r="L21" i="64"/>
  <c r="J21" i="64"/>
  <c r="B21" i="64"/>
  <c r="Z20" i="64"/>
  <c r="X20" i="64"/>
  <c r="V20" i="64"/>
  <c r="L20" i="64"/>
  <c r="N20" i="64" s="1"/>
  <c r="F20" i="64"/>
  <c r="B20" i="64"/>
  <c r="V19" i="64"/>
  <c r="T19" i="64"/>
  <c r="P19" i="64"/>
  <c r="X19" i="64" s="1"/>
  <c r="Z19" i="64" s="1"/>
  <c r="J19" i="64"/>
  <c r="H19" i="64"/>
  <c r="F19" i="64"/>
  <c r="D19" i="64"/>
  <c r="L19" i="64" s="1"/>
  <c r="N19" i="64" s="1"/>
  <c r="B19" i="64"/>
  <c r="T18" i="64"/>
  <c r="P18" i="64"/>
  <c r="X18" i="64" s="1"/>
  <c r="H18" i="64"/>
  <c r="D18" i="64"/>
  <c r="L18" i="64" s="1"/>
  <c r="R16" i="64"/>
  <c r="T14" i="64"/>
  <c r="P14" i="64"/>
  <c r="X14" i="64" s="1"/>
  <c r="H14" i="64"/>
  <c r="N14" i="64" s="1"/>
  <c r="D14" i="64"/>
  <c r="L14" i="64" s="1"/>
  <c r="T12" i="64"/>
  <c r="V74" i="64" s="1"/>
  <c r="P12" i="64"/>
  <c r="R90" i="64" s="1"/>
  <c r="N12" i="64"/>
  <c r="L12" i="64"/>
  <c r="H12" i="64"/>
  <c r="J99" i="64" s="1"/>
  <c r="D12" i="64"/>
  <c r="F87" i="64" s="1"/>
  <c r="D6" i="64"/>
  <c r="D4" i="64"/>
  <c r="J67" i="61"/>
  <c r="J64" i="61"/>
  <c r="Z62" i="61"/>
  <c r="X62" i="61"/>
  <c r="N62" i="61"/>
  <c r="L62" i="61"/>
  <c r="F62" i="61"/>
  <c r="Z58" i="61"/>
  <c r="X58" i="61"/>
  <c r="T58" i="61"/>
  <c r="P58" i="61"/>
  <c r="H58" i="61"/>
  <c r="N58" i="61" s="1"/>
  <c r="D58" i="61"/>
  <c r="L58" i="61" s="1"/>
  <c r="X56" i="61"/>
  <c r="Z56" i="61" s="1"/>
  <c r="L56" i="61"/>
  <c r="N56" i="61" s="1"/>
  <c r="B56" i="61"/>
  <c r="T55" i="61"/>
  <c r="R55" i="61"/>
  <c r="P55" i="61"/>
  <c r="H55" i="61"/>
  <c r="D55" i="61"/>
  <c r="L55" i="61" s="1"/>
  <c r="N55" i="61" s="1"/>
  <c r="B55" i="61"/>
  <c r="X54" i="61"/>
  <c r="Z54" i="61" s="1"/>
  <c r="L54" i="61"/>
  <c r="N54" i="61" s="1"/>
  <c r="B54" i="61"/>
  <c r="T53" i="61"/>
  <c r="P53" i="61"/>
  <c r="X53" i="61" s="1"/>
  <c r="Z53" i="61" s="1"/>
  <c r="N53" i="61"/>
  <c r="H53" i="61"/>
  <c r="D53" i="61"/>
  <c r="L53" i="61" s="1"/>
  <c r="B53" i="61"/>
  <c r="X52" i="61"/>
  <c r="Z52" i="61" s="1"/>
  <c r="L52" i="61"/>
  <c r="N52" i="61" s="1"/>
  <c r="B52" i="61"/>
  <c r="Z51" i="61"/>
  <c r="X51" i="61"/>
  <c r="T51" i="61"/>
  <c r="P51" i="61"/>
  <c r="L51" i="61"/>
  <c r="N51" i="61" s="1"/>
  <c r="J51" i="61"/>
  <c r="H51" i="61"/>
  <c r="D51" i="61"/>
  <c r="B51" i="61"/>
  <c r="Z50" i="61"/>
  <c r="X50" i="61"/>
  <c r="N50" i="61"/>
  <c r="L50" i="61"/>
  <c r="J50" i="61"/>
  <c r="F50" i="61"/>
  <c r="B50" i="61"/>
  <c r="Z49" i="61"/>
  <c r="X49" i="61"/>
  <c r="N49" i="61"/>
  <c r="L49" i="61"/>
  <c r="J49" i="61"/>
  <c r="B49" i="61"/>
  <c r="X48" i="61"/>
  <c r="Z48" i="61" s="1"/>
  <c r="T48" i="61"/>
  <c r="P48" i="61"/>
  <c r="H48" i="61"/>
  <c r="N48" i="61" s="1"/>
  <c r="D48" i="61"/>
  <c r="L48" i="61" s="1"/>
  <c r="B48" i="61"/>
  <c r="Z47" i="61"/>
  <c r="X47" i="61"/>
  <c r="N47" i="61"/>
  <c r="L47" i="61"/>
  <c r="J47" i="61"/>
  <c r="B47" i="61"/>
  <c r="T46" i="61"/>
  <c r="P46" i="61"/>
  <c r="H46" i="61"/>
  <c r="D46" i="61"/>
  <c r="L46" i="61" s="1"/>
  <c r="B46" i="61"/>
  <c r="Z45" i="61"/>
  <c r="X45" i="61"/>
  <c r="N45" i="61"/>
  <c r="L45" i="61"/>
  <c r="B45" i="61"/>
  <c r="T44" i="61"/>
  <c r="R44" i="61"/>
  <c r="P44" i="61"/>
  <c r="X44" i="61" s="1"/>
  <c r="H44" i="61"/>
  <c r="D44" i="61"/>
  <c r="L44" i="61" s="1"/>
  <c r="B44" i="61"/>
  <c r="Z43" i="61"/>
  <c r="X43" i="61"/>
  <c r="R43" i="61"/>
  <c r="N43" i="61"/>
  <c r="L43" i="61"/>
  <c r="B43" i="61"/>
  <c r="T42" i="61"/>
  <c r="P42" i="61"/>
  <c r="X42" i="61" s="1"/>
  <c r="L42" i="61"/>
  <c r="N42" i="61" s="1"/>
  <c r="H42" i="61"/>
  <c r="D42" i="61"/>
  <c r="B42" i="61"/>
  <c r="Z41" i="61"/>
  <c r="X41" i="61"/>
  <c r="L41" i="61"/>
  <c r="N41" i="61" s="1"/>
  <c r="J41" i="61"/>
  <c r="B41" i="61"/>
  <c r="T40" i="61"/>
  <c r="Z40" i="61" s="1"/>
  <c r="P40" i="61"/>
  <c r="X40" i="61" s="1"/>
  <c r="J40" i="61"/>
  <c r="H40" i="61"/>
  <c r="D40" i="61"/>
  <c r="B40" i="61"/>
  <c r="Z39" i="61"/>
  <c r="X39" i="61"/>
  <c r="N39" i="61"/>
  <c r="L39" i="61"/>
  <c r="J39" i="61"/>
  <c r="F39" i="61"/>
  <c r="B39" i="61"/>
  <c r="Z38" i="61"/>
  <c r="X38" i="61"/>
  <c r="N38" i="61"/>
  <c r="L38" i="61"/>
  <c r="F38" i="61"/>
  <c r="B38" i="61"/>
  <c r="X37" i="61"/>
  <c r="Z37" i="61" s="1"/>
  <c r="N37" i="61"/>
  <c r="L37" i="61"/>
  <c r="J37" i="61"/>
  <c r="B37" i="61"/>
  <c r="Z36" i="61"/>
  <c r="X36" i="61"/>
  <c r="N36" i="61"/>
  <c r="L36" i="61"/>
  <c r="B36" i="61"/>
  <c r="Z35" i="61"/>
  <c r="X35" i="61"/>
  <c r="N35" i="61"/>
  <c r="L35" i="61"/>
  <c r="J35" i="61"/>
  <c r="F35" i="61"/>
  <c r="B35" i="61"/>
  <c r="Z34" i="61"/>
  <c r="X34" i="61"/>
  <c r="N34" i="61"/>
  <c r="L34" i="61"/>
  <c r="F34" i="61"/>
  <c r="B34" i="61"/>
  <c r="X33" i="61"/>
  <c r="Z33" i="61" s="1"/>
  <c r="V33" i="61"/>
  <c r="N33" i="61"/>
  <c r="L33" i="61"/>
  <c r="J33" i="61"/>
  <c r="B33" i="61"/>
  <c r="Z32" i="61"/>
  <c r="X32" i="61"/>
  <c r="R32" i="61"/>
  <c r="N32" i="61"/>
  <c r="L32" i="61"/>
  <c r="B32" i="61"/>
  <c r="Z31" i="61"/>
  <c r="X31" i="61"/>
  <c r="N31" i="61"/>
  <c r="L31" i="61"/>
  <c r="J31" i="61"/>
  <c r="F31" i="61"/>
  <c r="B31" i="61"/>
  <c r="X30" i="61"/>
  <c r="Z30" i="61" s="1"/>
  <c r="L30" i="61"/>
  <c r="N30" i="61" s="1"/>
  <c r="F30" i="61"/>
  <c r="B30" i="61"/>
  <c r="X29" i="61"/>
  <c r="Z29" i="61" s="1"/>
  <c r="V29" i="61"/>
  <c r="T29" i="61"/>
  <c r="P29" i="61"/>
  <c r="J29" i="61"/>
  <c r="H29" i="61"/>
  <c r="F29" i="61"/>
  <c r="D29" i="61"/>
  <c r="L29" i="61" s="1"/>
  <c r="N29" i="61" s="1"/>
  <c r="B29" i="61"/>
  <c r="Z28" i="61"/>
  <c r="X28" i="61"/>
  <c r="N28" i="61"/>
  <c r="L28" i="61"/>
  <c r="F28" i="61"/>
  <c r="B28" i="61"/>
  <c r="Z27" i="61"/>
  <c r="X27" i="61"/>
  <c r="N27" i="61"/>
  <c r="L27" i="61"/>
  <c r="B27" i="61"/>
  <c r="X26" i="61"/>
  <c r="Z26" i="61" s="1"/>
  <c r="L26" i="61"/>
  <c r="N26" i="61" s="1"/>
  <c r="J26" i="61"/>
  <c r="F26" i="61"/>
  <c r="B26" i="61"/>
  <c r="Z25" i="61"/>
  <c r="X25" i="61"/>
  <c r="N25" i="61"/>
  <c r="L25" i="61"/>
  <c r="J25" i="61"/>
  <c r="B25" i="61"/>
  <c r="X24" i="61"/>
  <c r="Z24" i="61" s="1"/>
  <c r="L24" i="61"/>
  <c r="N24" i="61" s="1"/>
  <c r="F24" i="61"/>
  <c r="B24" i="61"/>
  <c r="Z23" i="61"/>
  <c r="X23" i="61"/>
  <c r="R23" i="61"/>
  <c r="N23" i="61"/>
  <c r="L23" i="61"/>
  <c r="B23" i="61"/>
  <c r="X22" i="61"/>
  <c r="Z22" i="61" s="1"/>
  <c r="R22" i="61"/>
  <c r="L22" i="61"/>
  <c r="N22" i="61" s="1"/>
  <c r="J22" i="61"/>
  <c r="F22" i="61"/>
  <c r="B22" i="61"/>
  <c r="X21" i="61"/>
  <c r="Z21" i="61" s="1"/>
  <c r="N21" i="61"/>
  <c r="L21" i="61"/>
  <c r="J21" i="61"/>
  <c r="B21" i="61"/>
  <c r="Z20" i="61"/>
  <c r="X20" i="61"/>
  <c r="L20" i="61"/>
  <c r="N20" i="61" s="1"/>
  <c r="F20" i="61"/>
  <c r="B20" i="61"/>
  <c r="Z19" i="61"/>
  <c r="T19" i="61"/>
  <c r="P19" i="61"/>
  <c r="X19" i="61" s="1"/>
  <c r="J19" i="61"/>
  <c r="H19" i="61"/>
  <c r="N19" i="61" s="1"/>
  <c r="F19" i="61"/>
  <c r="D19" i="61"/>
  <c r="L19" i="61" s="1"/>
  <c r="B19" i="61"/>
  <c r="V18" i="61"/>
  <c r="T18" i="61"/>
  <c r="P18" i="61"/>
  <c r="H18" i="61"/>
  <c r="D18" i="61"/>
  <c r="H16" i="61"/>
  <c r="T14" i="61"/>
  <c r="P14" i="61"/>
  <c r="H14" i="61"/>
  <c r="N14" i="61" s="1"/>
  <c r="D14" i="61"/>
  <c r="L14" i="61" s="1"/>
  <c r="T12" i="61"/>
  <c r="V54" i="61" s="1"/>
  <c r="P12" i="61"/>
  <c r="R54" i="61" s="1"/>
  <c r="H12" i="61"/>
  <c r="J52" i="61" s="1"/>
  <c r="D12" i="61"/>
  <c r="F67" i="61" s="1"/>
  <c r="D6" i="61"/>
  <c r="D4" i="61"/>
  <c r="Z60" i="60"/>
  <c r="X60" i="60"/>
  <c r="N60" i="60"/>
  <c r="L60" i="60"/>
  <c r="J58" i="60"/>
  <c r="T56" i="60"/>
  <c r="Z56" i="60" s="1"/>
  <c r="P56" i="60"/>
  <c r="X56" i="60" s="1"/>
  <c r="J56" i="60"/>
  <c r="H56" i="60"/>
  <c r="N56" i="60" s="1"/>
  <c r="D56" i="60"/>
  <c r="X54" i="60"/>
  <c r="Z54" i="60" s="1"/>
  <c r="L54" i="60"/>
  <c r="N54" i="60" s="1"/>
  <c r="B54" i="60"/>
  <c r="T53" i="60"/>
  <c r="P53" i="60"/>
  <c r="X53" i="60" s="1"/>
  <c r="Z53" i="60" s="1"/>
  <c r="J53" i="60"/>
  <c r="H53" i="60"/>
  <c r="F53" i="60"/>
  <c r="D53" i="60"/>
  <c r="L53" i="60" s="1"/>
  <c r="N53" i="60" s="1"/>
  <c r="B53" i="60"/>
  <c r="X52" i="60"/>
  <c r="Z52" i="60" s="1"/>
  <c r="L52" i="60"/>
  <c r="N52" i="60" s="1"/>
  <c r="B52" i="60"/>
  <c r="X51" i="60"/>
  <c r="Z51" i="60" s="1"/>
  <c r="V51" i="60"/>
  <c r="N51" i="60"/>
  <c r="L51" i="60"/>
  <c r="B51" i="60"/>
  <c r="X50" i="60"/>
  <c r="T50" i="60"/>
  <c r="P50" i="60"/>
  <c r="H50" i="60"/>
  <c r="N50" i="60" s="1"/>
  <c r="D50" i="60"/>
  <c r="L50" i="60" s="1"/>
  <c r="B50" i="60"/>
  <c r="Z49" i="60"/>
  <c r="X49" i="60"/>
  <c r="V49" i="60"/>
  <c r="N49" i="60"/>
  <c r="L49" i="60"/>
  <c r="B49" i="60"/>
  <c r="T48" i="60"/>
  <c r="P48" i="60"/>
  <c r="X48" i="60" s="1"/>
  <c r="L48" i="60"/>
  <c r="N48" i="60" s="1"/>
  <c r="H48" i="60"/>
  <c r="D48" i="60"/>
  <c r="B48" i="60"/>
  <c r="Z47" i="60"/>
  <c r="X47" i="60"/>
  <c r="V47" i="60"/>
  <c r="L47" i="60"/>
  <c r="N47" i="60" s="1"/>
  <c r="J47" i="60"/>
  <c r="B47" i="60"/>
  <c r="T46" i="60"/>
  <c r="P46" i="60"/>
  <c r="X46" i="60" s="1"/>
  <c r="L46" i="60"/>
  <c r="J46" i="60"/>
  <c r="H46" i="60"/>
  <c r="D46" i="60"/>
  <c r="B46" i="60"/>
  <c r="Z45" i="60"/>
  <c r="X45" i="60"/>
  <c r="V45" i="60"/>
  <c r="N45" i="60"/>
  <c r="L45" i="60"/>
  <c r="J45" i="60"/>
  <c r="B45" i="60"/>
  <c r="T44" i="60"/>
  <c r="P44" i="60"/>
  <c r="X44" i="60" s="1"/>
  <c r="H44" i="60"/>
  <c r="N44" i="60" s="1"/>
  <c r="F44" i="60"/>
  <c r="D44" i="60"/>
  <c r="L44" i="60" s="1"/>
  <c r="B44" i="60"/>
  <c r="Z43" i="60"/>
  <c r="X43" i="60"/>
  <c r="N43" i="60"/>
  <c r="L43" i="60"/>
  <c r="J43" i="60"/>
  <c r="B43" i="60"/>
  <c r="Z42" i="60"/>
  <c r="X42" i="60"/>
  <c r="T42" i="60"/>
  <c r="P42" i="60"/>
  <c r="H42" i="60"/>
  <c r="D42" i="60"/>
  <c r="L42" i="60" s="1"/>
  <c r="B42" i="60"/>
  <c r="Z41" i="60"/>
  <c r="X41" i="60"/>
  <c r="N41" i="60"/>
  <c r="L41" i="60"/>
  <c r="J41" i="60"/>
  <c r="B41" i="60"/>
  <c r="X40" i="60"/>
  <c r="V40" i="60"/>
  <c r="T40" i="60"/>
  <c r="P40" i="60"/>
  <c r="H40" i="60"/>
  <c r="D40" i="60"/>
  <c r="L40" i="60" s="1"/>
  <c r="B40" i="60"/>
  <c r="Z39" i="60"/>
  <c r="X39" i="60"/>
  <c r="V39" i="60"/>
  <c r="N39" i="60"/>
  <c r="L39" i="60"/>
  <c r="B39" i="60"/>
  <c r="Z38" i="60"/>
  <c r="X38" i="60"/>
  <c r="N38" i="60"/>
  <c r="L38" i="60"/>
  <c r="B38" i="60"/>
  <c r="Z37" i="60"/>
  <c r="X37" i="60"/>
  <c r="V37" i="60"/>
  <c r="N37" i="60"/>
  <c r="L37" i="60"/>
  <c r="J37" i="60"/>
  <c r="F37" i="60"/>
  <c r="B37" i="60"/>
  <c r="Z36" i="60"/>
  <c r="X36" i="60"/>
  <c r="N36" i="60"/>
  <c r="L36" i="60"/>
  <c r="B36" i="60"/>
  <c r="Z35" i="60"/>
  <c r="X35" i="60"/>
  <c r="V35" i="60"/>
  <c r="N35" i="60"/>
  <c r="L35" i="60"/>
  <c r="B35" i="60"/>
  <c r="Z34" i="60"/>
  <c r="X34" i="60"/>
  <c r="N34" i="60"/>
  <c r="L34" i="60"/>
  <c r="B34" i="60"/>
  <c r="Z33" i="60"/>
  <c r="X33" i="60"/>
  <c r="V33" i="60"/>
  <c r="N33" i="60"/>
  <c r="L33" i="60"/>
  <c r="J33" i="60"/>
  <c r="B33" i="60"/>
  <c r="Z32" i="60"/>
  <c r="X32" i="60"/>
  <c r="N32" i="60"/>
  <c r="L32" i="60"/>
  <c r="B32" i="60"/>
  <c r="X31" i="60"/>
  <c r="Z31" i="60" s="1"/>
  <c r="V31" i="60"/>
  <c r="L31" i="60"/>
  <c r="N31" i="60" s="1"/>
  <c r="B31" i="60"/>
  <c r="Z30" i="60"/>
  <c r="X30" i="60"/>
  <c r="N30" i="60"/>
  <c r="L30" i="60"/>
  <c r="B30" i="60"/>
  <c r="Z29" i="60"/>
  <c r="X29" i="60"/>
  <c r="V29" i="60"/>
  <c r="T29" i="60"/>
  <c r="P29" i="60"/>
  <c r="L29" i="60"/>
  <c r="N29" i="60" s="1"/>
  <c r="J29" i="60"/>
  <c r="H29" i="60"/>
  <c r="D29" i="60"/>
  <c r="B29" i="60"/>
  <c r="X28" i="60"/>
  <c r="Z28" i="60" s="1"/>
  <c r="L28" i="60"/>
  <c r="N28" i="60" s="1"/>
  <c r="J28" i="60"/>
  <c r="B28" i="60"/>
  <c r="X27" i="60"/>
  <c r="Z27" i="60" s="1"/>
  <c r="N27" i="60"/>
  <c r="L27" i="60"/>
  <c r="J27" i="60"/>
  <c r="B27" i="60"/>
  <c r="X26" i="60"/>
  <c r="Z26" i="60" s="1"/>
  <c r="L26" i="60"/>
  <c r="N26" i="60" s="1"/>
  <c r="F26" i="60"/>
  <c r="B26" i="60"/>
  <c r="Z25" i="60"/>
  <c r="X25" i="60"/>
  <c r="V25" i="60"/>
  <c r="N25" i="60"/>
  <c r="L25" i="60"/>
  <c r="B25" i="60"/>
  <c r="X24" i="60"/>
  <c r="Z24" i="60" s="1"/>
  <c r="L24" i="60"/>
  <c r="N24" i="60" s="1"/>
  <c r="J24" i="60"/>
  <c r="F24" i="60"/>
  <c r="B24" i="60"/>
  <c r="X23" i="60"/>
  <c r="Z23" i="60" s="1"/>
  <c r="V23" i="60"/>
  <c r="N23" i="60"/>
  <c r="L23" i="60"/>
  <c r="J23" i="60"/>
  <c r="B23" i="60"/>
  <c r="X22" i="60"/>
  <c r="Z22" i="60" s="1"/>
  <c r="L22" i="60"/>
  <c r="N22" i="60" s="1"/>
  <c r="F22" i="60"/>
  <c r="B22" i="60"/>
  <c r="Z21" i="60"/>
  <c r="X21" i="60"/>
  <c r="V21" i="60"/>
  <c r="N21" i="60"/>
  <c r="L21" i="60"/>
  <c r="B21" i="60"/>
  <c r="X20" i="60"/>
  <c r="Z20" i="60" s="1"/>
  <c r="L20" i="60"/>
  <c r="N20" i="60" s="1"/>
  <c r="J20" i="60"/>
  <c r="F20" i="60"/>
  <c r="B20" i="60"/>
  <c r="V19" i="60"/>
  <c r="T19" i="60"/>
  <c r="P19" i="60"/>
  <c r="J19" i="60"/>
  <c r="H19" i="60"/>
  <c r="D19" i="60"/>
  <c r="B19" i="60"/>
  <c r="T18" i="60"/>
  <c r="P18" i="60"/>
  <c r="X18" i="60" s="1"/>
  <c r="J18" i="60"/>
  <c r="H18" i="60"/>
  <c r="D18" i="60"/>
  <c r="J16" i="60"/>
  <c r="D16" i="60"/>
  <c r="D58" i="60" s="1"/>
  <c r="D62" i="60" s="1"/>
  <c r="T14" i="60"/>
  <c r="Z14" i="60" s="1"/>
  <c r="P14" i="60"/>
  <c r="X14" i="60" s="1"/>
  <c r="J14" i="60"/>
  <c r="H14" i="60"/>
  <c r="D14" i="60"/>
  <c r="T12" i="60"/>
  <c r="V42" i="60" s="1"/>
  <c r="P12" i="60"/>
  <c r="R65" i="60" s="1"/>
  <c r="L12" i="60"/>
  <c r="H12" i="60"/>
  <c r="J60" i="60" s="1"/>
  <c r="D12" i="60"/>
  <c r="F54" i="60" s="1"/>
  <c r="D6" i="60"/>
  <c r="D4" i="60"/>
  <c r="Z71" i="59"/>
  <c r="X71" i="59"/>
  <c r="N71" i="59"/>
  <c r="L71" i="59"/>
  <c r="F71" i="59"/>
  <c r="T67" i="59"/>
  <c r="Z67" i="59" s="1"/>
  <c r="P67" i="59"/>
  <c r="X67" i="59" s="1"/>
  <c r="L67" i="59"/>
  <c r="H67" i="59"/>
  <c r="N67" i="59" s="1"/>
  <c r="D67" i="59"/>
  <c r="Z65" i="59"/>
  <c r="X65" i="59"/>
  <c r="N65" i="59"/>
  <c r="L65" i="59"/>
  <c r="B65" i="59"/>
  <c r="Z64" i="59"/>
  <c r="X64" i="59"/>
  <c r="N64" i="59"/>
  <c r="L64" i="59"/>
  <c r="F64" i="59"/>
  <c r="B64" i="59"/>
  <c r="V63" i="59"/>
  <c r="T63" i="59"/>
  <c r="P63" i="59"/>
  <c r="N63" i="59"/>
  <c r="L63" i="59"/>
  <c r="H63" i="59"/>
  <c r="F63" i="59"/>
  <c r="D63" i="59"/>
  <c r="B63" i="59"/>
  <c r="X62" i="59"/>
  <c r="Z62" i="59" s="1"/>
  <c r="V62" i="59"/>
  <c r="L62" i="59"/>
  <c r="N62" i="59" s="1"/>
  <c r="B62" i="59"/>
  <c r="Z61" i="59"/>
  <c r="T61" i="59"/>
  <c r="R61" i="59"/>
  <c r="P61" i="59"/>
  <c r="X61" i="59" s="1"/>
  <c r="H61" i="59"/>
  <c r="D61" i="59"/>
  <c r="L61" i="59" s="1"/>
  <c r="B61" i="59"/>
  <c r="X60" i="59"/>
  <c r="Z60" i="59" s="1"/>
  <c r="R60" i="59"/>
  <c r="N60" i="59"/>
  <c r="L60" i="59"/>
  <c r="B60" i="59"/>
  <c r="X59" i="59"/>
  <c r="Z59" i="59" s="1"/>
  <c r="V59" i="59"/>
  <c r="N59" i="59"/>
  <c r="L59" i="59"/>
  <c r="F59" i="59"/>
  <c r="B59" i="59"/>
  <c r="T58" i="59"/>
  <c r="P58" i="59"/>
  <c r="X58" i="59" s="1"/>
  <c r="H58" i="59"/>
  <c r="F58" i="59"/>
  <c r="D58" i="59"/>
  <c r="L58" i="59" s="1"/>
  <c r="B58" i="59"/>
  <c r="X57" i="59"/>
  <c r="Z57" i="59" s="1"/>
  <c r="N57" i="59"/>
  <c r="L57" i="59"/>
  <c r="B57" i="59"/>
  <c r="Z56" i="59"/>
  <c r="X56" i="59"/>
  <c r="T56" i="59"/>
  <c r="P56" i="59"/>
  <c r="H56" i="59"/>
  <c r="D56" i="59"/>
  <c r="L56" i="59" s="1"/>
  <c r="N56" i="59" s="1"/>
  <c r="B56" i="59"/>
  <c r="Z55" i="59"/>
  <c r="X55" i="59"/>
  <c r="L55" i="59"/>
  <c r="N55" i="59" s="1"/>
  <c r="B55" i="59"/>
  <c r="X54" i="59"/>
  <c r="V54" i="59"/>
  <c r="T54" i="59"/>
  <c r="P54" i="59"/>
  <c r="H54" i="59"/>
  <c r="D54" i="59"/>
  <c r="L54" i="59" s="1"/>
  <c r="B54" i="59"/>
  <c r="Z53" i="59"/>
  <c r="X53" i="59"/>
  <c r="N53" i="59"/>
  <c r="L53" i="59"/>
  <c r="B53" i="59"/>
  <c r="X52" i="59"/>
  <c r="Z52" i="59" s="1"/>
  <c r="R52" i="59"/>
  <c r="N52" i="59"/>
  <c r="L52" i="59"/>
  <c r="B52" i="59"/>
  <c r="X51" i="59"/>
  <c r="Z51" i="59" s="1"/>
  <c r="V51" i="59"/>
  <c r="N51" i="59"/>
  <c r="L51" i="59"/>
  <c r="J51" i="59"/>
  <c r="F51" i="59"/>
  <c r="B51" i="59"/>
  <c r="X50" i="59"/>
  <c r="Z50" i="59" s="1"/>
  <c r="L50" i="59"/>
  <c r="N50" i="59" s="1"/>
  <c r="B50" i="59"/>
  <c r="Z49" i="59"/>
  <c r="X49" i="59"/>
  <c r="T49" i="59"/>
  <c r="P49" i="59"/>
  <c r="L49" i="59"/>
  <c r="N49" i="59" s="1"/>
  <c r="H49" i="59"/>
  <c r="D49" i="59"/>
  <c r="B49" i="59"/>
  <c r="Z48" i="59"/>
  <c r="X48" i="59"/>
  <c r="N48" i="59"/>
  <c r="L48" i="59"/>
  <c r="F48" i="59"/>
  <c r="B48" i="59"/>
  <c r="V47" i="59"/>
  <c r="T47" i="59"/>
  <c r="P47" i="59"/>
  <c r="L47" i="59"/>
  <c r="H47" i="59"/>
  <c r="N47" i="59" s="1"/>
  <c r="F47" i="59"/>
  <c r="D47" i="59"/>
  <c r="B47" i="59"/>
  <c r="X46" i="59"/>
  <c r="Z46" i="59" s="1"/>
  <c r="V46" i="59"/>
  <c r="N46" i="59"/>
  <c r="L46" i="59"/>
  <c r="B46" i="59"/>
  <c r="T45" i="59"/>
  <c r="R45" i="59"/>
  <c r="P45" i="59"/>
  <c r="X45" i="59" s="1"/>
  <c r="Z45" i="59" s="1"/>
  <c r="H45" i="59"/>
  <c r="N45" i="59" s="1"/>
  <c r="D45" i="59"/>
  <c r="L45" i="59" s="1"/>
  <c r="B45" i="59"/>
  <c r="X44" i="59"/>
  <c r="Z44" i="59" s="1"/>
  <c r="R44" i="59"/>
  <c r="N44" i="59"/>
  <c r="L44" i="59"/>
  <c r="B44" i="59"/>
  <c r="X43" i="59"/>
  <c r="V43" i="59"/>
  <c r="T43" i="59"/>
  <c r="Z43" i="59" s="1"/>
  <c r="P43" i="59"/>
  <c r="N43" i="59"/>
  <c r="L43" i="59"/>
  <c r="H43" i="59"/>
  <c r="D43" i="59"/>
  <c r="B43" i="59"/>
  <c r="X42" i="59"/>
  <c r="Z42" i="59" s="1"/>
  <c r="L42" i="59"/>
  <c r="N42" i="59" s="1"/>
  <c r="B42" i="59"/>
  <c r="X41" i="59"/>
  <c r="T41" i="59"/>
  <c r="Z41" i="59" s="1"/>
  <c r="R41" i="59"/>
  <c r="P41" i="59"/>
  <c r="H41" i="59"/>
  <c r="D41" i="59"/>
  <c r="L41" i="59" s="1"/>
  <c r="B41" i="59"/>
  <c r="Z40" i="59"/>
  <c r="X40" i="59"/>
  <c r="R40" i="59"/>
  <c r="N40" i="59"/>
  <c r="L40" i="59"/>
  <c r="F40" i="59"/>
  <c r="B40" i="59"/>
  <c r="Z39" i="59"/>
  <c r="X39" i="59"/>
  <c r="N39" i="59"/>
  <c r="L39" i="59"/>
  <c r="B39" i="59"/>
  <c r="X38" i="59"/>
  <c r="Z38" i="59" s="1"/>
  <c r="V38" i="59"/>
  <c r="L38" i="59"/>
  <c r="N38" i="59" s="1"/>
  <c r="B38" i="59"/>
  <c r="Z37" i="59"/>
  <c r="X37" i="59"/>
  <c r="N37" i="59"/>
  <c r="L37" i="59"/>
  <c r="B37" i="59"/>
  <c r="Z36" i="59"/>
  <c r="X36" i="59"/>
  <c r="R36" i="59"/>
  <c r="N36" i="59"/>
  <c r="L36" i="59"/>
  <c r="F36" i="59"/>
  <c r="B36" i="59"/>
  <c r="Z35" i="59"/>
  <c r="X35" i="59"/>
  <c r="N35" i="59"/>
  <c r="L35" i="59"/>
  <c r="B35" i="59"/>
  <c r="X34" i="59"/>
  <c r="Z34" i="59" s="1"/>
  <c r="V34" i="59"/>
  <c r="L34" i="59"/>
  <c r="N34" i="59" s="1"/>
  <c r="B34" i="59"/>
  <c r="Z33" i="59"/>
  <c r="X33" i="59"/>
  <c r="N33" i="59"/>
  <c r="L33" i="59"/>
  <c r="B33" i="59"/>
  <c r="Z32" i="59"/>
  <c r="X32" i="59"/>
  <c r="R32" i="59"/>
  <c r="L32" i="59"/>
  <c r="N32" i="59" s="1"/>
  <c r="F32" i="59"/>
  <c r="B32" i="59"/>
  <c r="Z31" i="59"/>
  <c r="X31" i="59"/>
  <c r="N31" i="59"/>
  <c r="L31" i="59"/>
  <c r="B31" i="59"/>
  <c r="X30" i="59"/>
  <c r="V30" i="59"/>
  <c r="T30" i="59"/>
  <c r="P30" i="59"/>
  <c r="H30" i="59"/>
  <c r="D30" i="59"/>
  <c r="L30" i="59" s="1"/>
  <c r="B30" i="59"/>
  <c r="Z29" i="59"/>
  <c r="X29" i="59"/>
  <c r="N29" i="59"/>
  <c r="L29" i="59"/>
  <c r="B29" i="59"/>
  <c r="X28" i="59"/>
  <c r="Z28" i="59" s="1"/>
  <c r="R28" i="59"/>
  <c r="N28" i="59"/>
  <c r="L28" i="59"/>
  <c r="B28" i="59"/>
  <c r="X27" i="59"/>
  <c r="Z27" i="59" s="1"/>
  <c r="V27" i="59"/>
  <c r="N27" i="59"/>
  <c r="L27" i="59"/>
  <c r="F27" i="59"/>
  <c r="B27" i="59"/>
  <c r="Z26" i="59"/>
  <c r="X26" i="59"/>
  <c r="V26" i="59"/>
  <c r="N26" i="59"/>
  <c r="L26" i="59"/>
  <c r="B26" i="59"/>
  <c r="Z25" i="59"/>
  <c r="X25" i="59"/>
  <c r="N25" i="59"/>
  <c r="L25" i="59"/>
  <c r="B25" i="59"/>
  <c r="X24" i="59"/>
  <c r="Z24" i="59" s="1"/>
  <c r="R24" i="59"/>
  <c r="N24" i="59"/>
  <c r="L24" i="59"/>
  <c r="B24" i="59"/>
  <c r="X23" i="59"/>
  <c r="Z23" i="59" s="1"/>
  <c r="V23" i="59"/>
  <c r="N23" i="59"/>
  <c r="L23" i="59"/>
  <c r="F23" i="59"/>
  <c r="B23" i="59"/>
  <c r="X22" i="59"/>
  <c r="Z22" i="59" s="1"/>
  <c r="V22" i="59"/>
  <c r="L22" i="59"/>
  <c r="N22" i="59" s="1"/>
  <c r="F22" i="59"/>
  <c r="B22" i="59"/>
  <c r="X21" i="59"/>
  <c r="Z21" i="59" s="1"/>
  <c r="L21" i="59"/>
  <c r="N21" i="59" s="1"/>
  <c r="B21" i="59"/>
  <c r="X20" i="59"/>
  <c r="Z20" i="59" s="1"/>
  <c r="V20" i="59"/>
  <c r="R20" i="59"/>
  <c r="N20" i="59"/>
  <c r="L20" i="59"/>
  <c r="B20" i="59"/>
  <c r="V19" i="59"/>
  <c r="T19" i="59"/>
  <c r="P19" i="59"/>
  <c r="X19" i="59" s="1"/>
  <c r="L19" i="59"/>
  <c r="N19" i="59" s="1"/>
  <c r="H19" i="59"/>
  <c r="D19" i="59"/>
  <c r="B19" i="59"/>
  <c r="T18" i="59"/>
  <c r="P18" i="59"/>
  <c r="X18" i="59" s="1"/>
  <c r="H18" i="59"/>
  <c r="F18" i="59"/>
  <c r="D18" i="59"/>
  <c r="L18" i="59" s="1"/>
  <c r="N18" i="59" s="1"/>
  <c r="F16" i="59"/>
  <c r="T14" i="59"/>
  <c r="Z14" i="59" s="1"/>
  <c r="P14" i="59"/>
  <c r="P16" i="59" s="1"/>
  <c r="N14" i="59"/>
  <c r="H14" i="59"/>
  <c r="F14" i="59"/>
  <c r="D14" i="59"/>
  <c r="L14" i="59" s="1"/>
  <c r="Z12" i="59"/>
  <c r="X12" i="59"/>
  <c r="T12" i="59"/>
  <c r="V67" i="59" s="1"/>
  <c r="P12" i="59"/>
  <c r="R37" i="59" s="1"/>
  <c r="H12" i="59"/>
  <c r="D12" i="59"/>
  <c r="F37" i="59" s="1"/>
  <c r="D6" i="59"/>
  <c r="D4" i="59"/>
  <c r="J83" i="58"/>
  <c r="J80" i="58"/>
  <c r="Z78" i="58"/>
  <c r="X78" i="58"/>
  <c r="R78" i="58"/>
  <c r="N78" i="58"/>
  <c r="L78" i="58"/>
  <c r="F78" i="58"/>
  <c r="Z74" i="58"/>
  <c r="T74" i="58"/>
  <c r="P74" i="58"/>
  <c r="X74" i="58" s="1"/>
  <c r="H74" i="58"/>
  <c r="N74" i="58" s="1"/>
  <c r="D74" i="58"/>
  <c r="L74" i="58" s="1"/>
  <c r="Z72" i="58"/>
  <c r="X72" i="58"/>
  <c r="N72" i="58"/>
  <c r="L72" i="58"/>
  <c r="F72" i="58"/>
  <c r="B72" i="58"/>
  <c r="T71" i="58"/>
  <c r="P71" i="58"/>
  <c r="N71" i="58"/>
  <c r="L71" i="58"/>
  <c r="H71" i="58"/>
  <c r="F71" i="58"/>
  <c r="D71" i="58"/>
  <c r="B71" i="58"/>
  <c r="X70" i="58"/>
  <c r="Z70" i="58" s="1"/>
  <c r="N70" i="58"/>
  <c r="L70" i="58"/>
  <c r="B70" i="58"/>
  <c r="T69" i="58"/>
  <c r="R69" i="58"/>
  <c r="P69" i="58"/>
  <c r="X69" i="58" s="1"/>
  <c r="Z69" i="58" s="1"/>
  <c r="H69" i="58"/>
  <c r="N69" i="58" s="1"/>
  <c r="D69" i="58"/>
  <c r="L69" i="58" s="1"/>
  <c r="B69" i="58"/>
  <c r="X68" i="58"/>
  <c r="Z68" i="58" s="1"/>
  <c r="R68" i="58"/>
  <c r="N68" i="58"/>
  <c r="L68" i="58"/>
  <c r="B68" i="58"/>
  <c r="X67" i="58"/>
  <c r="T67" i="58"/>
  <c r="Z67" i="58" s="1"/>
  <c r="P67" i="58"/>
  <c r="L67" i="58"/>
  <c r="N67" i="58" s="1"/>
  <c r="H67" i="58"/>
  <c r="D67" i="58"/>
  <c r="B67" i="58"/>
  <c r="Z66" i="58"/>
  <c r="X66" i="58"/>
  <c r="N66" i="58"/>
  <c r="L66" i="58"/>
  <c r="J66" i="58"/>
  <c r="B66" i="58"/>
  <c r="X65" i="58"/>
  <c r="Z65" i="58" s="1"/>
  <c r="N65" i="58"/>
  <c r="L65" i="58"/>
  <c r="B65" i="58"/>
  <c r="Z64" i="58"/>
  <c r="X64" i="58"/>
  <c r="N64" i="58"/>
  <c r="L64" i="58"/>
  <c r="F64" i="58"/>
  <c r="B64" i="58"/>
  <c r="T63" i="58"/>
  <c r="P63" i="58"/>
  <c r="X63" i="58" s="1"/>
  <c r="L63" i="58"/>
  <c r="N63" i="58" s="1"/>
  <c r="H63" i="58"/>
  <c r="F63" i="58"/>
  <c r="D63" i="58"/>
  <c r="B63" i="58"/>
  <c r="X62" i="58"/>
  <c r="Z62" i="58" s="1"/>
  <c r="N62" i="58"/>
  <c r="L62" i="58"/>
  <c r="B62" i="58"/>
  <c r="T61" i="58"/>
  <c r="R61" i="58"/>
  <c r="P61" i="58"/>
  <c r="X61" i="58" s="1"/>
  <c r="Z61" i="58" s="1"/>
  <c r="H61" i="58"/>
  <c r="N61" i="58" s="1"/>
  <c r="D61" i="58"/>
  <c r="L61" i="58" s="1"/>
  <c r="B61" i="58"/>
  <c r="Z60" i="58"/>
  <c r="X60" i="58"/>
  <c r="R60" i="58"/>
  <c r="N60" i="58"/>
  <c r="L60" i="58"/>
  <c r="B60" i="58"/>
  <c r="X59" i="58"/>
  <c r="Z59" i="58" s="1"/>
  <c r="N59" i="58"/>
  <c r="L59" i="58"/>
  <c r="J59" i="58"/>
  <c r="F59" i="58"/>
  <c r="B59" i="58"/>
  <c r="T58" i="58"/>
  <c r="P58" i="58"/>
  <c r="X58" i="58" s="1"/>
  <c r="H58" i="58"/>
  <c r="F58" i="58"/>
  <c r="D58" i="58"/>
  <c r="B58" i="58"/>
  <c r="X57" i="58"/>
  <c r="Z57" i="58" s="1"/>
  <c r="N57" i="58"/>
  <c r="L57" i="58"/>
  <c r="B57" i="58"/>
  <c r="Z56" i="58"/>
  <c r="X56" i="58"/>
  <c r="N56" i="58"/>
  <c r="L56" i="58"/>
  <c r="F56" i="58"/>
  <c r="B56" i="58"/>
  <c r="T55" i="58"/>
  <c r="P55" i="58"/>
  <c r="L55" i="58"/>
  <c r="N55" i="58" s="1"/>
  <c r="H55" i="58"/>
  <c r="F55" i="58"/>
  <c r="D55" i="58"/>
  <c r="B55" i="58"/>
  <c r="X54" i="58"/>
  <c r="Z54" i="58" s="1"/>
  <c r="L54" i="58"/>
  <c r="N54" i="58" s="1"/>
  <c r="B54" i="58"/>
  <c r="T53" i="58"/>
  <c r="R53" i="58"/>
  <c r="P53" i="58"/>
  <c r="X53" i="58" s="1"/>
  <c r="Z53" i="58" s="1"/>
  <c r="H53" i="58"/>
  <c r="N53" i="58" s="1"/>
  <c r="D53" i="58"/>
  <c r="L53" i="58" s="1"/>
  <c r="B53" i="58"/>
  <c r="X52" i="58"/>
  <c r="Z52" i="58" s="1"/>
  <c r="R52" i="58"/>
  <c r="N52" i="58"/>
  <c r="L52" i="58"/>
  <c r="B52" i="58"/>
  <c r="X51" i="58"/>
  <c r="V51" i="58"/>
  <c r="T51" i="58"/>
  <c r="Z51" i="58" s="1"/>
  <c r="P51" i="58"/>
  <c r="N51" i="58"/>
  <c r="L51" i="58"/>
  <c r="H51" i="58"/>
  <c r="D51" i="58"/>
  <c r="B51" i="58"/>
  <c r="X50" i="58"/>
  <c r="Z50" i="58" s="1"/>
  <c r="L50" i="58"/>
  <c r="N50" i="58" s="1"/>
  <c r="J50" i="58"/>
  <c r="B50" i="58"/>
  <c r="X49" i="58"/>
  <c r="T49" i="58"/>
  <c r="Z49" i="58" s="1"/>
  <c r="R49" i="58"/>
  <c r="P49" i="58"/>
  <c r="J49" i="58"/>
  <c r="H49" i="58"/>
  <c r="D49" i="58"/>
  <c r="B49" i="58"/>
  <c r="Z48" i="58"/>
  <c r="X48" i="58"/>
  <c r="R48" i="58"/>
  <c r="L48" i="58"/>
  <c r="N48" i="58" s="1"/>
  <c r="F48" i="58"/>
  <c r="B48" i="58"/>
  <c r="T47" i="58"/>
  <c r="Z47" i="58" s="1"/>
  <c r="P47" i="58"/>
  <c r="X47" i="58" s="1"/>
  <c r="H47" i="58"/>
  <c r="F47" i="58"/>
  <c r="D47" i="58"/>
  <c r="L47" i="58" s="1"/>
  <c r="N47" i="58" s="1"/>
  <c r="B47" i="58"/>
  <c r="X46" i="58"/>
  <c r="Z46" i="58" s="1"/>
  <c r="L46" i="58"/>
  <c r="N46" i="58" s="1"/>
  <c r="B46" i="58"/>
  <c r="Z45" i="58"/>
  <c r="X45" i="58"/>
  <c r="T45" i="58"/>
  <c r="P45" i="58"/>
  <c r="L45" i="58"/>
  <c r="J45" i="58"/>
  <c r="H45" i="58"/>
  <c r="N45" i="58" s="1"/>
  <c r="D45" i="58"/>
  <c r="B45" i="58"/>
  <c r="Z44" i="58"/>
  <c r="X44" i="58"/>
  <c r="N44" i="58"/>
  <c r="L44" i="58"/>
  <c r="F44" i="58"/>
  <c r="B44" i="58"/>
  <c r="V43" i="58"/>
  <c r="T43" i="58"/>
  <c r="P43" i="58"/>
  <c r="X43" i="58" s="1"/>
  <c r="L43" i="58"/>
  <c r="N43" i="58" s="1"/>
  <c r="H43" i="58"/>
  <c r="F43" i="58"/>
  <c r="D43" i="58"/>
  <c r="B43" i="58"/>
  <c r="X42" i="58"/>
  <c r="Z42" i="58" s="1"/>
  <c r="V42" i="58"/>
  <c r="L42" i="58"/>
  <c r="N42" i="58" s="1"/>
  <c r="B42" i="58"/>
  <c r="Z41" i="58"/>
  <c r="T41" i="58"/>
  <c r="R41" i="58"/>
  <c r="P41" i="58"/>
  <c r="X41" i="58" s="1"/>
  <c r="H41" i="58"/>
  <c r="D41" i="58"/>
  <c r="L41" i="58" s="1"/>
  <c r="B41" i="58"/>
  <c r="Z40" i="58"/>
  <c r="X40" i="58"/>
  <c r="R40" i="58"/>
  <c r="N40" i="58"/>
  <c r="L40" i="58"/>
  <c r="B40" i="58"/>
  <c r="Z39" i="58"/>
  <c r="X39" i="58"/>
  <c r="N39" i="58"/>
  <c r="L39" i="58"/>
  <c r="J39" i="58"/>
  <c r="F39" i="58"/>
  <c r="B39" i="58"/>
  <c r="Z38" i="58"/>
  <c r="X38" i="58"/>
  <c r="N38" i="58"/>
  <c r="L38" i="58"/>
  <c r="B38" i="58"/>
  <c r="Z37" i="58"/>
  <c r="X37" i="58"/>
  <c r="N37" i="58"/>
  <c r="L37" i="58"/>
  <c r="B37" i="58"/>
  <c r="Z36" i="58"/>
  <c r="X36" i="58"/>
  <c r="R36" i="58"/>
  <c r="N36" i="58"/>
  <c r="L36" i="58"/>
  <c r="B36" i="58"/>
  <c r="X35" i="58"/>
  <c r="Z35" i="58" s="1"/>
  <c r="L35" i="58"/>
  <c r="N35" i="58" s="1"/>
  <c r="J35" i="58"/>
  <c r="F35" i="58"/>
  <c r="B35" i="58"/>
  <c r="X34" i="58"/>
  <c r="Z34" i="58" s="1"/>
  <c r="L34" i="58"/>
  <c r="N34" i="58" s="1"/>
  <c r="B34" i="58"/>
  <c r="Z33" i="58"/>
  <c r="X33" i="58"/>
  <c r="N33" i="58"/>
  <c r="L33" i="58"/>
  <c r="B33" i="58"/>
  <c r="Z32" i="58"/>
  <c r="X32" i="58"/>
  <c r="R32" i="58"/>
  <c r="N32" i="58"/>
  <c r="L32" i="58"/>
  <c r="B32" i="58"/>
  <c r="X31" i="58"/>
  <c r="Z31" i="58" s="1"/>
  <c r="L31" i="58"/>
  <c r="N31" i="58" s="1"/>
  <c r="J31" i="58"/>
  <c r="F31" i="58"/>
  <c r="B31" i="58"/>
  <c r="T30" i="58"/>
  <c r="Z30" i="58" s="1"/>
  <c r="P30" i="58"/>
  <c r="X30" i="58" s="1"/>
  <c r="H30" i="58"/>
  <c r="F30" i="58"/>
  <c r="D30" i="58"/>
  <c r="B30" i="58"/>
  <c r="X29" i="58"/>
  <c r="Z29" i="58" s="1"/>
  <c r="N29" i="58"/>
  <c r="L29" i="58"/>
  <c r="B29" i="58"/>
  <c r="Z28" i="58"/>
  <c r="X28" i="58"/>
  <c r="N28" i="58"/>
  <c r="L28" i="58"/>
  <c r="F28" i="58"/>
  <c r="B28" i="58"/>
  <c r="X27" i="58"/>
  <c r="Z27" i="58" s="1"/>
  <c r="R27" i="58"/>
  <c r="N27" i="58"/>
  <c r="L27" i="58"/>
  <c r="F27" i="58"/>
  <c r="B27" i="58"/>
  <c r="Z26" i="58"/>
  <c r="X26" i="58"/>
  <c r="N26" i="58"/>
  <c r="L26" i="58"/>
  <c r="J26" i="58"/>
  <c r="B26" i="58"/>
  <c r="X25" i="58"/>
  <c r="Z25" i="58" s="1"/>
  <c r="N25" i="58"/>
  <c r="L25" i="58"/>
  <c r="B25" i="58"/>
  <c r="Z24" i="58"/>
  <c r="X24" i="58"/>
  <c r="N24" i="58"/>
  <c r="L24" i="58"/>
  <c r="F24" i="58"/>
  <c r="B24" i="58"/>
  <c r="X23" i="58"/>
  <c r="Z23" i="58" s="1"/>
  <c r="R23" i="58"/>
  <c r="L23" i="58"/>
  <c r="N23" i="58" s="1"/>
  <c r="F23" i="58"/>
  <c r="B23" i="58"/>
  <c r="X22" i="58"/>
  <c r="Z22" i="58" s="1"/>
  <c r="L22" i="58"/>
  <c r="N22" i="58" s="1"/>
  <c r="J22" i="58"/>
  <c r="B22" i="58"/>
  <c r="X21" i="58"/>
  <c r="Z21" i="58" s="1"/>
  <c r="N21" i="58"/>
  <c r="L21" i="58"/>
  <c r="B21" i="58"/>
  <c r="Z20" i="58"/>
  <c r="X20" i="58"/>
  <c r="N20" i="58"/>
  <c r="L20" i="58"/>
  <c r="F20" i="58"/>
  <c r="B20" i="58"/>
  <c r="T19" i="58"/>
  <c r="P19" i="58"/>
  <c r="L19" i="58"/>
  <c r="H19" i="58"/>
  <c r="N19" i="58" s="1"/>
  <c r="F19" i="58"/>
  <c r="D19" i="58"/>
  <c r="B19" i="58"/>
  <c r="V18" i="58"/>
  <c r="T18" i="58"/>
  <c r="P18" i="58"/>
  <c r="X18" i="58" s="1"/>
  <c r="H18" i="58"/>
  <c r="F18" i="58"/>
  <c r="D18" i="58"/>
  <c r="V16" i="58"/>
  <c r="H16" i="58"/>
  <c r="F16" i="58"/>
  <c r="X14" i="58"/>
  <c r="T14" i="58"/>
  <c r="Z14" i="58" s="1"/>
  <c r="P14" i="58"/>
  <c r="P16" i="58" s="1"/>
  <c r="H14" i="58"/>
  <c r="N14" i="58" s="1"/>
  <c r="F14" i="58"/>
  <c r="D14" i="58"/>
  <c r="L14" i="58" s="1"/>
  <c r="T12" i="58"/>
  <c r="V67" i="58" s="1"/>
  <c r="P12" i="58"/>
  <c r="R71" i="58" s="1"/>
  <c r="L12" i="58"/>
  <c r="H12" i="58"/>
  <c r="J67" i="58" s="1"/>
  <c r="D12" i="58"/>
  <c r="F66" i="58" s="1"/>
  <c r="D6" i="58"/>
  <c r="D4" i="58"/>
  <c r="R79" i="57"/>
  <c r="R76" i="57"/>
  <c r="Z74" i="57"/>
  <c r="X74" i="57"/>
  <c r="R74" i="57"/>
  <c r="N74" i="57"/>
  <c r="L74" i="57"/>
  <c r="J72" i="57"/>
  <c r="T70" i="57"/>
  <c r="Z70" i="57" s="1"/>
  <c r="P70" i="57"/>
  <c r="L70" i="57"/>
  <c r="J70" i="57"/>
  <c r="H70" i="57"/>
  <c r="N70" i="57" s="1"/>
  <c r="D70" i="57"/>
  <c r="Z68" i="57"/>
  <c r="X68" i="57"/>
  <c r="R68" i="57"/>
  <c r="L68" i="57"/>
  <c r="N68" i="57" s="1"/>
  <c r="F68" i="57"/>
  <c r="B68" i="57"/>
  <c r="T67" i="57"/>
  <c r="P67" i="57"/>
  <c r="X67" i="57" s="1"/>
  <c r="Z67" i="57" s="1"/>
  <c r="H67" i="57"/>
  <c r="F67" i="57"/>
  <c r="D67" i="57"/>
  <c r="L67" i="57" s="1"/>
  <c r="N67" i="57" s="1"/>
  <c r="B67" i="57"/>
  <c r="X66" i="57"/>
  <c r="Z66" i="57" s="1"/>
  <c r="L66" i="57"/>
  <c r="N66" i="57" s="1"/>
  <c r="B66" i="57"/>
  <c r="Z65" i="57"/>
  <c r="X65" i="57"/>
  <c r="T65" i="57"/>
  <c r="P65" i="57"/>
  <c r="J65" i="57"/>
  <c r="H65" i="57"/>
  <c r="D65" i="57"/>
  <c r="L65" i="57" s="1"/>
  <c r="B65" i="57"/>
  <c r="Z64" i="57"/>
  <c r="X64" i="57"/>
  <c r="N64" i="57"/>
  <c r="L64" i="57"/>
  <c r="F64" i="57"/>
  <c r="B64" i="57"/>
  <c r="Z63" i="57"/>
  <c r="X63" i="57"/>
  <c r="R63" i="57"/>
  <c r="N63" i="57"/>
  <c r="L63" i="57"/>
  <c r="B63" i="57"/>
  <c r="T62" i="57"/>
  <c r="P62" i="57"/>
  <c r="X62" i="57" s="1"/>
  <c r="N62" i="57"/>
  <c r="L62" i="57"/>
  <c r="H62" i="57"/>
  <c r="D62" i="57"/>
  <c r="B62" i="57"/>
  <c r="Z61" i="57"/>
  <c r="X61" i="57"/>
  <c r="N61" i="57"/>
  <c r="L61" i="57"/>
  <c r="B61" i="57"/>
  <c r="T60" i="57"/>
  <c r="P60" i="57"/>
  <c r="X60" i="57" s="1"/>
  <c r="L60" i="57"/>
  <c r="J60" i="57"/>
  <c r="H60" i="57"/>
  <c r="D60" i="57"/>
  <c r="B60" i="57"/>
  <c r="X59" i="57"/>
  <c r="Z59" i="57" s="1"/>
  <c r="V59" i="57"/>
  <c r="N59" i="57"/>
  <c r="L59" i="57"/>
  <c r="J59" i="57"/>
  <c r="F59" i="57"/>
  <c r="B59" i="57"/>
  <c r="T58" i="57"/>
  <c r="Z58" i="57" s="1"/>
  <c r="P58" i="57"/>
  <c r="X58" i="57" s="1"/>
  <c r="H58" i="57"/>
  <c r="F58" i="57"/>
  <c r="D58" i="57"/>
  <c r="B58" i="57"/>
  <c r="Z57" i="57"/>
  <c r="X57" i="57"/>
  <c r="N57" i="57"/>
  <c r="L57" i="57"/>
  <c r="B57" i="57"/>
  <c r="Z56" i="57"/>
  <c r="T56" i="57"/>
  <c r="X56" i="57" s="1"/>
  <c r="P56" i="57"/>
  <c r="L56" i="57"/>
  <c r="H56" i="57"/>
  <c r="D56" i="57"/>
  <c r="B56" i="57"/>
  <c r="Z55" i="57"/>
  <c r="X55" i="57"/>
  <c r="N55" i="57"/>
  <c r="L55" i="57"/>
  <c r="J55" i="57"/>
  <c r="B55" i="57"/>
  <c r="Z54" i="57"/>
  <c r="X54" i="57"/>
  <c r="V54" i="57"/>
  <c r="N54" i="57"/>
  <c r="L54" i="57"/>
  <c r="B54" i="57"/>
  <c r="Z53" i="57"/>
  <c r="X53" i="57"/>
  <c r="N53" i="57"/>
  <c r="L53" i="57"/>
  <c r="B53" i="57"/>
  <c r="T52" i="57"/>
  <c r="Z52" i="57" s="1"/>
  <c r="P52" i="57"/>
  <c r="L52" i="57"/>
  <c r="J52" i="57"/>
  <c r="H52" i="57"/>
  <c r="N52" i="57" s="1"/>
  <c r="D52" i="57"/>
  <c r="B52" i="57"/>
  <c r="X51" i="57"/>
  <c r="Z51" i="57" s="1"/>
  <c r="V51" i="57"/>
  <c r="N51" i="57"/>
  <c r="L51" i="57"/>
  <c r="J51" i="57"/>
  <c r="F51" i="57"/>
  <c r="B51" i="57"/>
  <c r="T50" i="57"/>
  <c r="P50" i="57"/>
  <c r="X50" i="57" s="1"/>
  <c r="H50" i="57"/>
  <c r="F50" i="57"/>
  <c r="D50" i="57"/>
  <c r="L50" i="57" s="1"/>
  <c r="B50" i="57"/>
  <c r="Z49" i="57"/>
  <c r="X49" i="57"/>
  <c r="N49" i="57"/>
  <c r="L49" i="57"/>
  <c r="B49" i="57"/>
  <c r="Z48" i="57"/>
  <c r="T48" i="57"/>
  <c r="X48" i="57" s="1"/>
  <c r="P48" i="57"/>
  <c r="H48" i="57"/>
  <c r="D48" i="57"/>
  <c r="L48" i="57" s="1"/>
  <c r="B48" i="57"/>
  <c r="Z47" i="57"/>
  <c r="X47" i="57"/>
  <c r="L47" i="57"/>
  <c r="N47" i="57" s="1"/>
  <c r="J47" i="57"/>
  <c r="B47" i="57"/>
  <c r="X46" i="57"/>
  <c r="T46" i="57"/>
  <c r="P46" i="57"/>
  <c r="H46" i="57"/>
  <c r="D46" i="57"/>
  <c r="L46" i="57" s="1"/>
  <c r="B46" i="57"/>
  <c r="Z45" i="57"/>
  <c r="X45" i="57"/>
  <c r="N45" i="57"/>
  <c r="L45" i="57"/>
  <c r="B45" i="57"/>
  <c r="T44" i="57"/>
  <c r="R44" i="57"/>
  <c r="P44" i="57"/>
  <c r="H44" i="57"/>
  <c r="D44" i="57"/>
  <c r="L44" i="57" s="1"/>
  <c r="B44" i="57"/>
  <c r="Z43" i="57"/>
  <c r="X43" i="57"/>
  <c r="R43" i="57"/>
  <c r="N43" i="57"/>
  <c r="L43" i="57"/>
  <c r="B43" i="57"/>
  <c r="T42" i="57"/>
  <c r="P42" i="57"/>
  <c r="X42" i="57" s="1"/>
  <c r="N42" i="57"/>
  <c r="L42" i="57"/>
  <c r="H42" i="57"/>
  <c r="D42" i="57"/>
  <c r="B42" i="57"/>
  <c r="Z41" i="57"/>
  <c r="X41" i="57"/>
  <c r="N41" i="57"/>
  <c r="L41" i="57"/>
  <c r="B41" i="57"/>
  <c r="T40" i="57"/>
  <c r="P40" i="57"/>
  <c r="L40" i="57"/>
  <c r="J40" i="57"/>
  <c r="H40" i="57"/>
  <c r="N40" i="57" s="1"/>
  <c r="D40" i="57"/>
  <c r="B40" i="57"/>
  <c r="Z39" i="57"/>
  <c r="X39" i="57"/>
  <c r="V39" i="57"/>
  <c r="N39" i="57"/>
  <c r="L39" i="57"/>
  <c r="J39" i="57"/>
  <c r="F39" i="57"/>
  <c r="B39" i="57"/>
  <c r="Z38" i="57"/>
  <c r="X38" i="57"/>
  <c r="N38" i="57"/>
  <c r="L38" i="57"/>
  <c r="B38" i="57"/>
  <c r="X37" i="57"/>
  <c r="Z37" i="57" s="1"/>
  <c r="N37" i="57"/>
  <c r="L37" i="57"/>
  <c r="B37" i="57"/>
  <c r="X36" i="57"/>
  <c r="Z36" i="57" s="1"/>
  <c r="R36" i="57"/>
  <c r="N36" i="57"/>
  <c r="L36" i="57"/>
  <c r="B36" i="57"/>
  <c r="Z35" i="57"/>
  <c r="X35" i="57"/>
  <c r="V35" i="57"/>
  <c r="N35" i="57"/>
  <c r="L35" i="57"/>
  <c r="J35" i="57"/>
  <c r="F35" i="57"/>
  <c r="B35" i="57"/>
  <c r="Z34" i="57"/>
  <c r="X34" i="57"/>
  <c r="N34" i="57"/>
  <c r="L34" i="57"/>
  <c r="B34" i="57"/>
  <c r="Z33" i="57"/>
  <c r="X33" i="57"/>
  <c r="N33" i="57"/>
  <c r="L33" i="57"/>
  <c r="B33" i="57"/>
  <c r="Z32" i="57"/>
  <c r="X32" i="57"/>
  <c r="R32" i="57"/>
  <c r="N32" i="57"/>
  <c r="L32" i="57"/>
  <c r="B32" i="57"/>
  <c r="X31" i="57"/>
  <c r="Z31" i="57" s="1"/>
  <c r="V31" i="57"/>
  <c r="N31" i="57"/>
  <c r="L31" i="57"/>
  <c r="J31" i="57"/>
  <c r="F31" i="57"/>
  <c r="B31" i="57"/>
  <c r="X30" i="57"/>
  <c r="Z30" i="57" s="1"/>
  <c r="L30" i="57"/>
  <c r="N30" i="57" s="1"/>
  <c r="B30" i="57"/>
  <c r="Z29" i="57"/>
  <c r="X29" i="57"/>
  <c r="T29" i="57"/>
  <c r="P29" i="57"/>
  <c r="L29" i="57"/>
  <c r="N29" i="57" s="1"/>
  <c r="J29" i="57"/>
  <c r="H29" i="57"/>
  <c r="D29" i="57"/>
  <c r="B29" i="57"/>
  <c r="Z28" i="57"/>
  <c r="X28" i="57"/>
  <c r="N28" i="57"/>
  <c r="L28" i="57"/>
  <c r="F28" i="57"/>
  <c r="B28" i="57"/>
  <c r="Z27" i="57"/>
  <c r="X27" i="57"/>
  <c r="V27" i="57"/>
  <c r="R27" i="57"/>
  <c r="N27" i="57"/>
  <c r="L27" i="57"/>
  <c r="B27" i="57"/>
  <c r="X26" i="57"/>
  <c r="Z26" i="57" s="1"/>
  <c r="L26" i="57"/>
  <c r="N26" i="57" s="1"/>
  <c r="J26" i="57"/>
  <c r="F26" i="57"/>
  <c r="B26" i="57"/>
  <c r="Z25" i="57"/>
  <c r="X25" i="57"/>
  <c r="N25" i="57"/>
  <c r="L25" i="57"/>
  <c r="B25" i="57"/>
  <c r="Z24" i="57"/>
  <c r="X24" i="57"/>
  <c r="N24" i="57"/>
  <c r="L24" i="57"/>
  <c r="J24" i="57"/>
  <c r="F24" i="57"/>
  <c r="B24" i="57"/>
  <c r="Z23" i="57"/>
  <c r="X23" i="57"/>
  <c r="V23" i="57"/>
  <c r="R23" i="57"/>
  <c r="N23" i="57"/>
  <c r="L23" i="57"/>
  <c r="J23" i="57"/>
  <c r="B23" i="57"/>
  <c r="X22" i="57"/>
  <c r="Z22" i="57" s="1"/>
  <c r="L22" i="57"/>
  <c r="N22" i="57" s="1"/>
  <c r="J22" i="57"/>
  <c r="F22" i="57"/>
  <c r="B22" i="57"/>
  <c r="Z21" i="57"/>
  <c r="X21" i="57"/>
  <c r="N21" i="57"/>
  <c r="L21" i="57"/>
  <c r="B21" i="57"/>
  <c r="Z20" i="57"/>
  <c r="X20" i="57"/>
  <c r="N20" i="57"/>
  <c r="L20" i="57"/>
  <c r="J20" i="57"/>
  <c r="F20" i="57"/>
  <c r="B20" i="57"/>
  <c r="V19" i="57"/>
  <c r="T19" i="57"/>
  <c r="P19" i="57"/>
  <c r="H19" i="57"/>
  <c r="N19" i="57" s="1"/>
  <c r="F19" i="57"/>
  <c r="D19" i="57"/>
  <c r="L19" i="57" s="1"/>
  <c r="B19" i="57"/>
  <c r="V18" i="57"/>
  <c r="T18" i="57"/>
  <c r="P18" i="57"/>
  <c r="X18" i="57" s="1"/>
  <c r="J18" i="57"/>
  <c r="H18" i="57"/>
  <c r="F18" i="57"/>
  <c r="D18" i="57"/>
  <c r="L18" i="57" s="1"/>
  <c r="V16" i="57"/>
  <c r="J16" i="57"/>
  <c r="F16" i="57"/>
  <c r="X14" i="57"/>
  <c r="V14" i="57"/>
  <c r="T14" i="57"/>
  <c r="Z14" i="57" s="1"/>
  <c r="P14" i="57"/>
  <c r="J14" i="57"/>
  <c r="H14" i="57"/>
  <c r="F14" i="57"/>
  <c r="D14" i="57"/>
  <c r="X12" i="57"/>
  <c r="T12" i="57"/>
  <c r="V63" i="57" s="1"/>
  <c r="P12" i="57"/>
  <c r="R54" i="57" s="1"/>
  <c r="L12" i="57"/>
  <c r="H12" i="57"/>
  <c r="J61" i="57" s="1"/>
  <c r="D12" i="57"/>
  <c r="F72" i="57" s="1"/>
  <c r="D6" i="57"/>
  <c r="D4" i="57"/>
  <c r="R80" i="56"/>
  <c r="R77" i="56"/>
  <c r="Z75" i="56"/>
  <c r="X75" i="56"/>
  <c r="R75" i="56"/>
  <c r="N75" i="56"/>
  <c r="L75" i="56"/>
  <c r="J73" i="56"/>
  <c r="T71" i="56"/>
  <c r="Z71" i="56" s="1"/>
  <c r="P71" i="56"/>
  <c r="L71" i="56"/>
  <c r="J71" i="56"/>
  <c r="H71" i="56"/>
  <c r="N71" i="56" s="1"/>
  <c r="D71" i="56"/>
  <c r="Z69" i="56"/>
  <c r="X69" i="56"/>
  <c r="R69" i="56"/>
  <c r="L69" i="56"/>
  <c r="N69" i="56" s="1"/>
  <c r="F69" i="56"/>
  <c r="B69" i="56"/>
  <c r="T68" i="56"/>
  <c r="P68" i="56"/>
  <c r="X68" i="56" s="1"/>
  <c r="Z68" i="56" s="1"/>
  <c r="H68" i="56"/>
  <c r="F68" i="56"/>
  <c r="D68" i="56"/>
  <c r="L68" i="56" s="1"/>
  <c r="N68" i="56" s="1"/>
  <c r="B68" i="56"/>
  <c r="X67" i="56"/>
  <c r="Z67" i="56" s="1"/>
  <c r="L67" i="56"/>
  <c r="N67" i="56" s="1"/>
  <c r="B67" i="56"/>
  <c r="X66" i="56"/>
  <c r="Z66" i="56" s="1"/>
  <c r="T66" i="56"/>
  <c r="P66" i="56"/>
  <c r="L66" i="56"/>
  <c r="J66" i="56"/>
  <c r="H66" i="56"/>
  <c r="N66" i="56" s="1"/>
  <c r="D66" i="56"/>
  <c r="B66" i="56"/>
  <c r="Z65" i="56"/>
  <c r="X65" i="56"/>
  <c r="N65" i="56"/>
  <c r="L65" i="56"/>
  <c r="F65" i="56"/>
  <c r="B65" i="56"/>
  <c r="V64" i="56"/>
  <c r="T64" i="56"/>
  <c r="P64" i="56"/>
  <c r="H64" i="56"/>
  <c r="F64" i="56"/>
  <c r="D64" i="56"/>
  <c r="L64" i="56" s="1"/>
  <c r="N64" i="56" s="1"/>
  <c r="B64" i="56"/>
  <c r="Z63" i="56"/>
  <c r="X63" i="56"/>
  <c r="V63" i="56"/>
  <c r="N63" i="56"/>
  <c r="L63" i="56"/>
  <c r="B63" i="56"/>
  <c r="Z62" i="56"/>
  <c r="X62" i="56"/>
  <c r="N62" i="56"/>
  <c r="L62" i="56"/>
  <c r="B62" i="56"/>
  <c r="Z61" i="56"/>
  <c r="X61" i="56"/>
  <c r="R61" i="56"/>
  <c r="L61" i="56"/>
  <c r="N61" i="56" s="1"/>
  <c r="F61" i="56"/>
  <c r="B61" i="56"/>
  <c r="T60" i="56"/>
  <c r="P60" i="56"/>
  <c r="X60" i="56" s="1"/>
  <c r="Z60" i="56" s="1"/>
  <c r="H60" i="56"/>
  <c r="F60" i="56"/>
  <c r="D60" i="56"/>
  <c r="L60" i="56" s="1"/>
  <c r="N60" i="56" s="1"/>
  <c r="B60" i="56"/>
  <c r="X59" i="56"/>
  <c r="Z59" i="56" s="1"/>
  <c r="L59" i="56"/>
  <c r="N59" i="56" s="1"/>
  <c r="B59" i="56"/>
  <c r="X58" i="56"/>
  <c r="Z58" i="56" s="1"/>
  <c r="T58" i="56"/>
  <c r="P58" i="56"/>
  <c r="L58" i="56"/>
  <c r="J58" i="56"/>
  <c r="H58" i="56"/>
  <c r="N58" i="56" s="1"/>
  <c r="D58" i="56"/>
  <c r="B58" i="56"/>
  <c r="Z57" i="56"/>
  <c r="X57" i="56"/>
  <c r="N57" i="56"/>
  <c r="L57" i="56"/>
  <c r="F57" i="56"/>
  <c r="B57" i="56"/>
  <c r="Z56" i="56"/>
  <c r="X56" i="56"/>
  <c r="V56" i="56"/>
  <c r="R56" i="56"/>
  <c r="N56" i="56"/>
  <c r="L56" i="56"/>
  <c r="B56" i="56"/>
  <c r="X55" i="56"/>
  <c r="T55" i="56"/>
  <c r="P55" i="56"/>
  <c r="N55" i="56"/>
  <c r="H55" i="56"/>
  <c r="L55" i="56" s="1"/>
  <c r="D55" i="56"/>
  <c r="B55" i="56"/>
  <c r="Z54" i="56"/>
  <c r="X54" i="56"/>
  <c r="N54" i="56"/>
  <c r="L54" i="56"/>
  <c r="B54" i="56"/>
  <c r="Z53" i="56"/>
  <c r="X53" i="56"/>
  <c r="R53" i="56"/>
  <c r="N53" i="56"/>
  <c r="L53" i="56"/>
  <c r="F53" i="56"/>
  <c r="B53" i="56"/>
  <c r="T52" i="56"/>
  <c r="P52" i="56"/>
  <c r="X52" i="56" s="1"/>
  <c r="Z52" i="56" s="1"/>
  <c r="N52" i="56"/>
  <c r="H52" i="56"/>
  <c r="F52" i="56"/>
  <c r="D52" i="56"/>
  <c r="L52" i="56" s="1"/>
  <c r="B52" i="56"/>
  <c r="X51" i="56"/>
  <c r="Z51" i="56" s="1"/>
  <c r="L51" i="56"/>
  <c r="N51" i="56" s="1"/>
  <c r="B51" i="56"/>
  <c r="Z50" i="56"/>
  <c r="X50" i="56"/>
  <c r="T50" i="56"/>
  <c r="P50" i="56"/>
  <c r="L50" i="56"/>
  <c r="J50" i="56"/>
  <c r="H50" i="56"/>
  <c r="N50" i="56" s="1"/>
  <c r="D50" i="56"/>
  <c r="B50" i="56"/>
  <c r="Z49" i="56"/>
  <c r="X49" i="56"/>
  <c r="N49" i="56"/>
  <c r="L49" i="56"/>
  <c r="F49" i="56"/>
  <c r="B49" i="56"/>
  <c r="V48" i="56"/>
  <c r="T48" i="56"/>
  <c r="P48" i="56"/>
  <c r="H48" i="56"/>
  <c r="N48" i="56" s="1"/>
  <c r="F48" i="56"/>
  <c r="D48" i="56"/>
  <c r="L48" i="56" s="1"/>
  <c r="B48" i="56"/>
  <c r="X47" i="56"/>
  <c r="Z47" i="56" s="1"/>
  <c r="V47" i="56"/>
  <c r="L47" i="56"/>
  <c r="N47" i="56" s="1"/>
  <c r="B47" i="56"/>
  <c r="T46" i="56"/>
  <c r="R46" i="56"/>
  <c r="P46" i="56"/>
  <c r="X46" i="56" s="1"/>
  <c r="Z46" i="56" s="1"/>
  <c r="H46" i="56"/>
  <c r="D46" i="56"/>
  <c r="L46" i="56" s="1"/>
  <c r="N46" i="56" s="1"/>
  <c r="B46" i="56"/>
  <c r="Z45" i="56"/>
  <c r="X45" i="56"/>
  <c r="R45" i="56"/>
  <c r="N45" i="56"/>
  <c r="L45" i="56"/>
  <c r="B45" i="56"/>
  <c r="V44" i="56"/>
  <c r="T44" i="56"/>
  <c r="P44" i="56"/>
  <c r="L44" i="56"/>
  <c r="N44" i="56" s="1"/>
  <c r="H44" i="56"/>
  <c r="D44" i="56"/>
  <c r="B44" i="56"/>
  <c r="X43" i="56"/>
  <c r="Z43" i="56" s="1"/>
  <c r="L43" i="56"/>
  <c r="N43" i="56" s="1"/>
  <c r="J43" i="56"/>
  <c r="B43" i="56"/>
  <c r="T42" i="56"/>
  <c r="Z42" i="56" s="1"/>
  <c r="R42" i="56"/>
  <c r="P42" i="56"/>
  <c r="X42" i="56" s="1"/>
  <c r="J42" i="56"/>
  <c r="H42" i="56"/>
  <c r="D42" i="56"/>
  <c r="B42" i="56"/>
  <c r="Z41" i="56"/>
  <c r="X41" i="56"/>
  <c r="R41" i="56"/>
  <c r="N41" i="56"/>
  <c r="L41" i="56"/>
  <c r="F41" i="56"/>
  <c r="B41" i="56"/>
  <c r="T40" i="56"/>
  <c r="Z40" i="56" s="1"/>
  <c r="P40" i="56"/>
  <c r="X40" i="56" s="1"/>
  <c r="N40" i="56"/>
  <c r="H40" i="56"/>
  <c r="F40" i="56"/>
  <c r="D40" i="56"/>
  <c r="L40" i="56" s="1"/>
  <c r="B40" i="56"/>
  <c r="Z39" i="56"/>
  <c r="X39" i="56"/>
  <c r="N39" i="56"/>
  <c r="L39" i="56"/>
  <c r="B39" i="56"/>
  <c r="Z38" i="56"/>
  <c r="X38" i="56"/>
  <c r="N38" i="56"/>
  <c r="L38" i="56"/>
  <c r="B38" i="56"/>
  <c r="Z37" i="56"/>
  <c r="X37" i="56"/>
  <c r="R37" i="56"/>
  <c r="N37" i="56"/>
  <c r="L37" i="56"/>
  <c r="B37" i="56"/>
  <c r="Z36" i="56"/>
  <c r="X36" i="56"/>
  <c r="V36" i="56"/>
  <c r="N36" i="56"/>
  <c r="L36" i="56"/>
  <c r="J36" i="56"/>
  <c r="F36" i="56"/>
  <c r="B36" i="56"/>
  <c r="Z35" i="56"/>
  <c r="X35" i="56"/>
  <c r="N35" i="56"/>
  <c r="L35" i="56"/>
  <c r="B35" i="56"/>
  <c r="Z34" i="56"/>
  <c r="X34" i="56"/>
  <c r="N34" i="56"/>
  <c r="L34" i="56"/>
  <c r="B34" i="56"/>
  <c r="Z33" i="56"/>
  <c r="X33" i="56"/>
  <c r="R33" i="56"/>
  <c r="N33" i="56"/>
  <c r="L33" i="56"/>
  <c r="B33" i="56"/>
  <c r="Z32" i="56"/>
  <c r="X32" i="56"/>
  <c r="V32" i="56"/>
  <c r="N32" i="56"/>
  <c r="L32" i="56"/>
  <c r="J32" i="56"/>
  <c r="F32" i="56"/>
  <c r="B32" i="56"/>
  <c r="X31" i="56"/>
  <c r="Z31" i="56" s="1"/>
  <c r="L31" i="56"/>
  <c r="N31" i="56" s="1"/>
  <c r="B31" i="56"/>
  <c r="X30" i="56"/>
  <c r="Z30" i="56" s="1"/>
  <c r="L30" i="56"/>
  <c r="N30" i="56" s="1"/>
  <c r="B30" i="56"/>
  <c r="T29" i="56"/>
  <c r="R29" i="56"/>
  <c r="P29" i="56"/>
  <c r="X29" i="56" s="1"/>
  <c r="H29" i="56"/>
  <c r="N29" i="56" s="1"/>
  <c r="D29" i="56"/>
  <c r="L29" i="56" s="1"/>
  <c r="B29" i="56"/>
  <c r="Z28" i="56"/>
  <c r="X28" i="56"/>
  <c r="V28" i="56"/>
  <c r="R28" i="56"/>
  <c r="N28" i="56"/>
  <c r="L28" i="56"/>
  <c r="B28" i="56"/>
  <c r="X27" i="56"/>
  <c r="Z27" i="56" s="1"/>
  <c r="L27" i="56"/>
  <c r="N27" i="56" s="1"/>
  <c r="J27" i="56"/>
  <c r="B27" i="56"/>
  <c r="X26" i="56"/>
  <c r="Z26" i="56" s="1"/>
  <c r="N26" i="56"/>
  <c r="L26" i="56"/>
  <c r="B26" i="56"/>
  <c r="Z25" i="56"/>
  <c r="X25" i="56"/>
  <c r="N25" i="56"/>
  <c r="L25" i="56"/>
  <c r="F25" i="56"/>
  <c r="B25" i="56"/>
  <c r="X24" i="56"/>
  <c r="Z24" i="56" s="1"/>
  <c r="V24" i="56"/>
  <c r="R24" i="56"/>
  <c r="N24" i="56"/>
  <c r="L24" i="56"/>
  <c r="B24" i="56"/>
  <c r="X23" i="56"/>
  <c r="Z23" i="56" s="1"/>
  <c r="L23" i="56"/>
  <c r="N23" i="56" s="1"/>
  <c r="J23" i="56"/>
  <c r="B23" i="56"/>
  <c r="X22" i="56"/>
  <c r="Z22" i="56" s="1"/>
  <c r="N22" i="56"/>
  <c r="L22" i="56"/>
  <c r="B22" i="56"/>
  <c r="Z21" i="56"/>
  <c r="X21" i="56"/>
  <c r="L21" i="56"/>
  <c r="N21" i="56" s="1"/>
  <c r="F21" i="56"/>
  <c r="B21" i="56"/>
  <c r="Z20" i="56"/>
  <c r="X20" i="56"/>
  <c r="V20" i="56"/>
  <c r="R20" i="56"/>
  <c r="L20" i="56"/>
  <c r="N20" i="56" s="1"/>
  <c r="B20" i="56"/>
  <c r="X19" i="56"/>
  <c r="Z19" i="56" s="1"/>
  <c r="V19" i="56"/>
  <c r="T19" i="56"/>
  <c r="P19" i="56"/>
  <c r="N19" i="56"/>
  <c r="H19" i="56"/>
  <c r="D19" i="56"/>
  <c r="L19" i="56" s="1"/>
  <c r="B19" i="56"/>
  <c r="T18" i="56"/>
  <c r="R18" i="56"/>
  <c r="P18" i="56"/>
  <c r="X18" i="56" s="1"/>
  <c r="Z18" i="56" s="1"/>
  <c r="H18" i="56"/>
  <c r="F18" i="56"/>
  <c r="D18" i="56"/>
  <c r="R16" i="56"/>
  <c r="P16" i="56"/>
  <c r="F16" i="56"/>
  <c r="Z14" i="56"/>
  <c r="T14" i="56"/>
  <c r="T16" i="56" s="1"/>
  <c r="Z16" i="56" s="1"/>
  <c r="R14" i="56"/>
  <c r="P14" i="56"/>
  <c r="X14" i="56" s="1"/>
  <c r="H14" i="56"/>
  <c r="N14" i="56" s="1"/>
  <c r="F14" i="56"/>
  <c r="D14" i="56"/>
  <c r="L14" i="56" s="1"/>
  <c r="Z12" i="56"/>
  <c r="T12" i="56"/>
  <c r="V66" i="56" s="1"/>
  <c r="P12" i="56"/>
  <c r="R64" i="56" s="1"/>
  <c r="N12" i="56"/>
  <c r="L12" i="56"/>
  <c r="H12" i="56"/>
  <c r="J62" i="56" s="1"/>
  <c r="D12" i="56"/>
  <c r="F43" i="56" s="1"/>
  <c r="D6" i="56"/>
  <c r="D4" i="56"/>
  <c r="V38" i="55"/>
  <c r="Z33" i="55"/>
  <c r="X33" i="55"/>
  <c r="N33" i="55"/>
  <c r="L33" i="55"/>
  <c r="J33" i="55"/>
  <c r="F33" i="55"/>
  <c r="F31" i="55"/>
  <c r="T29" i="55"/>
  <c r="Z29" i="55" s="1"/>
  <c r="P29" i="55"/>
  <c r="X29" i="55" s="1"/>
  <c r="N29" i="55"/>
  <c r="H29" i="55"/>
  <c r="F29" i="55"/>
  <c r="D29" i="55"/>
  <c r="L29" i="55" s="1"/>
  <c r="Z27" i="55"/>
  <c r="X27" i="55"/>
  <c r="N27" i="55"/>
  <c r="L27" i="55"/>
  <c r="J27" i="55"/>
  <c r="B27" i="55"/>
  <c r="X26" i="55"/>
  <c r="Z26" i="55" s="1"/>
  <c r="N26" i="55"/>
  <c r="L26" i="55"/>
  <c r="B26" i="55"/>
  <c r="Z25" i="55"/>
  <c r="T25" i="55"/>
  <c r="R25" i="55"/>
  <c r="P25" i="55"/>
  <c r="X25" i="55" s="1"/>
  <c r="H25" i="55"/>
  <c r="N25" i="55" s="1"/>
  <c r="D25" i="55"/>
  <c r="L25" i="55" s="1"/>
  <c r="B25" i="55"/>
  <c r="X24" i="55"/>
  <c r="Z24" i="55" s="1"/>
  <c r="R24" i="55"/>
  <c r="N24" i="55"/>
  <c r="L24" i="55"/>
  <c r="B24" i="55"/>
  <c r="X23" i="55"/>
  <c r="T23" i="55"/>
  <c r="Z23" i="55" s="1"/>
  <c r="P23" i="55"/>
  <c r="L23" i="55"/>
  <c r="N23" i="55" s="1"/>
  <c r="H23" i="55"/>
  <c r="D23" i="55"/>
  <c r="B23" i="55"/>
  <c r="Z22" i="55"/>
  <c r="X22" i="55"/>
  <c r="L22" i="55"/>
  <c r="N22" i="55" s="1"/>
  <c r="J22" i="55"/>
  <c r="B22" i="55"/>
  <c r="T21" i="55"/>
  <c r="R21" i="55"/>
  <c r="P21" i="55"/>
  <c r="J21" i="55"/>
  <c r="H21" i="55"/>
  <c r="D21" i="55"/>
  <c r="B21" i="55"/>
  <c r="Z20" i="55"/>
  <c r="X20" i="55"/>
  <c r="R20" i="55"/>
  <c r="N20" i="55"/>
  <c r="L20" i="55"/>
  <c r="J20" i="55"/>
  <c r="F20" i="55"/>
  <c r="B20" i="55"/>
  <c r="T19" i="55"/>
  <c r="P19" i="55"/>
  <c r="N19" i="55"/>
  <c r="H19" i="55"/>
  <c r="F19" i="55"/>
  <c r="D19" i="55"/>
  <c r="L19" i="55" s="1"/>
  <c r="B19" i="55"/>
  <c r="T18" i="55"/>
  <c r="R18" i="55"/>
  <c r="P18" i="55"/>
  <c r="X18" i="55" s="1"/>
  <c r="J18" i="55"/>
  <c r="H18" i="55"/>
  <c r="F18" i="55"/>
  <c r="D18" i="55"/>
  <c r="R16" i="55"/>
  <c r="J16" i="55"/>
  <c r="F16" i="55"/>
  <c r="D16" i="55"/>
  <c r="T14" i="55"/>
  <c r="Z14" i="55" s="1"/>
  <c r="R14" i="55"/>
  <c r="P14" i="55"/>
  <c r="X14" i="55" s="1"/>
  <c r="J14" i="55"/>
  <c r="H14" i="55"/>
  <c r="F14" i="55"/>
  <c r="D14" i="55"/>
  <c r="T12" i="55"/>
  <c r="P12" i="55"/>
  <c r="R26" i="55" s="1"/>
  <c r="N12" i="55"/>
  <c r="L12" i="55"/>
  <c r="H12" i="55"/>
  <c r="J38" i="55" s="1"/>
  <c r="D12" i="55"/>
  <c r="F22" i="55" s="1"/>
  <c r="D6" i="55"/>
  <c r="D4" i="55"/>
  <c r="Z29" i="54"/>
  <c r="X29" i="54"/>
  <c r="T29" i="54"/>
  <c r="P29" i="54"/>
  <c r="L29" i="54"/>
  <c r="N29" i="54" s="1"/>
  <c r="H29" i="54"/>
  <c r="D29" i="54"/>
  <c r="X28" i="54"/>
  <c r="Z28" i="54" s="1"/>
  <c r="T28" i="54"/>
  <c r="P28" i="54"/>
  <c r="J28" i="54"/>
  <c r="H28" i="54"/>
  <c r="D28" i="54"/>
  <c r="V26" i="54"/>
  <c r="F26" i="54"/>
  <c r="Z24" i="54"/>
  <c r="X24" i="54"/>
  <c r="R24" i="54"/>
  <c r="N24" i="54"/>
  <c r="L24" i="54"/>
  <c r="J24" i="54"/>
  <c r="J22" i="54"/>
  <c r="T20" i="54"/>
  <c r="Z20" i="54" s="1"/>
  <c r="P20" i="54"/>
  <c r="X20" i="54" s="1"/>
  <c r="N20" i="54"/>
  <c r="L20" i="54"/>
  <c r="J20" i="54"/>
  <c r="H20" i="54"/>
  <c r="D20" i="54"/>
  <c r="T18" i="54"/>
  <c r="Z18" i="54" s="1"/>
  <c r="P18" i="54"/>
  <c r="X18" i="54" s="1"/>
  <c r="N18" i="54"/>
  <c r="L18" i="54"/>
  <c r="J18" i="54"/>
  <c r="H18" i="54"/>
  <c r="D18" i="54"/>
  <c r="P16" i="54"/>
  <c r="J16" i="54"/>
  <c r="T14" i="54"/>
  <c r="Z14" i="54" s="1"/>
  <c r="P14" i="54"/>
  <c r="X14" i="54" s="1"/>
  <c r="N14" i="54"/>
  <c r="L14" i="54"/>
  <c r="J14" i="54"/>
  <c r="H14" i="54"/>
  <c r="D14" i="54"/>
  <c r="T12" i="54"/>
  <c r="V22" i="54" s="1"/>
  <c r="P12" i="54"/>
  <c r="R28" i="54" s="1"/>
  <c r="L12" i="54"/>
  <c r="H12" i="54"/>
  <c r="H16" i="54" s="1"/>
  <c r="D12" i="54"/>
  <c r="D6" i="54"/>
  <c r="D4" i="54"/>
  <c r="X105" i="51"/>
  <c r="Z105" i="51" s="1"/>
  <c r="V105" i="51"/>
  <c r="L105" i="51"/>
  <c r="N105" i="51" s="1"/>
  <c r="Z101" i="51"/>
  <c r="P101" i="51"/>
  <c r="X101" i="51" s="1"/>
  <c r="D101" i="51"/>
  <c r="L101" i="51" s="1"/>
  <c r="N101" i="51" s="1"/>
  <c r="B101" i="51"/>
  <c r="Z100" i="51"/>
  <c r="X100" i="51"/>
  <c r="P100" i="51"/>
  <c r="N100" i="51"/>
  <c r="L100" i="51"/>
  <c r="J100" i="51"/>
  <c r="D100" i="51"/>
  <c r="B100" i="51"/>
  <c r="Z99" i="51"/>
  <c r="X99" i="51"/>
  <c r="V99" i="51"/>
  <c r="P99" i="51"/>
  <c r="N99" i="51"/>
  <c r="D99" i="51"/>
  <c r="L99" i="51" s="1"/>
  <c r="B99" i="51"/>
  <c r="V98" i="51"/>
  <c r="T98" i="51"/>
  <c r="Z98" i="51" s="1"/>
  <c r="P98" i="51"/>
  <c r="X98" i="51" s="1"/>
  <c r="H98" i="51"/>
  <c r="Z96" i="51"/>
  <c r="X96" i="51"/>
  <c r="V96" i="51"/>
  <c r="L96" i="51"/>
  <c r="N96" i="51" s="1"/>
  <c r="B96" i="51"/>
  <c r="T95" i="51"/>
  <c r="Z95" i="51" s="1"/>
  <c r="P95" i="51"/>
  <c r="X95" i="51" s="1"/>
  <c r="H95" i="51"/>
  <c r="D95" i="51"/>
  <c r="L95" i="51" s="1"/>
  <c r="N95" i="51" s="1"/>
  <c r="B95" i="51"/>
  <c r="Z94" i="51"/>
  <c r="X94" i="51"/>
  <c r="V94" i="51"/>
  <c r="N94" i="51"/>
  <c r="L94" i="51"/>
  <c r="B94" i="51"/>
  <c r="X93" i="51"/>
  <c r="Z93" i="51" s="1"/>
  <c r="V93" i="51"/>
  <c r="L93" i="51"/>
  <c r="N93" i="51" s="1"/>
  <c r="B93" i="51"/>
  <c r="T92" i="51"/>
  <c r="P92" i="51"/>
  <c r="X92" i="51" s="1"/>
  <c r="J92" i="51"/>
  <c r="H92" i="51"/>
  <c r="D92" i="51"/>
  <c r="L92" i="51" s="1"/>
  <c r="N92" i="51" s="1"/>
  <c r="B92" i="51"/>
  <c r="Z91" i="51"/>
  <c r="X91" i="51"/>
  <c r="N91" i="51"/>
  <c r="L91" i="51"/>
  <c r="B91" i="51"/>
  <c r="Z90" i="51"/>
  <c r="X90" i="51"/>
  <c r="N90" i="51"/>
  <c r="L90" i="51"/>
  <c r="B90" i="51"/>
  <c r="T89" i="51"/>
  <c r="P89" i="51"/>
  <c r="H89" i="51"/>
  <c r="D89" i="51"/>
  <c r="L89" i="51" s="1"/>
  <c r="B89" i="51"/>
  <c r="Z88" i="51"/>
  <c r="X88" i="51"/>
  <c r="V88" i="51"/>
  <c r="N88" i="51"/>
  <c r="L88" i="51"/>
  <c r="B88" i="51"/>
  <c r="Z87" i="51"/>
  <c r="T87" i="51"/>
  <c r="P87" i="51"/>
  <c r="X87" i="51" s="1"/>
  <c r="N87" i="51"/>
  <c r="H87" i="51"/>
  <c r="D87" i="51"/>
  <c r="L87" i="51" s="1"/>
  <c r="B87" i="51"/>
  <c r="Z86" i="51"/>
  <c r="X86" i="51"/>
  <c r="V86" i="51"/>
  <c r="N86" i="51"/>
  <c r="L86" i="51"/>
  <c r="B86" i="51"/>
  <c r="V85" i="51"/>
  <c r="T85" i="51"/>
  <c r="P85" i="51"/>
  <c r="X85" i="51" s="1"/>
  <c r="L85" i="51"/>
  <c r="J85" i="51"/>
  <c r="H85" i="51"/>
  <c r="N85" i="51" s="1"/>
  <c r="D85" i="51"/>
  <c r="B85" i="51"/>
  <c r="X84" i="51"/>
  <c r="Z84" i="51" s="1"/>
  <c r="N84" i="51"/>
  <c r="L84" i="51"/>
  <c r="J84" i="51"/>
  <c r="B84" i="51"/>
  <c r="T83" i="51"/>
  <c r="Z83" i="51" s="1"/>
  <c r="P83" i="51"/>
  <c r="X83" i="51" s="1"/>
  <c r="H83" i="51"/>
  <c r="D83" i="51"/>
  <c r="B83" i="51"/>
  <c r="Z82" i="51"/>
  <c r="X82" i="51"/>
  <c r="V82" i="51"/>
  <c r="N82" i="51"/>
  <c r="L82" i="51"/>
  <c r="J82" i="51"/>
  <c r="B82" i="51"/>
  <c r="Z81" i="51"/>
  <c r="T81" i="51"/>
  <c r="P81" i="51"/>
  <c r="X81" i="51" s="1"/>
  <c r="H81" i="51"/>
  <c r="D81" i="51"/>
  <c r="L81" i="51" s="1"/>
  <c r="N81" i="51" s="1"/>
  <c r="B81" i="51"/>
  <c r="Z80" i="51"/>
  <c r="X80" i="51"/>
  <c r="N80" i="51"/>
  <c r="L80" i="51"/>
  <c r="B80" i="51"/>
  <c r="X79" i="51"/>
  <c r="V79" i="51"/>
  <c r="T79" i="51"/>
  <c r="Z79" i="51" s="1"/>
  <c r="P79" i="51"/>
  <c r="J79" i="51"/>
  <c r="H79" i="51"/>
  <c r="N79" i="51" s="1"/>
  <c r="D79" i="51"/>
  <c r="L79" i="51" s="1"/>
  <c r="B79" i="51"/>
  <c r="Z78" i="51"/>
  <c r="X78" i="51"/>
  <c r="N78" i="51"/>
  <c r="L78" i="51"/>
  <c r="B78" i="51"/>
  <c r="T77" i="51"/>
  <c r="P77" i="51"/>
  <c r="H77" i="51"/>
  <c r="D77" i="51"/>
  <c r="L77" i="51" s="1"/>
  <c r="B77" i="51"/>
  <c r="Z76" i="51"/>
  <c r="X76" i="51"/>
  <c r="V76" i="51"/>
  <c r="N76" i="51"/>
  <c r="L76" i="51"/>
  <c r="B76" i="51"/>
  <c r="Z75" i="51"/>
  <c r="X75" i="51"/>
  <c r="N75" i="51"/>
  <c r="L75" i="51"/>
  <c r="J75" i="51"/>
  <c r="B75" i="51"/>
  <c r="Z74" i="51"/>
  <c r="X74" i="51"/>
  <c r="V74" i="51"/>
  <c r="N74" i="51"/>
  <c r="L74" i="51"/>
  <c r="J74" i="51"/>
  <c r="B74" i="51"/>
  <c r="Z73" i="51"/>
  <c r="X73" i="51"/>
  <c r="L73" i="51"/>
  <c r="N73" i="51" s="1"/>
  <c r="J73" i="51"/>
  <c r="B73" i="51"/>
  <c r="Z72" i="51"/>
  <c r="X72" i="51"/>
  <c r="V72" i="51"/>
  <c r="N72" i="51"/>
  <c r="L72" i="51"/>
  <c r="B72" i="51"/>
  <c r="Z71" i="51"/>
  <c r="X71" i="51"/>
  <c r="N71" i="51"/>
  <c r="L71" i="51"/>
  <c r="J71" i="51"/>
  <c r="B71" i="51"/>
  <c r="Z70" i="51"/>
  <c r="X70" i="51"/>
  <c r="V70" i="51"/>
  <c r="N70" i="51"/>
  <c r="L70" i="51"/>
  <c r="J70" i="51"/>
  <c r="B70" i="51"/>
  <c r="Z69" i="51"/>
  <c r="X69" i="51"/>
  <c r="N69" i="51"/>
  <c r="L69" i="51"/>
  <c r="J69" i="51"/>
  <c r="B69" i="51"/>
  <c r="Z68" i="51"/>
  <c r="X68" i="51"/>
  <c r="V68" i="51"/>
  <c r="N68" i="51"/>
  <c r="L68" i="51"/>
  <c r="B68" i="51"/>
  <c r="Z67" i="51"/>
  <c r="X67" i="51"/>
  <c r="L67" i="51"/>
  <c r="N67" i="51" s="1"/>
  <c r="J67" i="51"/>
  <c r="B67" i="51"/>
  <c r="T66" i="51"/>
  <c r="P66" i="51"/>
  <c r="H66" i="51"/>
  <c r="J66" i="51" s="1"/>
  <c r="D66" i="51"/>
  <c r="B66" i="51"/>
  <c r="Z65" i="51"/>
  <c r="X65" i="51"/>
  <c r="V65" i="51"/>
  <c r="N65" i="51"/>
  <c r="L65" i="51"/>
  <c r="B65" i="51"/>
  <c r="X64" i="51"/>
  <c r="Z64" i="51" s="1"/>
  <c r="L64" i="51"/>
  <c r="N64" i="51" s="1"/>
  <c r="B64" i="51"/>
  <c r="X63" i="51"/>
  <c r="Z63" i="51" s="1"/>
  <c r="V63" i="51"/>
  <c r="N63" i="51"/>
  <c r="L63" i="51"/>
  <c r="B63" i="51"/>
  <c r="Z62" i="51"/>
  <c r="X62" i="51"/>
  <c r="V62" i="51"/>
  <c r="N62" i="51"/>
  <c r="L62" i="51"/>
  <c r="B62" i="51"/>
  <c r="Z61" i="51"/>
  <c r="X61" i="51"/>
  <c r="V61" i="51"/>
  <c r="N61" i="51"/>
  <c r="L61" i="51"/>
  <c r="B61" i="51"/>
  <c r="X60" i="51"/>
  <c r="Z60" i="51" s="1"/>
  <c r="L60" i="51"/>
  <c r="N60" i="51" s="1"/>
  <c r="B60" i="51"/>
  <c r="X59" i="51"/>
  <c r="Z59" i="51" s="1"/>
  <c r="V59" i="51"/>
  <c r="N59" i="51"/>
  <c r="L59" i="51"/>
  <c r="B59" i="51"/>
  <c r="Z58" i="51"/>
  <c r="X58" i="51"/>
  <c r="V58" i="51"/>
  <c r="L58" i="51"/>
  <c r="N58" i="51" s="1"/>
  <c r="B58" i="51"/>
  <c r="X57" i="51"/>
  <c r="Z57" i="51" s="1"/>
  <c r="V57" i="51"/>
  <c r="L57" i="51"/>
  <c r="N57" i="51" s="1"/>
  <c r="B57" i="51"/>
  <c r="X56" i="51"/>
  <c r="Z56" i="51" s="1"/>
  <c r="L56" i="51"/>
  <c r="N56" i="51" s="1"/>
  <c r="B56" i="51"/>
  <c r="X55" i="51"/>
  <c r="V55" i="51"/>
  <c r="T55" i="51"/>
  <c r="Z55" i="51" s="1"/>
  <c r="P55" i="51"/>
  <c r="J55" i="51"/>
  <c r="H55" i="51"/>
  <c r="N55" i="51" s="1"/>
  <c r="D55" i="51"/>
  <c r="L55" i="51" s="1"/>
  <c r="B55" i="51"/>
  <c r="T54" i="51"/>
  <c r="P54" i="51"/>
  <c r="X54" i="51" s="1"/>
  <c r="Z54" i="51" s="1"/>
  <c r="L54" i="51"/>
  <c r="N54" i="51" s="1"/>
  <c r="H54" i="51"/>
  <c r="D54" i="51"/>
  <c r="Z50" i="51"/>
  <c r="X50" i="51"/>
  <c r="N50" i="51"/>
  <c r="L50" i="51"/>
  <c r="B50" i="51"/>
  <c r="Z49" i="51"/>
  <c r="X49" i="51"/>
  <c r="N49" i="51"/>
  <c r="L49" i="51"/>
  <c r="B49" i="51"/>
  <c r="Z48" i="51"/>
  <c r="X48" i="51"/>
  <c r="N48" i="51"/>
  <c r="L48" i="51"/>
  <c r="J48" i="51"/>
  <c r="B48" i="51"/>
  <c r="Z47" i="51"/>
  <c r="X47" i="51"/>
  <c r="N47" i="51"/>
  <c r="L47" i="51"/>
  <c r="B47" i="51"/>
  <c r="Z46" i="51"/>
  <c r="X46" i="51"/>
  <c r="N46" i="51"/>
  <c r="L46" i="51"/>
  <c r="B46" i="51"/>
  <c r="Z45" i="51"/>
  <c r="X45" i="51"/>
  <c r="N45" i="51"/>
  <c r="L45" i="51"/>
  <c r="B45" i="51"/>
  <c r="Z44" i="51"/>
  <c r="X44" i="51"/>
  <c r="N44" i="51"/>
  <c r="L44" i="51"/>
  <c r="J44" i="51"/>
  <c r="B44" i="51"/>
  <c r="Z43" i="51"/>
  <c r="X43" i="51"/>
  <c r="N43" i="51"/>
  <c r="L43" i="51"/>
  <c r="B43" i="51"/>
  <c r="Z42" i="51"/>
  <c r="X42" i="51"/>
  <c r="N42" i="51"/>
  <c r="L42" i="51"/>
  <c r="B42" i="51"/>
  <c r="Z41" i="51"/>
  <c r="X41" i="51"/>
  <c r="N41" i="51"/>
  <c r="L41" i="51"/>
  <c r="B41" i="51"/>
  <c r="Z40" i="51"/>
  <c r="X40" i="51"/>
  <c r="V40" i="51"/>
  <c r="N40" i="51"/>
  <c r="L40" i="51"/>
  <c r="J40" i="51"/>
  <c r="B40" i="51"/>
  <c r="Z39" i="51"/>
  <c r="X39" i="51"/>
  <c r="N39" i="51"/>
  <c r="L39" i="51"/>
  <c r="B39" i="51"/>
  <c r="Z38" i="51"/>
  <c r="X38" i="51"/>
  <c r="T38" i="51"/>
  <c r="P38" i="51"/>
  <c r="L38" i="51"/>
  <c r="N38" i="51" s="1"/>
  <c r="H38" i="51"/>
  <c r="D38" i="51"/>
  <c r="Z36" i="51"/>
  <c r="X36" i="51"/>
  <c r="P36" i="51"/>
  <c r="N36" i="51"/>
  <c r="D36" i="51"/>
  <c r="L36" i="51" s="1"/>
  <c r="B36" i="51"/>
  <c r="Z35" i="51"/>
  <c r="X35" i="51"/>
  <c r="P35" i="51"/>
  <c r="N35" i="51"/>
  <c r="D35" i="51"/>
  <c r="L35" i="51" s="1"/>
  <c r="B35" i="51"/>
  <c r="Z34" i="51"/>
  <c r="X34" i="51"/>
  <c r="P34" i="51"/>
  <c r="N34" i="51"/>
  <c r="D34" i="51"/>
  <c r="L34" i="51" s="1"/>
  <c r="B34" i="51"/>
  <c r="Z33" i="51"/>
  <c r="X33" i="51"/>
  <c r="P33" i="51"/>
  <c r="N33" i="51"/>
  <c r="L33" i="51"/>
  <c r="D33" i="51"/>
  <c r="B33" i="51"/>
  <c r="Z32" i="51"/>
  <c r="P32" i="51"/>
  <c r="X32" i="51" s="1"/>
  <c r="N32" i="51"/>
  <c r="L32" i="51"/>
  <c r="D32" i="51"/>
  <c r="B32" i="51"/>
  <c r="Z31" i="51"/>
  <c r="P31" i="51"/>
  <c r="X31" i="51" s="1"/>
  <c r="N31" i="51"/>
  <c r="L31" i="51"/>
  <c r="D31" i="51"/>
  <c r="B31" i="51"/>
  <c r="Z30" i="51"/>
  <c r="X30" i="51"/>
  <c r="P30" i="51"/>
  <c r="N30" i="51"/>
  <c r="L30" i="51"/>
  <c r="D30" i="51"/>
  <c r="B30" i="51"/>
  <c r="Z29" i="51"/>
  <c r="P29" i="51"/>
  <c r="X29" i="51" s="1"/>
  <c r="N29" i="51"/>
  <c r="D29" i="51"/>
  <c r="L29" i="51" s="1"/>
  <c r="B29" i="51"/>
  <c r="Z28" i="51"/>
  <c r="P28" i="51"/>
  <c r="X28" i="51" s="1"/>
  <c r="N28" i="51"/>
  <c r="D28" i="51"/>
  <c r="L28" i="51" s="1"/>
  <c r="B28" i="51"/>
  <c r="Z27" i="51"/>
  <c r="P27" i="51"/>
  <c r="X27" i="51" s="1"/>
  <c r="N27" i="51"/>
  <c r="L27" i="51"/>
  <c r="D27" i="51"/>
  <c r="B27" i="51"/>
  <c r="Z26" i="51"/>
  <c r="P26" i="51"/>
  <c r="X26" i="51" s="1"/>
  <c r="N26" i="51"/>
  <c r="D26" i="51"/>
  <c r="L26" i="51" s="1"/>
  <c r="B26" i="51"/>
  <c r="Z25" i="51"/>
  <c r="P25" i="51"/>
  <c r="X25" i="51" s="1"/>
  <c r="N25" i="51"/>
  <c r="D25" i="51"/>
  <c r="L25" i="51" s="1"/>
  <c r="B25" i="51"/>
  <c r="Z24" i="51"/>
  <c r="X24" i="51"/>
  <c r="P24" i="51"/>
  <c r="N24" i="51"/>
  <c r="D24" i="51"/>
  <c r="L24" i="51" s="1"/>
  <c r="B24" i="51"/>
  <c r="Z23" i="51"/>
  <c r="X23" i="51"/>
  <c r="P23" i="51"/>
  <c r="N23" i="51"/>
  <c r="D23" i="51"/>
  <c r="L23" i="51" s="1"/>
  <c r="B23" i="51"/>
  <c r="Z22" i="51"/>
  <c r="X22" i="51"/>
  <c r="P22" i="51"/>
  <c r="N22" i="51"/>
  <c r="D22" i="51"/>
  <c r="L22" i="51" s="1"/>
  <c r="B22" i="51"/>
  <c r="X21" i="51"/>
  <c r="Z21" i="51" s="1"/>
  <c r="P21" i="51"/>
  <c r="L21" i="51"/>
  <c r="N21" i="51" s="1"/>
  <c r="D21" i="51"/>
  <c r="B21" i="51"/>
  <c r="Z20" i="51"/>
  <c r="P20" i="51"/>
  <c r="X20" i="51" s="1"/>
  <c r="N20" i="51"/>
  <c r="L20" i="51"/>
  <c r="D20" i="51"/>
  <c r="B20" i="51"/>
  <c r="Z19" i="51"/>
  <c r="P19" i="51"/>
  <c r="X19" i="51" s="1"/>
  <c r="N19" i="51"/>
  <c r="L19" i="51"/>
  <c r="D19" i="51"/>
  <c r="B19" i="51"/>
  <c r="Z18" i="51"/>
  <c r="X18" i="51"/>
  <c r="P18" i="51"/>
  <c r="N18" i="51"/>
  <c r="L18" i="51"/>
  <c r="D18" i="51"/>
  <c r="B18" i="51"/>
  <c r="Z17" i="51"/>
  <c r="P17" i="51"/>
  <c r="X17" i="51" s="1"/>
  <c r="N17" i="51"/>
  <c r="D17" i="51"/>
  <c r="L17" i="51" s="1"/>
  <c r="B17" i="51"/>
  <c r="Z16" i="51"/>
  <c r="P16" i="51"/>
  <c r="X16" i="51" s="1"/>
  <c r="N16" i="51"/>
  <c r="L16" i="51"/>
  <c r="D16" i="51"/>
  <c r="B16" i="51"/>
  <c r="Z15" i="51"/>
  <c r="P15" i="51"/>
  <c r="X15" i="51" s="1"/>
  <c r="N15" i="51"/>
  <c r="L15" i="51"/>
  <c r="D15" i="51"/>
  <c r="B15" i="51"/>
  <c r="Z14" i="51"/>
  <c r="P14" i="51"/>
  <c r="X14" i="51" s="1"/>
  <c r="N14" i="51"/>
  <c r="D14" i="51"/>
  <c r="L14" i="51" s="1"/>
  <c r="B14" i="51"/>
  <c r="P13" i="51"/>
  <c r="D13" i="51"/>
  <c r="L13" i="51" s="1"/>
  <c r="N13" i="51" s="1"/>
  <c r="B13" i="51"/>
  <c r="T12" i="51"/>
  <c r="H12" i="51"/>
  <c r="J105" i="51" s="1"/>
  <c r="D4" i="51"/>
  <c r="X71" i="48"/>
  <c r="Z71" i="48" s="1"/>
  <c r="V71" i="48"/>
  <c r="L71" i="48"/>
  <c r="N71" i="48" s="1"/>
  <c r="Z67" i="48"/>
  <c r="X67" i="48"/>
  <c r="R67" i="48"/>
  <c r="P67" i="48"/>
  <c r="L67" i="48"/>
  <c r="N67" i="48" s="1"/>
  <c r="D67" i="48"/>
  <c r="B67" i="48"/>
  <c r="X66" i="48"/>
  <c r="Z66" i="48" s="1"/>
  <c r="T66" i="48"/>
  <c r="R66" i="48"/>
  <c r="P66" i="48"/>
  <c r="L66" i="48"/>
  <c r="N66" i="48" s="1"/>
  <c r="H66" i="48"/>
  <c r="D66" i="48"/>
  <c r="X64" i="48"/>
  <c r="Z64" i="48" s="1"/>
  <c r="N64" i="48"/>
  <c r="L64" i="48"/>
  <c r="B64" i="48"/>
  <c r="T63" i="48"/>
  <c r="Z63" i="48" s="1"/>
  <c r="R63" i="48"/>
  <c r="P63" i="48"/>
  <c r="X63" i="48" s="1"/>
  <c r="L63" i="48"/>
  <c r="H63" i="48"/>
  <c r="D63" i="48"/>
  <c r="B63" i="48"/>
  <c r="Z62" i="48"/>
  <c r="X62" i="48"/>
  <c r="R62" i="48"/>
  <c r="N62" i="48"/>
  <c r="L62" i="48"/>
  <c r="B62" i="48"/>
  <c r="Z61" i="48"/>
  <c r="X61" i="48"/>
  <c r="L61" i="48"/>
  <c r="N61" i="48" s="1"/>
  <c r="B61" i="48"/>
  <c r="T60" i="48"/>
  <c r="V60" i="48" s="1"/>
  <c r="P60" i="48"/>
  <c r="H60" i="48"/>
  <c r="D60" i="48"/>
  <c r="B60" i="48"/>
  <c r="X59" i="48"/>
  <c r="Z59" i="48" s="1"/>
  <c r="V59" i="48"/>
  <c r="N59" i="48"/>
  <c r="L59" i="48"/>
  <c r="B59" i="48"/>
  <c r="Z58" i="48"/>
  <c r="X58" i="48"/>
  <c r="V58" i="48"/>
  <c r="L58" i="48"/>
  <c r="N58" i="48" s="1"/>
  <c r="B58" i="48"/>
  <c r="V57" i="48"/>
  <c r="T57" i="48"/>
  <c r="Z57" i="48" s="1"/>
  <c r="P57" i="48"/>
  <c r="X57" i="48" s="1"/>
  <c r="L57" i="48"/>
  <c r="H57" i="48"/>
  <c r="D57" i="48"/>
  <c r="B57" i="48"/>
  <c r="X56" i="48"/>
  <c r="Z56" i="48" s="1"/>
  <c r="N56" i="48"/>
  <c r="L56" i="48"/>
  <c r="B56" i="48"/>
  <c r="T55" i="48"/>
  <c r="R55" i="48"/>
  <c r="P55" i="48"/>
  <c r="X55" i="48" s="1"/>
  <c r="H55" i="48"/>
  <c r="D55" i="48"/>
  <c r="B55" i="48"/>
  <c r="Z54" i="48"/>
  <c r="X54" i="48"/>
  <c r="R54" i="48"/>
  <c r="N54" i="48"/>
  <c r="L54" i="48"/>
  <c r="J54" i="48"/>
  <c r="B54" i="48"/>
  <c r="Z53" i="48"/>
  <c r="T53" i="48"/>
  <c r="P53" i="48"/>
  <c r="X53" i="48" s="1"/>
  <c r="H53" i="48"/>
  <c r="D53" i="48"/>
  <c r="L53" i="48" s="1"/>
  <c r="N53" i="48" s="1"/>
  <c r="B53" i="48"/>
  <c r="Z52" i="48"/>
  <c r="X52" i="48"/>
  <c r="L52" i="48"/>
  <c r="N52" i="48" s="1"/>
  <c r="B52" i="48"/>
  <c r="X51" i="48"/>
  <c r="V51" i="48"/>
  <c r="T51" i="48"/>
  <c r="Z51" i="48" s="1"/>
  <c r="P51" i="48"/>
  <c r="H51" i="48"/>
  <c r="D51" i="48"/>
  <c r="L51" i="48" s="1"/>
  <c r="B51" i="48"/>
  <c r="X50" i="48"/>
  <c r="Z50" i="48" s="1"/>
  <c r="N50" i="48"/>
  <c r="L50" i="48"/>
  <c r="B50" i="48"/>
  <c r="X49" i="48"/>
  <c r="T49" i="48"/>
  <c r="R49" i="48"/>
  <c r="P49" i="48"/>
  <c r="H49" i="48"/>
  <c r="N49" i="48" s="1"/>
  <c r="D49" i="48"/>
  <c r="L49" i="48" s="1"/>
  <c r="B49" i="48"/>
  <c r="Z48" i="48"/>
  <c r="X48" i="48"/>
  <c r="V48" i="48"/>
  <c r="R48" i="48"/>
  <c r="N48" i="48"/>
  <c r="L48" i="48"/>
  <c r="B48" i="48"/>
  <c r="T47" i="48"/>
  <c r="P47" i="48"/>
  <c r="N47" i="48"/>
  <c r="H47" i="48"/>
  <c r="D47" i="48"/>
  <c r="L47" i="48" s="1"/>
  <c r="B47" i="48"/>
  <c r="Z46" i="48"/>
  <c r="X46" i="48"/>
  <c r="V46" i="48"/>
  <c r="L46" i="48"/>
  <c r="N46" i="48" s="1"/>
  <c r="B46" i="48"/>
  <c r="V45" i="48"/>
  <c r="T45" i="48"/>
  <c r="P45" i="48"/>
  <c r="X45" i="48" s="1"/>
  <c r="L45" i="48"/>
  <c r="H45" i="48"/>
  <c r="N45" i="48" s="1"/>
  <c r="D45" i="48"/>
  <c r="B45" i="48"/>
  <c r="X44" i="48"/>
  <c r="Z44" i="48" s="1"/>
  <c r="N44" i="48"/>
  <c r="L44" i="48"/>
  <c r="B44" i="48"/>
  <c r="T43" i="48"/>
  <c r="Z43" i="48" s="1"/>
  <c r="R43" i="48"/>
  <c r="P43" i="48"/>
  <c r="X43" i="48" s="1"/>
  <c r="L43" i="48"/>
  <c r="H43" i="48"/>
  <c r="D43" i="48"/>
  <c r="B43" i="48"/>
  <c r="Z42" i="48"/>
  <c r="X42" i="48"/>
  <c r="V42" i="48"/>
  <c r="R42" i="48"/>
  <c r="N42" i="48"/>
  <c r="L42" i="48"/>
  <c r="B42" i="48"/>
  <c r="T41" i="48"/>
  <c r="P41" i="48"/>
  <c r="X41" i="48" s="1"/>
  <c r="Z41" i="48" s="1"/>
  <c r="H41" i="48"/>
  <c r="D41" i="48"/>
  <c r="B41" i="48"/>
  <c r="Z40" i="48"/>
  <c r="X40" i="48"/>
  <c r="N40" i="48"/>
  <c r="L40" i="48"/>
  <c r="B40" i="48"/>
  <c r="Z39" i="48"/>
  <c r="X39" i="48"/>
  <c r="V39" i="48"/>
  <c r="N39" i="48"/>
  <c r="L39" i="48"/>
  <c r="B39" i="48"/>
  <c r="Z38" i="48"/>
  <c r="X38" i="48"/>
  <c r="V38" i="48"/>
  <c r="N38" i="48"/>
  <c r="L38" i="48"/>
  <c r="B38" i="48"/>
  <c r="X37" i="48"/>
  <c r="Z37" i="48" s="1"/>
  <c r="V37" i="48"/>
  <c r="R37" i="48"/>
  <c r="L37" i="48"/>
  <c r="N37" i="48" s="1"/>
  <c r="B37" i="48"/>
  <c r="Z36" i="48"/>
  <c r="X36" i="48"/>
  <c r="N36" i="48"/>
  <c r="L36" i="48"/>
  <c r="B36" i="48"/>
  <c r="Z35" i="48"/>
  <c r="X35" i="48"/>
  <c r="V35" i="48"/>
  <c r="N35" i="48"/>
  <c r="L35" i="48"/>
  <c r="B35" i="48"/>
  <c r="Z34" i="48"/>
  <c r="X34" i="48"/>
  <c r="V34" i="48"/>
  <c r="N34" i="48"/>
  <c r="L34" i="48"/>
  <c r="B34" i="48"/>
  <c r="Z33" i="48"/>
  <c r="X33" i="48"/>
  <c r="V33" i="48"/>
  <c r="R33" i="48"/>
  <c r="N33" i="48"/>
  <c r="L33" i="48"/>
  <c r="B33" i="48"/>
  <c r="Z32" i="48"/>
  <c r="X32" i="48"/>
  <c r="L32" i="48"/>
  <c r="N32" i="48" s="1"/>
  <c r="B32" i="48"/>
  <c r="Z31" i="48"/>
  <c r="X31" i="48"/>
  <c r="V31" i="48"/>
  <c r="N31" i="48"/>
  <c r="L31" i="48"/>
  <c r="B31" i="48"/>
  <c r="V30" i="48"/>
  <c r="T30" i="48"/>
  <c r="P30" i="48"/>
  <c r="H30" i="48"/>
  <c r="D30" i="48"/>
  <c r="L30" i="48" s="1"/>
  <c r="N30" i="48" s="1"/>
  <c r="B30" i="48"/>
  <c r="X29" i="48"/>
  <c r="Z29" i="48" s="1"/>
  <c r="R29" i="48"/>
  <c r="N29" i="48"/>
  <c r="L29" i="48"/>
  <c r="B29" i="48"/>
  <c r="Z28" i="48"/>
  <c r="X28" i="48"/>
  <c r="V28" i="48"/>
  <c r="N28" i="48"/>
  <c r="L28" i="48"/>
  <c r="J28" i="48"/>
  <c r="B28" i="48"/>
  <c r="X27" i="48"/>
  <c r="Z27" i="48" s="1"/>
  <c r="R27" i="48"/>
  <c r="L27" i="48"/>
  <c r="N27" i="48" s="1"/>
  <c r="B27" i="48"/>
  <c r="Z26" i="48"/>
  <c r="X26" i="48"/>
  <c r="N26" i="48"/>
  <c r="L26" i="48"/>
  <c r="B26" i="48"/>
  <c r="X25" i="48"/>
  <c r="Z25" i="48" s="1"/>
  <c r="R25" i="48"/>
  <c r="N25" i="48"/>
  <c r="L25" i="48"/>
  <c r="B25" i="48"/>
  <c r="Z24" i="48"/>
  <c r="X24" i="48"/>
  <c r="V24" i="48"/>
  <c r="N24" i="48"/>
  <c r="L24" i="48"/>
  <c r="B24" i="48"/>
  <c r="X23" i="48"/>
  <c r="Z23" i="48" s="1"/>
  <c r="R23" i="48"/>
  <c r="N23" i="48"/>
  <c r="L23" i="48"/>
  <c r="B23" i="48"/>
  <c r="X22" i="48"/>
  <c r="Z22" i="48" s="1"/>
  <c r="L22" i="48"/>
  <c r="N22" i="48" s="1"/>
  <c r="B22" i="48"/>
  <c r="X21" i="48"/>
  <c r="Z21" i="48" s="1"/>
  <c r="R21" i="48"/>
  <c r="N21" i="48"/>
  <c r="L21" i="48"/>
  <c r="B21" i="48"/>
  <c r="X20" i="48"/>
  <c r="Z20" i="48" s="1"/>
  <c r="V20" i="48"/>
  <c r="T20" i="48"/>
  <c r="R20" i="48"/>
  <c r="P20" i="48"/>
  <c r="N20" i="48"/>
  <c r="L20" i="48"/>
  <c r="H20" i="48"/>
  <c r="D20" i="48"/>
  <c r="B20" i="48"/>
  <c r="T19" i="48"/>
  <c r="P19" i="48"/>
  <c r="X19" i="48" s="1"/>
  <c r="Z19" i="48" s="1"/>
  <c r="H19" i="48"/>
  <c r="D19" i="48"/>
  <c r="L19" i="48" s="1"/>
  <c r="N19" i="48" s="1"/>
  <c r="P17" i="48"/>
  <c r="T15" i="48"/>
  <c r="P15" i="48"/>
  <c r="N15" i="48"/>
  <c r="H15" i="48"/>
  <c r="D15" i="48"/>
  <c r="L15" i="48" s="1"/>
  <c r="X13" i="48"/>
  <c r="Z13" i="48" s="1"/>
  <c r="P13" i="48"/>
  <c r="D13" i="48"/>
  <c r="B13" i="48"/>
  <c r="T12" i="48"/>
  <c r="V49" i="48" s="1"/>
  <c r="P12" i="48"/>
  <c r="H12" i="48"/>
  <c r="D4" i="48"/>
  <c r="X103" i="45"/>
  <c r="Z103" i="45" s="1"/>
  <c r="L103" i="45"/>
  <c r="N103" i="45" s="1"/>
  <c r="J103" i="45"/>
  <c r="Z99" i="45"/>
  <c r="T99" i="45"/>
  <c r="P99" i="45"/>
  <c r="X99" i="45" s="1"/>
  <c r="L99" i="45"/>
  <c r="H99" i="45"/>
  <c r="N99" i="45" s="1"/>
  <c r="D99" i="45"/>
  <c r="X97" i="45"/>
  <c r="Z97" i="45" s="1"/>
  <c r="L97" i="45"/>
  <c r="N97" i="45" s="1"/>
  <c r="B97" i="45"/>
  <c r="X96" i="45"/>
  <c r="Z96" i="45" s="1"/>
  <c r="N96" i="45"/>
  <c r="L96" i="45"/>
  <c r="B96" i="45"/>
  <c r="X95" i="45"/>
  <c r="T95" i="45"/>
  <c r="Z95" i="45" s="1"/>
  <c r="P95" i="45"/>
  <c r="H95" i="45"/>
  <c r="D95" i="45"/>
  <c r="L95" i="45" s="1"/>
  <c r="N95" i="45" s="1"/>
  <c r="B95" i="45"/>
  <c r="Z94" i="45"/>
  <c r="X94" i="45"/>
  <c r="L94" i="45"/>
  <c r="N94" i="45" s="1"/>
  <c r="B94" i="45"/>
  <c r="T93" i="45"/>
  <c r="P93" i="45"/>
  <c r="H93" i="45"/>
  <c r="D93" i="45"/>
  <c r="L93" i="45" s="1"/>
  <c r="N93" i="45" s="1"/>
  <c r="B93" i="45"/>
  <c r="Z92" i="45"/>
  <c r="X92" i="45"/>
  <c r="L92" i="45"/>
  <c r="N92" i="45" s="1"/>
  <c r="B92" i="45"/>
  <c r="T91" i="45"/>
  <c r="P91" i="45"/>
  <c r="X91" i="45" s="1"/>
  <c r="J91" i="45"/>
  <c r="H91" i="45"/>
  <c r="D91" i="45"/>
  <c r="L91" i="45" s="1"/>
  <c r="N91" i="45" s="1"/>
  <c r="B91" i="45"/>
  <c r="X90" i="45"/>
  <c r="Z90" i="45" s="1"/>
  <c r="N90" i="45"/>
  <c r="L90" i="45"/>
  <c r="B90" i="45"/>
  <c r="X89" i="45"/>
  <c r="Z89" i="45" s="1"/>
  <c r="L89" i="45"/>
  <c r="N89" i="45" s="1"/>
  <c r="B89" i="45"/>
  <c r="X88" i="45"/>
  <c r="Z88" i="45" s="1"/>
  <c r="N88" i="45"/>
  <c r="L88" i="45"/>
  <c r="B88" i="45"/>
  <c r="X87" i="45"/>
  <c r="Z87" i="45" s="1"/>
  <c r="N87" i="45"/>
  <c r="L87" i="45"/>
  <c r="B87" i="45"/>
  <c r="X86" i="45"/>
  <c r="Z86" i="45" s="1"/>
  <c r="N86" i="45"/>
  <c r="L86" i="45"/>
  <c r="F86" i="45"/>
  <c r="B86" i="45"/>
  <c r="X85" i="45"/>
  <c r="Z85" i="45" s="1"/>
  <c r="L85" i="45"/>
  <c r="N85" i="45" s="1"/>
  <c r="F85" i="45"/>
  <c r="B85" i="45"/>
  <c r="X84" i="45"/>
  <c r="Z84" i="45" s="1"/>
  <c r="N84" i="45"/>
  <c r="L84" i="45"/>
  <c r="B84" i="45"/>
  <c r="X83" i="45"/>
  <c r="Z83" i="45" s="1"/>
  <c r="N83" i="45"/>
  <c r="L83" i="45"/>
  <c r="B83" i="45"/>
  <c r="X82" i="45"/>
  <c r="Z82" i="45" s="1"/>
  <c r="N82" i="45"/>
  <c r="L82" i="45"/>
  <c r="B82" i="45"/>
  <c r="T81" i="45"/>
  <c r="P81" i="45"/>
  <c r="X81" i="45" s="1"/>
  <c r="Z81" i="45" s="1"/>
  <c r="L81" i="45"/>
  <c r="H81" i="45"/>
  <c r="F81" i="45"/>
  <c r="D81" i="45"/>
  <c r="B81" i="45"/>
  <c r="Z80" i="45"/>
  <c r="X80" i="45"/>
  <c r="N80" i="45"/>
  <c r="L80" i="45"/>
  <c r="J80" i="45"/>
  <c r="B80" i="45"/>
  <c r="Z79" i="45"/>
  <c r="X79" i="45"/>
  <c r="N79" i="45"/>
  <c r="L79" i="45"/>
  <c r="B79" i="45"/>
  <c r="Z78" i="45"/>
  <c r="X78" i="45"/>
  <c r="N78" i="45"/>
  <c r="L78" i="45"/>
  <c r="B78" i="45"/>
  <c r="X77" i="45"/>
  <c r="Z77" i="45" s="1"/>
  <c r="L77" i="45"/>
  <c r="N77" i="45" s="1"/>
  <c r="J77" i="45"/>
  <c r="B77" i="45"/>
  <c r="Z76" i="45"/>
  <c r="X76" i="45"/>
  <c r="T76" i="45"/>
  <c r="P76" i="45"/>
  <c r="N76" i="45"/>
  <c r="H76" i="45"/>
  <c r="L76" i="45" s="1"/>
  <c r="D76" i="45"/>
  <c r="B76" i="45"/>
  <c r="Z75" i="45"/>
  <c r="X75" i="45"/>
  <c r="L75" i="45"/>
  <c r="N75" i="45" s="1"/>
  <c r="B75" i="45"/>
  <c r="X74" i="45"/>
  <c r="Z74" i="45" s="1"/>
  <c r="L74" i="45"/>
  <c r="N74" i="45" s="1"/>
  <c r="J74" i="45"/>
  <c r="B74" i="45"/>
  <c r="X73" i="45"/>
  <c r="Z73" i="45" s="1"/>
  <c r="L73" i="45"/>
  <c r="N73" i="45" s="1"/>
  <c r="B73" i="45"/>
  <c r="Z72" i="45"/>
  <c r="T72" i="45"/>
  <c r="P72" i="45"/>
  <c r="X72" i="45" s="1"/>
  <c r="H72" i="45"/>
  <c r="D72" i="45"/>
  <c r="B72" i="45"/>
  <c r="X71" i="45"/>
  <c r="Z71" i="45" s="1"/>
  <c r="N71" i="45"/>
  <c r="L71" i="45"/>
  <c r="B71" i="45"/>
  <c r="T70" i="45"/>
  <c r="Z70" i="45" s="1"/>
  <c r="P70" i="45"/>
  <c r="X70" i="45" s="1"/>
  <c r="L70" i="45"/>
  <c r="N70" i="45" s="1"/>
  <c r="H70" i="45"/>
  <c r="D70" i="45"/>
  <c r="B70" i="45"/>
  <c r="X69" i="45"/>
  <c r="Z69" i="45" s="1"/>
  <c r="L69" i="45"/>
  <c r="N69" i="45" s="1"/>
  <c r="J69" i="45"/>
  <c r="B69" i="45"/>
  <c r="Z68" i="45"/>
  <c r="X68" i="45"/>
  <c r="T68" i="45"/>
  <c r="P68" i="45"/>
  <c r="N68" i="45"/>
  <c r="H68" i="45"/>
  <c r="D68" i="45"/>
  <c r="L68" i="45" s="1"/>
  <c r="B68" i="45"/>
  <c r="Z67" i="45"/>
  <c r="X67" i="45"/>
  <c r="L67" i="45"/>
  <c r="N67" i="45" s="1"/>
  <c r="B67" i="45"/>
  <c r="T66" i="45"/>
  <c r="P66" i="45"/>
  <c r="N66" i="45"/>
  <c r="J66" i="45"/>
  <c r="H66" i="45"/>
  <c r="D66" i="45"/>
  <c r="L66" i="45" s="1"/>
  <c r="B66" i="45"/>
  <c r="X65" i="45"/>
  <c r="Z65" i="45" s="1"/>
  <c r="L65" i="45"/>
  <c r="N65" i="45" s="1"/>
  <c r="B65" i="45"/>
  <c r="X64" i="45"/>
  <c r="Z64" i="45" s="1"/>
  <c r="T64" i="45"/>
  <c r="P64" i="45"/>
  <c r="J64" i="45"/>
  <c r="H64" i="45"/>
  <c r="N64" i="45" s="1"/>
  <c r="D64" i="45"/>
  <c r="L64" i="45" s="1"/>
  <c r="B64" i="45"/>
  <c r="Z63" i="45"/>
  <c r="X63" i="45"/>
  <c r="N63" i="45"/>
  <c r="L63" i="45"/>
  <c r="F63" i="45"/>
  <c r="B63" i="45"/>
  <c r="T62" i="45"/>
  <c r="Z62" i="45" s="1"/>
  <c r="P62" i="45"/>
  <c r="X62" i="45" s="1"/>
  <c r="N62" i="45"/>
  <c r="L62" i="45"/>
  <c r="H62" i="45"/>
  <c r="F62" i="45"/>
  <c r="D62" i="45"/>
  <c r="B62" i="45"/>
  <c r="X61" i="45"/>
  <c r="Z61" i="45" s="1"/>
  <c r="L61" i="45"/>
  <c r="N61" i="45" s="1"/>
  <c r="B61" i="45"/>
  <c r="Z60" i="45"/>
  <c r="T60" i="45"/>
  <c r="P60" i="45"/>
  <c r="X60" i="45" s="1"/>
  <c r="H60" i="45"/>
  <c r="D60" i="45"/>
  <c r="B60" i="45"/>
  <c r="X59" i="45"/>
  <c r="Z59" i="45" s="1"/>
  <c r="N59" i="45"/>
  <c r="L59" i="45"/>
  <c r="B59" i="45"/>
  <c r="X58" i="45"/>
  <c r="Z58" i="45" s="1"/>
  <c r="N58" i="45"/>
  <c r="L58" i="45"/>
  <c r="B58" i="45"/>
  <c r="T57" i="45"/>
  <c r="P57" i="45"/>
  <c r="X57" i="45" s="1"/>
  <c r="Z57" i="45" s="1"/>
  <c r="L57" i="45"/>
  <c r="H57" i="45"/>
  <c r="N57" i="45" s="1"/>
  <c r="F57" i="45"/>
  <c r="D57" i="45"/>
  <c r="B57" i="45"/>
  <c r="Z56" i="45"/>
  <c r="X56" i="45"/>
  <c r="N56" i="45"/>
  <c r="L56" i="45"/>
  <c r="J56" i="45"/>
  <c r="B56" i="45"/>
  <c r="Z55" i="45"/>
  <c r="T55" i="45"/>
  <c r="X55" i="45" s="1"/>
  <c r="P55" i="45"/>
  <c r="L55" i="45"/>
  <c r="H55" i="45"/>
  <c r="D55" i="45"/>
  <c r="B55" i="45"/>
  <c r="X54" i="45"/>
  <c r="Z54" i="45" s="1"/>
  <c r="L54" i="45"/>
  <c r="N54" i="45" s="1"/>
  <c r="J54" i="45"/>
  <c r="B54" i="45"/>
  <c r="X53" i="45"/>
  <c r="Z53" i="45" s="1"/>
  <c r="L53" i="45"/>
  <c r="N53" i="45" s="1"/>
  <c r="B53" i="45"/>
  <c r="T52" i="45"/>
  <c r="P52" i="45"/>
  <c r="X52" i="45" s="1"/>
  <c r="Z52" i="45" s="1"/>
  <c r="H52" i="45"/>
  <c r="D52" i="45"/>
  <c r="B52" i="45"/>
  <c r="X51" i="45"/>
  <c r="Z51" i="45" s="1"/>
  <c r="N51" i="45"/>
  <c r="L51" i="45"/>
  <c r="B51" i="45"/>
  <c r="V50" i="45"/>
  <c r="T50" i="45"/>
  <c r="Z50" i="45" s="1"/>
  <c r="P50" i="45"/>
  <c r="X50" i="45" s="1"/>
  <c r="L50" i="45"/>
  <c r="N50" i="45" s="1"/>
  <c r="H50" i="45"/>
  <c r="D50" i="45"/>
  <c r="B50" i="45"/>
  <c r="Z49" i="45"/>
  <c r="X49" i="45"/>
  <c r="N49" i="45"/>
  <c r="L49" i="45"/>
  <c r="J49" i="45"/>
  <c r="B49" i="45"/>
  <c r="Z48" i="45"/>
  <c r="X48" i="45"/>
  <c r="N48" i="45"/>
  <c r="L48" i="45"/>
  <c r="J48" i="45"/>
  <c r="B48" i="45"/>
  <c r="Z47" i="45"/>
  <c r="X47" i="45"/>
  <c r="N47" i="45"/>
  <c r="L47" i="45"/>
  <c r="F47" i="45"/>
  <c r="B47" i="45"/>
  <c r="Z46" i="45"/>
  <c r="X46" i="45"/>
  <c r="L46" i="45"/>
  <c r="N46" i="45" s="1"/>
  <c r="B46" i="45"/>
  <c r="Z45" i="45"/>
  <c r="X45" i="45"/>
  <c r="N45" i="45"/>
  <c r="L45" i="45"/>
  <c r="J45" i="45"/>
  <c r="B45" i="45"/>
  <c r="X44" i="45"/>
  <c r="Z44" i="45" s="1"/>
  <c r="N44" i="45"/>
  <c r="L44" i="45"/>
  <c r="J44" i="45"/>
  <c r="B44" i="45"/>
  <c r="Z43" i="45"/>
  <c r="X43" i="45"/>
  <c r="N43" i="45"/>
  <c r="L43" i="45"/>
  <c r="F43" i="45"/>
  <c r="B43" i="45"/>
  <c r="Z42" i="45"/>
  <c r="X42" i="45"/>
  <c r="N42" i="45"/>
  <c r="L42" i="45"/>
  <c r="B42" i="45"/>
  <c r="X41" i="45"/>
  <c r="Z41" i="45" s="1"/>
  <c r="L41" i="45"/>
  <c r="N41" i="45" s="1"/>
  <c r="J41" i="45"/>
  <c r="B41" i="45"/>
  <c r="Z40" i="45"/>
  <c r="X40" i="45"/>
  <c r="N40" i="45"/>
  <c r="L40" i="45"/>
  <c r="J40" i="45"/>
  <c r="B40" i="45"/>
  <c r="T39" i="45"/>
  <c r="P39" i="45"/>
  <c r="X39" i="45" s="1"/>
  <c r="Z39" i="45" s="1"/>
  <c r="L39" i="45"/>
  <c r="H39" i="45"/>
  <c r="D39" i="45"/>
  <c r="B39" i="45"/>
  <c r="X38" i="45"/>
  <c r="Z38" i="45" s="1"/>
  <c r="N38" i="45"/>
  <c r="L38" i="45"/>
  <c r="J38" i="45"/>
  <c r="B38" i="45"/>
  <c r="X37" i="45"/>
  <c r="Z37" i="45" s="1"/>
  <c r="L37" i="45"/>
  <c r="N37" i="45" s="1"/>
  <c r="B37" i="45"/>
  <c r="Z36" i="45"/>
  <c r="X36" i="45"/>
  <c r="L36" i="45"/>
  <c r="N36" i="45" s="1"/>
  <c r="B36" i="45"/>
  <c r="Z35" i="45"/>
  <c r="X35" i="45"/>
  <c r="N35" i="45"/>
  <c r="L35" i="45"/>
  <c r="B35" i="45"/>
  <c r="Z34" i="45"/>
  <c r="X34" i="45"/>
  <c r="N34" i="45"/>
  <c r="L34" i="45"/>
  <c r="J34" i="45"/>
  <c r="B34" i="45"/>
  <c r="X33" i="45"/>
  <c r="Z33" i="45" s="1"/>
  <c r="L33" i="45"/>
  <c r="N33" i="45" s="1"/>
  <c r="B33" i="45"/>
  <c r="Z32" i="45"/>
  <c r="X32" i="45"/>
  <c r="L32" i="45"/>
  <c r="N32" i="45" s="1"/>
  <c r="B32" i="45"/>
  <c r="Z31" i="45"/>
  <c r="X31" i="45"/>
  <c r="L31" i="45"/>
  <c r="N31" i="45" s="1"/>
  <c r="B31" i="45"/>
  <c r="X30" i="45"/>
  <c r="Z30" i="45" s="1"/>
  <c r="L30" i="45"/>
  <c r="N30" i="45" s="1"/>
  <c r="J30" i="45"/>
  <c r="B30" i="45"/>
  <c r="X29" i="45"/>
  <c r="Z29" i="45" s="1"/>
  <c r="L29" i="45"/>
  <c r="N29" i="45" s="1"/>
  <c r="B29" i="45"/>
  <c r="T28" i="45"/>
  <c r="P28" i="45"/>
  <c r="X28" i="45" s="1"/>
  <c r="Z28" i="45" s="1"/>
  <c r="H28" i="45"/>
  <c r="D28" i="45"/>
  <c r="B28" i="45"/>
  <c r="T27" i="45"/>
  <c r="P27" i="45"/>
  <c r="H27" i="45"/>
  <c r="D27" i="45"/>
  <c r="L27" i="45" s="1"/>
  <c r="D25" i="45"/>
  <c r="Z23" i="45"/>
  <c r="X23" i="45"/>
  <c r="N23" i="45"/>
  <c r="L23" i="45"/>
  <c r="B23" i="45"/>
  <c r="Z22" i="45"/>
  <c r="X22" i="45"/>
  <c r="N22" i="45"/>
  <c r="L22" i="45"/>
  <c r="F22" i="45"/>
  <c r="B22" i="45"/>
  <c r="X21" i="45"/>
  <c r="Z21" i="45" s="1"/>
  <c r="L21" i="45"/>
  <c r="N21" i="45" s="1"/>
  <c r="B21" i="45"/>
  <c r="X20" i="45"/>
  <c r="Z20" i="45" s="1"/>
  <c r="T20" i="45"/>
  <c r="P20" i="45"/>
  <c r="J20" i="45"/>
  <c r="H20" i="45"/>
  <c r="D20" i="45"/>
  <c r="L20" i="45" s="1"/>
  <c r="N20" i="45" s="1"/>
  <c r="Z18" i="45"/>
  <c r="X18" i="45"/>
  <c r="P18" i="45"/>
  <c r="N18" i="45"/>
  <c r="L18" i="45"/>
  <c r="D18" i="45"/>
  <c r="B18" i="45"/>
  <c r="Z17" i="45"/>
  <c r="X17" i="45"/>
  <c r="P17" i="45"/>
  <c r="N17" i="45"/>
  <c r="D17" i="45"/>
  <c r="L17" i="45" s="1"/>
  <c r="B17" i="45"/>
  <c r="Z16" i="45"/>
  <c r="P16" i="45"/>
  <c r="X16" i="45" s="1"/>
  <c r="N16" i="45"/>
  <c r="L16" i="45"/>
  <c r="D16" i="45"/>
  <c r="B16" i="45"/>
  <c r="X15" i="45"/>
  <c r="Z15" i="45" s="1"/>
  <c r="P15" i="45"/>
  <c r="L15" i="45"/>
  <c r="N15" i="45" s="1"/>
  <c r="D15" i="45"/>
  <c r="B15" i="45"/>
  <c r="Z14" i="45"/>
  <c r="X14" i="45"/>
  <c r="P14" i="45"/>
  <c r="N14" i="45"/>
  <c r="L14" i="45"/>
  <c r="D14" i="45"/>
  <c r="B14" i="45"/>
  <c r="Z13" i="45"/>
  <c r="P13" i="45"/>
  <c r="N13" i="45"/>
  <c r="D13" i="45"/>
  <c r="L13" i="45" s="1"/>
  <c r="B13" i="45"/>
  <c r="T12" i="45"/>
  <c r="V60" i="45" s="1"/>
  <c r="H12" i="45"/>
  <c r="D12" i="45"/>
  <c r="F89" i="45" s="1"/>
  <c r="D4" i="45"/>
  <c r="Z131" i="42"/>
  <c r="X131" i="42"/>
  <c r="L131" i="42"/>
  <c r="N131" i="42" s="1"/>
  <c r="Z127" i="42"/>
  <c r="P127" i="42"/>
  <c r="X127" i="42" s="1"/>
  <c r="N127" i="42"/>
  <c r="D127" i="42"/>
  <c r="L127" i="42" s="1"/>
  <c r="B127" i="42"/>
  <c r="Z126" i="42"/>
  <c r="X126" i="42"/>
  <c r="P126" i="42"/>
  <c r="N126" i="42"/>
  <c r="L126" i="42"/>
  <c r="D126" i="42"/>
  <c r="B126" i="42"/>
  <c r="X125" i="42"/>
  <c r="Z125" i="42" s="1"/>
  <c r="P125" i="42"/>
  <c r="D125" i="42"/>
  <c r="L125" i="42" s="1"/>
  <c r="N125" i="42" s="1"/>
  <c r="B125" i="42"/>
  <c r="P124" i="42"/>
  <c r="X124" i="42" s="1"/>
  <c r="Z124" i="42" s="1"/>
  <c r="L124" i="42"/>
  <c r="N124" i="42" s="1"/>
  <c r="D124" i="42"/>
  <c r="B124" i="42"/>
  <c r="X123" i="42"/>
  <c r="T123" i="42"/>
  <c r="P123" i="42"/>
  <c r="H123" i="42"/>
  <c r="D123" i="42"/>
  <c r="L123" i="42" s="1"/>
  <c r="X121" i="42"/>
  <c r="Z121" i="42" s="1"/>
  <c r="N121" i="42"/>
  <c r="L121" i="42"/>
  <c r="B121" i="42"/>
  <c r="T120" i="42"/>
  <c r="P120" i="42"/>
  <c r="X120" i="42" s="1"/>
  <c r="L120" i="42"/>
  <c r="N120" i="42" s="1"/>
  <c r="H120" i="42"/>
  <c r="D120" i="42"/>
  <c r="B120" i="42"/>
  <c r="Z119" i="42"/>
  <c r="X119" i="42"/>
  <c r="N119" i="42"/>
  <c r="L119" i="42"/>
  <c r="B119" i="42"/>
  <c r="Z118" i="42"/>
  <c r="X118" i="42"/>
  <c r="N118" i="42"/>
  <c r="L118" i="42"/>
  <c r="J118" i="42"/>
  <c r="B118" i="42"/>
  <c r="Z117" i="42"/>
  <c r="X117" i="42"/>
  <c r="N117" i="42"/>
  <c r="L117" i="42"/>
  <c r="B117" i="42"/>
  <c r="T116" i="42"/>
  <c r="P116" i="42"/>
  <c r="N116" i="42"/>
  <c r="L116" i="42"/>
  <c r="H116" i="42"/>
  <c r="D116" i="42"/>
  <c r="B116" i="42"/>
  <c r="X115" i="42"/>
  <c r="Z115" i="42" s="1"/>
  <c r="L115" i="42"/>
  <c r="N115" i="42" s="1"/>
  <c r="B115" i="42"/>
  <c r="T114" i="42"/>
  <c r="P114" i="42"/>
  <c r="X114" i="42" s="1"/>
  <c r="Z114" i="42" s="1"/>
  <c r="H114" i="42"/>
  <c r="D114" i="42"/>
  <c r="B114" i="42"/>
  <c r="X113" i="42"/>
  <c r="Z113" i="42" s="1"/>
  <c r="N113" i="42"/>
  <c r="L113" i="42"/>
  <c r="B113" i="42"/>
  <c r="X112" i="42"/>
  <c r="Z112" i="42" s="1"/>
  <c r="N112" i="42"/>
  <c r="L112" i="42"/>
  <c r="B112" i="42"/>
  <c r="T111" i="42"/>
  <c r="P111" i="42"/>
  <c r="X111" i="42" s="1"/>
  <c r="Z111" i="42" s="1"/>
  <c r="L111" i="42"/>
  <c r="H111" i="42"/>
  <c r="D111" i="42"/>
  <c r="B111" i="42"/>
  <c r="X110" i="42"/>
  <c r="Z110" i="42" s="1"/>
  <c r="N110" i="42"/>
  <c r="L110" i="42"/>
  <c r="J110" i="42"/>
  <c r="B110" i="42"/>
  <c r="Z109" i="42"/>
  <c r="X109" i="42"/>
  <c r="N109" i="42"/>
  <c r="L109" i="42"/>
  <c r="B109" i="42"/>
  <c r="Z108" i="42"/>
  <c r="X108" i="42"/>
  <c r="N108" i="42"/>
  <c r="L108" i="42"/>
  <c r="B108" i="42"/>
  <c r="X107" i="42"/>
  <c r="Z107" i="42" s="1"/>
  <c r="L107" i="42"/>
  <c r="N107" i="42" s="1"/>
  <c r="B107" i="42"/>
  <c r="X106" i="42"/>
  <c r="Z106" i="42" s="1"/>
  <c r="N106" i="42"/>
  <c r="L106" i="42"/>
  <c r="J106" i="42"/>
  <c r="B106" i="42"/>
  <c r="Z105" i="42"/>
  <c r="X105" i="42"/>
  <c r="N105" i="42"/>
  <c r="L105" i="42"/>
  <c r="B105" i="42"/>
  <c r="Z104" i="42"/>
  <c r="X104" i="42"/>
  <c r="L104" i="42"/>
  <c r="N104" i="42" s="1"/>
  <c r="B104" i="42"/>
  <c r="X103" i="42"/>
  <c r="Z103" i="42" s="1"/>
  <c r="L103" i="42"/>
  <c r="N103" i="42" s="1"/>
  <c r="B103" i="42"/>
  <c r="X102" i="42"/>
  <c r="Z102" i="42" s="1"/>
  <c r="N102" i="42"/>
  <c r="L102" i="42"/>
  <c r="B102" i="42"/>
  <c r="Z101" i="42"/>
  <c r="X101" i="42"/>
  <c r="N101" i="42"/>
  <c r="L101" i="42"/>
  <c r="B101" i="42"/>
  <c r="T100" i="42"/>
  <c r="P100" i="42"/>
  <c r="H100" i="42"/>
  <c r="D100" i="42"/>
  <c r="L100" i="42" s="1"/>
  <c r="N100" i="42" s="1"/>
  <c r="B100" i="42"/>
  <c r="X99" i="42"/>
  <c r="Z99" i="42" s="1"/>
  <c r="N99" i="42"/>
  <c r="L99" i="42"/>
  <c r="B99" i="42"/>
  <c r="V98" i="42"/>
  <c r="T98" i="42"/>
  <c r="P98" i="42"/>
  <c r="X98" i="42" s="1"/>
  <c r="Z98" i="42" s="1"/>
  <c r="L98" i="42"/>
  <c r="H98" i="42"/>
  <c r="N98" i="42" s="1"/>
  <c r="D98" i="42"/>
  <c r="B98" i="42"/>
  <c r="X97" i="42"/>
  <c r="Z97" i="42" s="1"/>
  <c r="N97" i="42"/>
  <c r="L97" i="42"/>
  <c r="B97" i="42"/>
  <c r="X96" i="42"/>
  <c r="Z96" i="42" s="1"/>
  <c r="N96" i="42"/>
  <c r="L96" i="42"/>
  <c r="J96" i="42"/>
  <c r="B96" i="42"/>
  <c r="Z95" i="42"/>
  <c r="X95" i="42"/>
  <c r="L95" i="42"/>
  <c r="N95" i="42" s="1"/>
  <c r="B95" i="42"/>
  <c r="Z94" i="42"/>
  <c r="X94" i="42"/>
  <c r="L94" i="42"/>
  <c r="N94" i="42" s="1"/>
  <c r="B94" i="42"/>
  <c r="X93" i="42"/>
  <c r="Z93" i="42" s="1"/>
  <c r="N93" i="42"/>
  <c r="L93" i="42"/>
  <c r="B93" i="42"/>
  <c r="T92" i="42"/>
  <c r="P92" i="42"/>
  <c r="X92" i="42" s="1"/>
  <c r="N92" i="42"/>
  <c r="L92" i="42"/>
  <c r="H92" i="42"/>
  <c r="D92" i="42"/>
  <c r="B92" i="42"/>
  <c r="X91" i="42"/>
  <c r="Z91" i="42" s="1"/>
  <c r="L91" i="42"/>
  <c r="N91" i="42" s="1"/>
  <c r="B91" i="42"/>
  <c r="X90" i="42"/>
  <c r="Z90" i="42" s="1"/>
  <c r="N90" i="42"/>
  <c r="L90" i="42"/>
  <c r="B90" i="42"/>
  <c r="Z89" i="42"/>
  <c r="X89" i="42"/>
  <c r="N89" i="42"/>
  <c r="L89" i="42"/>
  <c r="B89" i="42"/>
  <c r="V88" i="42"/>
  <c r="T88" i="42"/>
  <c r="P88" i="42"/>
  <c r="H88" i="42"/>
  <c r="D88" i="42"/>
  <c r="L88" i="42" s="1"/>
  <c r="B88" i="42"/>
  <c r="X87" i="42"/>
  <c r="Z87" i="42" s="1"/>
  <c r="N87" i="42"/>
  <c r="L87" i="42"/>
  <c r="B87" i="42"/>
  <c r="Z86" i="42"/>
  <c r="X86" i="42"/>
  <c r="L86" i="42"/>
  <c r="N86" i="42" s="1"/>
  <c r="B86" i="42"/>
  <c r="Z85" i="42"/>
  <c r="X85" i="42"/>
  <c r="N85" i="42"/>
  <c r="L85" i="42"/>
  <c r="B85" i="42"/>
  <c r="X84" i="42"/>
  <c r="Z84" i="42" s="1"/>
  <c r="L84" i="42"/>
  <c r="N84" i="42" s="1"/>
  <c r="B84" i="42"/>
  <c r="X83" i="42"/>
  <c r="T83" i="42"/>
  <c r="Z83" i="42" s="1"/>
  <c r="P83" i="42"/>
  <c r="H83" i="42"/>
  <c r="D83" i="42"/>
  <c r="L83" i="42" s="1"/>
  <c r="B83" i="42"/>
  <c r="X82" i="42"/>
  <c r="Z82" i="42" s="1"/>
  <c r="N82" i="42"/>
  <c r="L82" i="42"/>
  <c r="B82" i="42"/>
  <c r="Z81" i="42"/>
  <c r="X81" i="42"/>
  <c r="T81" i="42"/>
  <c r="R81" i="42"/>
  <c r="P81" i="42"/>
  <c r="H81" i="42"/>
  <c r="D81" i="42"/>
  <c r="L81" i="42" s="1"/>
  <c r="N81" i="42" s="1"/>
  <c r="B81" i="42"/>
  <c r="Z80" i="42"/>
  <c r="X80" i="42"/>
  <c r="N80" i="42"/>
  <c r="L80" i="42"/>
  <c r="B80" i="42"/>
  <c r="T79" i="42"/>
  <c r="Z79" i="42" s="1"/>
  <c r="P79" i="42"/>
  <c r="X79" i="42" s="1"/>
  <c r="N79" i="42"/>
  <c r="H79" i="42"/>
  <c r="D79" i="42"/>
  <c r="L79" i="42" s="1"/>
  <c r="B79" i="42"/>
  <c r="Z78" i="42"/>
  <c r="X78" i="42"/>
  <c r="V78" i="42"/>
  <c r="N78" i="42"/>
  <c r="L78" i="42"/>
  <c r="B78" i="42"/>
  <c r="X77" i="42"/>
  <c r="T77" i="42"/>
  <c r="P77" i="42"/>
  <c r="H77" i="42"/>
  <c r="D77" i="42"/>
  <c r="B77" i="42"/>
  <c r="Z76" i="42"/>
  <c r="X76" i="42"/>
  <c r="L76" i="42"/>
  <c r="N76" i="42" s="1"/>
  <c r="B76" i="42"/>
  <c r="T75" i="42"/>
  <c r="P75" i="42"/>
  <c r="H75" i="42"/>
  <c r="N75" i="42" s="1"/>
  <c r="D75" i="42"/>
  <c r="L75" i="42" s="1"/>
  <c r="B75" i="42"/>
  <c r="Z74" i="42"/>
  <c r="X74" i="42"/>
  <c r="V74" i="42"/>
  <c r="L74" i="42"/>
  <c r="N74" i="42" s="1"/>
  <c r="B74" i="42"/>
  <c r="X73" i="42"/>
  <c r="Z73" i="42" s="1"/>
  <c r="L73" i="42"/>
  <c r="N73" i="42" s="1"/>
  <c r="J73" i="42"/>
  <c r="B73" i="42"/>
  <c r="X72" i="42"/>
  <c r="Z72" i="42" s="1"/>
  <c r="T72" i="42"/>
  <c r="P72" i="42"/>
  <c r="H72" i="42"/>
  <c r="D72" i="42"/>
  <c r="B72" i="42"/>
  <c r="Z71" i="42"/>
  <c r="X71" i="42"/>
  <c r="N71" i="42"/>
  <c r="L71" i="42"/>
  <c r="B71" i="42"/>
  <c r="T70" i="42"/>
  <c r="P70" i="42"/>
  <c r="H70" i="42"/>
  <c r="D70" i="42"/>
  <c r="L70" i="42" s="1"/>
  <c r="N70" i="42" s="1"/>
  <c r="B70" i="42"/>
  <c r="Z69" i="42"/>
  <c r="X69" i="42"/>
  <c r="L69" i="42"/>
  <c r="N69" i="42" s="1"/>
  <c r="B69" i="42"/>
  <c r="X68" i="42"/>
  <c r="Z68" i="42" s="1"/>
  <c r="T68" i="42"/>
  <c r="P68" i="42"/>
  <c r="J68" i="42"/>
  <c r="H68" i="42"/>
  <c r="D68" i="42"/>
  <c r="L68" i="42" s="1"/>
  <c r="B68" i="42"/>
  <c r="Z67" i="42"/>
  <c r="X67" i="42"/>
  <c r="N67" i="42"/>
  <c r="L67" i="42"/>
  <c r="B67" i="42"/>
  <c r="T66" i="42"/>
  <c r="P66" i="42"/>
  <c r="L66" i="42"/>
  <c r="N66" i="42" s="1"/>
  <c r="H66" i="42"/>
  <c r="D66" i="42"/>
  <c r="B66" i="42"/>
  <c r="X65" i="42"/>
  <c r="Z65" i="42" s="1"/>
  <c r="V65" i="42"/>
  <c r="N65" i="42"/>
  <c r="L65" i="42"/>
  <c r="B65" i="42"/>
  <c r="Z64" i="42"/>
  <c r="X64" i="42"/>
  <c r="L64" i="42"/>
  <c r="N64" i="42" s="1"/>
  <c r="B64" i="42"/>
  <c r="Z63" i="42"/>
  <c r="X63" i="42"/>
  <c r="N63" i="42"/>
  <c r="L63" i="42"/>
  <c r="B63" i="42"/>
  <c r="X62" i="42"/>
  <c r="Z62" i="42" s="1"/>
  <c r="N62" i="42"/>
  <c r="L62" i="42"/>
  <c r="J62" i="42"/>
  <c r="B62" i="42"/>
  <c r="X61" i="42"/>
  <c r="Z61" i="42" s="1"/>
  <c r="V61" i="42"/>
  <c r="T61" i="42"/>
  <c r="P61" i="42"/>
  <c r="H61" i="42"/>
  <c r="D61" i="42"/>
  <c r="B61" i="42"/>
  <c r="X60" i="42"/>
  <c r="Z60" i="42" s="1"/>
  <c r="L60" i="42"/>
  <c r="N60" i="42" s="1"/>
  <c r="B60" i="42"/>
  <c r="T59" i="42"/>
  <c r="P59" i="42"/>
  <c r="H59" i="42"/>
  <c r="N59" i="42" s="1"/>
  <c r="D59" i="42"/>
  <c r="L59" i="42" s="1"/>
  <c r="B59" i="42"/>
  <c r="Z58" i="42"/>
  <c r="X58" i="42"/>
  <c r="V58" i="42"/>
  <c r="L58" i="42"/>
  <c r="N58" i="42" s="1"/>
  <c r="B58" i="42"/>
  <c r="X57" i="42"/>
  <c r="T57" i="42"/>
  <c r="Z57" i="42" s="1"/>
  <c r="P57" i="42"/>
  <c r="H57" i="42"/>
  <c r="D57" i="42"/>
  <c r="L57" i="42" s="1"/>
  <c r="N57" i="42" s="1"/>
  <c r="B57" i="42"/>
  <c r="Z56" i="42"/>
  <c r="X56" i="42"/>
  <c r="L56" i="42"/>
  <c r="N56" i="42" s="1"/>
  <c r="B56" i="42"/>
  <c r="T55" i="42"/>
  <c r="P55" i="42"/>
  <c r="L55" i="42"/>
  <c r="N55" i="42" s="1"/>
  <c r="J55" i="42"/>
  <c r="H55" i="42"/>
  <c r="D55" i="42"/>
  <c r="B55" i="42"/>
  <c r="Z54" i="42"/>
  <c r="X54" i="42"/>
  <c r="V54" i="42"/>
  <c r="N54" i="42"/>
  <c r="L54" i="42"/>
  <c r="J54" i="42"/>
  <c r="B54" i="42"/>
  <c r="Z53" i="42"/>
  <c r="X53" i="42"/>
  <c r="N53" i="42"/>
  <c r="L53" i="42"/>
  <c r="B53" i="42"/>
  <c r="X52" i="42"/>
  <c r="Z52" i="42" s="1"/>
  <c r="L52" i="42"/>
  <c r="N52" i="42" s="1"/>
  <c r="B52" i="42"/>
  <c r="Z51" i="42"/>
  <c r="X51" i="42"/>
  <c r="N51" i="42"/>
  <c r="L51" i="42"/>
  <c r="B51" i="42"/>
  <c r="Z50" i="42"/>
  <c r="X50" i="42"/>
  <c r="V50" i="42"/>
  <c r="N50" i="42"/>
  <c r="L50" i="42"/>
  <c r="J50" i="42"/>
  <c r="B50" i="42"/>
  <c r="X49" i="42"/>
  <c r="Z49" i="42" s="1"/>
  <c r="L49" i="42"/>
  <c r="N49" i="42" s="1"/>
  <c r="B49" i="42"/>
  <c r="X48" i="42"/>
  <c r="Z48" i="42" s="1"/>
  <c r="L48" i="42"/>
  <c r="N48" i="42" s="1"/>
  <c r="B48" i="42"/>
  <c r="Z47" i="42"/>
  <c r="X47" i="42"/>
  <c r="N47" i="42"/>
  <c r="L47" i="42"/>
  <c r="B47" i="42"/>
  <c r="Z46" i="42"/>
  <c r="X46" i="42"/>
  <c r="V46" i="42"/>
  <c r="N46" i="42"/>
  <c r="L46" i="42"/>
  <c r="J46" i="42"/>
  <c r="B46" i="42"/>
  <c r="X45" i="42"/>
  <c r="Z45" i="42" s="1"/>
  <c r="L45" i="42"/>
  <c r="N45" i="42" s="1"/>
  <c r="B45" i="42"/>
  <c r="X44" i="42"/>
  <c r="Z44" i="42" s="1"/>
  <c r="T44" i="42"/>
  <c r="P44" i="42"/>
  <c r="J44" i="42"/>
  <c r="H44" i="42"/>
  <c r="N44" i="42" s="1"/>
  <c r="D44" i="42"/>
  <c r="L44" i="42" s="1"/>
  <c r="B44" i="42"/>
  <c r="Z43" i="42"/>
  <c r="X43" i="42"/>
  <c r="N43" i="42"/>
  <c r="L43" i="42"/>
  <c r="B43" i="42"/>
  <c r="Z42" i="42"/>
  <c r="X42" i="42"/>
  <c r="V42" i="42"/>
  <c r="L42" i="42"/>
  <c r="N42" i="42" s="1"/>
  <c r="B42" i="42"/>
  <c r="X41" i="42"/>
  <c r="Z41" i="42" s="1"/>
  <c r="L41" i="42"/>
  <c r="N41" i="42" s="1"/>
  <c r="J41" i="42"/>
  <c r="B41" i="42"/>
  <c r="Z40" i="42"/>
  <c r="X40" i="42"/>
  <c r="N40" i="42"/>
  <c r="L40" i="42"/>
  <c r="B40" i="42"/>
  <c r="Z39" i="42"/>
  <c r="X39" i="42"/>
  <c r="N39" i="42"/>
  <c r="L39" i="42"/>
  <c r="B39" i="42"/>
  <c r="Z38" i="42"/>
  <c r="X38" i="42"/>
  <c r="V38" i="42"/>
  <c r="L38" i="42"/>
  <c r="N38" i="42" s="1"/>
  <c r="B38" i="42"/>
  <c r="X37" i="42"/>
  <c r="Z37" i="42" s="1"/>
  <c r="L37" i="42"/>
  <c r="N37" i="42" s="1"/>
  <c r="J37" i="42"/>
  <c r="B37" i="42"/>
  <c r="X36" i="42"/>
  <c r="Z36" i="42" s="1"/>
  <c r="N36" i="42"/>
  <c r="L36" i="42"/>
  <c r="B36" i="42"/>
  <c r="Z35" i="42"/>
  <c r="X35" i="42"/>
  <c r="N35" i="42"/>
  <c r="L35" i="42"/>
  <c r="B35" i="42"/>
  <c r="Z34" i="42"/>
  <c r="X34" i="42"/>
  <c r="V34" i="42"/>
  <c r="L34" i="42"/>
  <c r="N34" i="42" s="1"/>
  <c r="B34" i="42"/>
  <c r="X33" i="42"/>
  <c r="V33" i="42"/>
  <c r="T33" i="42"/>
  <c r="Z33" i="42" s="1"/>
  <c r="P33" i="42"/>
  <c r="N33" i="42"/>
  <c r="H33" i="42"/>
  <c r="D33" i="42"/>
  <c r="L33" i="42" s="1"/>
  <c r="B33" i="42"/>
  <c r="T32" i="42"/>
  <c r="P32" i="42"/>
  <c r="X32" i="42" s="1"/>
  <c r="Z32" i="42" s="1"/>
  <c r="H32" i="42"/>
  <c r="D32" i="42"/>
  <c r="L32" i="42" s="1"/>
  <c r="T30" i="42"/>
  <c r="T129" i="42" s="1"/>
  <c r="Z28" i="42"/>
  <c r="X28" i="42"/>
  <c r="N28" i="42"/>
  <c r="L28" i="42"/>
  <c r="B28" i="42"/>
  <c r="Z27" i="42"/>
  <c r="X27" i="42"/>
  <c r="N27" i="42"/>
  <c r="L27" i="42"/>
  <c r="J27" i="42"/>
  <c r="B27" i="42"/>
  <c r="X26" i="42"/>
  <c r="Z26" i="42" s="1"/>
  <c r="N26" i="42"/>
  <c r="L26" i="42"/>
  <c r="J26" i="42"/>
  <c r="B26" i="42"/>
  <c r="Z25" i="42"/>
  <c r="X25" i="42"/>
  <c r="V25" i="42"/>
  <c r="T25" i="42"/>
  <c r="P25" i="42"/>
  <c r="H25" i="42"/>
  <c r="D25" i="42"/>
  <c r="Z23" i="42"/>
  <c r="P23" i="42"/>
  <c r="X23" i="42" s="1"/>
  <c r="N23" i="42"/>
  <c r="D23" i="42"/>
  <c r="L23" i="42" s="1"/>
  <c r="B23" i="42"/>
  <c r="Z22" i="42"/>
  <c r="P22" i="42"/>
  <c r="X22" i="42" s="1"/>
  <c r="N22" i="42"/>
  <c r="D22" i="42"/>
  <c r="L22" i="42" s="1"/>
  <c r="B22" i="42"/>
  <c r="Z21" i="42"/>
  <c r="P21" i="42"/>
  <c r="X21" i="42" s="1"/>
  <c r="N21" i="42"/>
  <c r="L21" i="42"/>
  <c r="D21" i="42"/>
  <c r="B21" i="42"/>
  <c r="Z20" i="42"/>
  <c r="X20" i="42"/>
  <c r="P20" i="42"/>
  <c r="N20" i="42"/>
  <c r="D20" i="42"/>
  <c r="L20" i="42" s="1"/>
  <c r="B20" i="42"/>
  <c r="P19" i="42"/>
  <c r="X19" i="42" s="1"/>
  <c r="Z19" i="42" s="1"/>
  <c r="D19" i="42"/>
  <c r="B19" i="42"/>
  <c r="Z18" i="42"/>
  <c r="X18" i="42"/>
  <c r="P18" i="42"/>
  <c r="N18" i="42"/>
  <c r="L18" i="42"/>
  <c r="D18" i="42"/>
  <c r="B18" i="42"/>
  <c r="Z17" i="42"/>
  <c r="X17" i="42"/>
  <c r="P17" i="42"/>
  <c r="N17" i="42"/>
  <c r="L17" i="42"/>
  <c r="D17" i="42"/>
  <c r="B17" i="42"/>
  <c r="Z16" i="42"/>
  <c r="X16" i="42"/>
  <c r="P16" i="42"/>
  <c r="N16" i="42"/>
  <c r="D16" i="42"/>
  <c r="L16" i="42" s="1"/>
  <c r="B16" i="42"/>
  <c r="Z15" i="42"/>
  <c r="X15" i="42"/>
  <c r="P15" i="42"/>
  <c r="N15" i="42"/>
  <c r="L15" i="42"/>
  <c r="D15" i="42"/>
  <c r="B15" i="42"/>
  <c r="Z14" i="42"/>
  <c r="P14" i="42"/>
  <c r="X14" i="42" s="1"/>
  <c r="N14" i="42"/>
  <c r="L14" i="42"/>
  <c r="D14" i="42"/>
  <c r="B14" i="42"/>
  <c r="P13" i="42"/>
  <c r="P12" i="42" s="1"/>
  <c r="R38" i="42" s="1"/>
  <c r="L13" i="42"/>
  <c r="N13" i="42" s="1"/>
  <c r="D13" i="42"/>
  <c r="B13" i="42"/>
  <c r="T12" i="42"/>
  <c r="V115" i="42" s="1"/>
  <c r="H12" i="42"/>
  <c r="D4" i="42"/>
  <c r="X144" i="39"/>
  <c r="Z144" i="39" s="1"/>
  <c r="L144" i="39"/>
  <c r="N144" i="39" s="1"/>
  <c r="Z140" i="39"/>
  <c r="X140" i="39"/>
  <c r="V140" i="39"/>
  <c r="P140" i="39"/>
  <c r="N140" i="39"/>
  <c r="D140" i="39"/>
  <c r="L140" i="39" s="1"/>
  <c r="B140" i="39"/>
  <c r="Z139" i="39"/>
  <c r="X139" i="39"/>
  <c r="P139" i="39"/>
  <c r="N139" i="39"/>
  <c r="L139" i="39"/>
  <c r="D139" i="39"/>
  <c r="B139" i="39"/>
  <c r="P138" i="39"/>
  <c r="D138" i="39"/>
  <c r="L138" i="39" s="1"/>
  <c r="N138" i="39" s="1"/>
  <c r="B138" i="39"/>
  <c r="P137" i="39"/>
  <c r="X137" i="39" s="1"/>
  <c r="Z137" i="39" s="1"/>
  <c r="D137" i="39"/>
  <c r="L137" i="39" s="1"/>
  <c r="N137" i="39" s="1"/>
  <c r="B137" i="39"/>
  <c r="T136" i="39"/>
  <c r="H136" i="39"/>
  <c r="X134" i="39"/>
  <c r="Z134" i="39" s="1"/>
  <c r="N134" i="39"/>
  <c r="L134" i="39"/>
  <c r="B134" i="39"/>
  <c r="X133" i="39"/>
  <c r="T133" i="39"/>
  <c r="Z133" i="39" s="1"/>
  <c r="P133" i="39"/>
  <c r="H133" i="39"/>
  <c r="D133" i="39"/>
  <c r="B133" i="39"/>
  <c r="Z132" i="39"/>
  <c r="X132" i="39"/>
  <c r="N132" i="39"/>
  <c r="L132" i="39"/>
  <c r="B132" i="39"/>
  <c r="Z131" i="39"/>
  <c r="X131" i="39"/>
  <c r="N131" i="39"/>
  <c r="L131" i="39"/>
  <c r="B131" i="39"/>
  <c r="Z130" i="39"/>
  <c r="X130" i="39"/>
  <c r="V130" i="39"/>
  <c r="N130" i="39"/>
  <c r="L130" i="39"/>
  <c r="B130" i="39"/>
  <c r="T129" i="39"/>
  <c r="P129" i="39"/>
  <c r="X129" i="39" s="1"/>
  <c r="Z129" i="39" s="1"/>
  <c r="H129" i="39"/>
  <c r="N129" i="39" s="1"/>
  <c r="D129" i="39"/>
  <c r="L129" i="39" s="1"/>
  <c r="B129" i="39"/>
  <c r="Z128" i="39"/>
  <c r="X128" i="39"/>
  <c r="V128" i="39"/>
  <c r="N128" i="39"/>
  <c r="L128" i="39"/>
  <c r="B128" i="39"/>
  <c r="V127" i="39"/>
  <c r="T127" i="39"/>
  <c r="P127" i="39"/>
  <c r="X127" i="39" s="1"/>
  <c r="L127" i="39"/>
  <c r="N127" i="39" s="1"/>
  <c r="H127" i="39"/>
  <c r="D127" i="39"/>
  <c r="B127" i="39"/>
  <c r="X126" i="39"/>
  <c r="Z126" i="39" s="1"/>
  <c r="N126" i="39"/>
  <c r="L126" i="39"/>
  <c r="B126" i="39"/>
  <c r="X125" i="39"/>
  <c r="Z125" i="39" s="1"/>
  <c r="N125" i="39"/>
  <c r="L125" i="39"/>
  <c r="B125" i="39"/>
  <c r="T124" i="39"/>
  <c r="P124" i="39"/>
  <c r="X124" i="39" s="1"/>
  <c r="Z124" i="39" s="1"/>
  <c r="L124" i="39"/>
  <c r="N124" i="39" s="1"/>
  <c r="H124" i="39"/>
  <c r="D124" i="39"/>
  <c r="B124" i="39"/>
  <c r="X123" i="39"/>
  <c r="Z123" i="39" s="1"/>
  <c r="L123" i="39"/>
  <c r="N123" i="39" s="1"/>
  <c r="B123" i="39"/>
  <c r="Z122" i="39"/>
  <c r="X122" i="39"/>
  <c r="V122" i="39"/>
  <c r="L122" i="39"/>
  <c r="N122" i="39" s="1"/>
  <c r="B122" i="39"/>
  <c r="Z121" i="39"/>
  <c r="X121" i="39"/>
  <c r="N121" i="39"/>
  <c r="L121" i="39"/>
  <c r="B121" i="39"/>
  <c r="Z120" i="39"/>
  <c r="X120" i="39"/>
  <c r="N120" i="39"/>
  <c r="L120" i="39"/>
  <c r="B120" i="39"/>
  <c r="X119" i="39"/>
  <c r="Z119" i="39" s="1"/>
  <c r="L119" i="39"/>
  <c r="N119" i="39" s="1"/>
  <c r="B119" i="39"/>
  <c r="Z118" i="39"/>
  <c r="X118" i="39"/>
  <c r="V118" i="39"/>
  <c r="L118" i="39"/>
  <c r="N118" i="39" s="1"/>
  <c r="B118" i="39"/>
  <c r="Z117" i="39"/>
  <c r="X117" i="39"/>
  <c r="L117" i="39"/>
  <c r="N117" i="39" s="1"/>
  <c r="B117" i="39"/>
  <c r="Z116" i="39"/>
  <c r="X116" i="39"/>
  <c r="N116" i="39"/>
  <c r="L116" i="39"/>
  <c r="B116" i="39"/>
  <c r="X115" i="39"/>
  <c r="Z115" i="39" s="1"/>
  <c r="L115" i="39"/>
  <c r="N115" i="39" s="1"/>
  <c r="B115" i="39"/>
  <c r="Z114" i="39"/>
  <c r="X114" i="39"/>
  <c r="V114" i="39"/>
  <c r="L114" i="39"/>
  <c r="N114" i="39" s="1"/>
  <c r="B114" i="39"/>
  <c r="T113" i="39"/>
  <c r="P113" i="39"/>
  <c r="X113" i="39" s="1"/>
  <c r="Z113" i="39" s="1"/>
  <c r="H113" i="39"/>
  <c r="D113" i="39"/>
  <c r="L113" i="39" s="1"/>
  <c r="B113" i="39"/>
  <c r="Z112" i="39"/>
  <c r="X112" i="39"/>
  <c r="V112" i="39"/>
  <c r="N112" i="39"/>
  <c r="L112" i="39"/>
  <c r="B112" i="39"/>
  <c r="V111" i="39"/>
  <c r="T111" i="39"/>
  <c r="P111" i="39"/>
  <c r="X111" i="39" s="1"/>
  <c r="L111" i="39"/>
  <c r="N111" i="39" s="1"/>
  <c r="H111" i="39"/>
  <c r="D111" i="39"/>
  <c r="B111" i="39"/>
  <c r="X110" i="39"/>
  <c r="Z110" i="39" s="1"/>
  <c r="N110" i="39"/>
  <c r="L110" i="39"/>
  <c r="B110" i="39"/>
  <c r="X109" i="39"/>
  <c r="Z109" i="39" s="1"/>
  <c r="N109" i="39"/>
  <c r="L109" i="39"/>
  <c r="B109" i="39"/>
  <c r="Z108" i="39"/>
  <c r="X108" i="39"/>
  <c r="N108" i="39"/>
  <c r="L108" i="39"/>
  <c r="B108" i="39"/>
  <c r="X107" i="39"/>
  <c r="Z107" i="39" s="1"/>
  <c r="L107" i="39"/>
  <c r="N107" i="39" s="1"/>
  <c r="B107" i="39"/>
  <c r="X106" i="39"/>
  <c r="Z106" i="39" s="1"/>
  <c r="N106" i="39"/>
  <c r="L106" i="39"/>
  <c r="B106" i="39"/>
  <c r="Z105" i="39"/>
  <c r="X105" i="39"/>
  <c r="N105" i="39"/>
  <c r="L105" i="39"/>
  <c r="B105" i="39"/>
  <c r="Z104" i="39"/>
  <c r="T104" i="39"/>
  <c r="P104" i="39"/>
  <c r="X104" i="39" s="1"/>
  <c r="L104" i="39"/>
  <c r="N104" i="39" s="1"/>
  <c r="H104" i="39"/>
  <c r="D104" i="39"/>
  <c r="B104" i="39"/>
  <c r="X103" i="39"/>
  <c r="Z103" i="39" s="1"/>
  <c r="L103" i="39"/>
  <c r="N103" i="39" s="1"/>
  <c r="B103" i="39"/>
  <c r="Z102" i="39"/>
  <c r="X102" i="39"/>
  <c r="V102" i="39"/>
  <c r="N102" i="39"/>
  <c r="L102" i="39"/>
  <c r="B102" i="39"/>
  <c r="Z101" i="39"/>
  <c r="X101" i="39"/>
  <c r="L101" i="39"/>
  <c r="N101" i="39" s="1"/>
  <c r="B101" i="39"/>
  <c r="T100" i="39"/>
  <c r="P100" i="39"/>
  <c r="X100" i="39" s="1"/>
  <c r="N100" i="39"/>
  <c r="L100" i="39"/>
  <c r="H100" i="39"/>
  <c r="D100" i="39"/>
  <c r="B100" i="39"/>
  <c r="X99" i="39"/>
  <c r="Z99" i="39" s="1"/>
  <c r="V99" i="39"/>
  <c r="L99" i="39"/>
  <c r="N99" i="39" s="1"/>
  <c r="B99" i="39"/>
  <c r="X98" i="39"/>
  <c r="Z98" i="39" s="1"/>
  <c r="L98" i="39"/>
  <c r="N98" i="39" s="1"/>
  <c r="B98" i="39"/>
  <c r="X97" i="39"/>
  <c r="Z97" i="39" s="1"/>
  <c r="N97" i="39"/>
  <c r="L97" i="39"/>
  <c r="B97" i="39"/>
  <c r="Z96" i="39"/>
  <c r="X96" i="39"/>
  <c r="V96" i="39"/>
  <c r="N96" i="39"/>
  <c r="L96" i="39"/>
  <c r="B96" i="39"/>
  <c r="V95" i="39"/>
  <c r="T95" i="39"/>
  <c r="P95" i="39"/>
  <c r="X95" i="39" s="1"/>
  <c r="L95" i="39"/>
  <c r="N95" i="39" s="1"/>
  <c r="H95" i="39"/>
  <c r="D95" i="39"/>
  <c r="B95" i="39"/>
  <c r="X94" i="39"/>
  <c r="Z94" i="39" s="1"/>
  <c r="N94" i="39"/>
  <c r="L94" i="39"/>
  <c r="B94" i="39"/>
  <c r="X93" i="39"/>
  <c r="Z93" i="39" s="1"/>
  <c r="T93" i="39"/>
  <c r="P93" i="39"/>
  <c r="H93" i="39"/>
  <c r="L93" i="39" s="1"/>
  <c r="D93" i="39"/>
  <c r="B93" i="39"/>
  <c r="Z92" i="39"/>
  <c r="X92" i="39"/>
  <c r="N92" i="39"/>
  <c r="L92" i="39"/>
  <c r="B92" i="39"/>
  <c r="T91" i="39"/>
  <c r="Z91" i="39" s="1"/>
  <c r="P91" i="39"/>
  <c r="X91" i="39" s="1"/>
  <c r="N91" i="39"/>
  <c r="H91" i="39"/>
  <c r="D91" i="39"/>
  <c r="L91" i="39" s="1"/>
  <c r="B91" i="39"/>
  <c r="Z90" i="39"/>
  <c r="X90" i="39"/>
  <c r="N90" i="39"/>
  <c r="L90" i="39"/>
  <c r="B90" i="39"/>
  <c r="Z89" i="39"/>
  <c r="X89" i="39"/>
  <c r="T89" i="39"/>
  <c r="P89" i="39"/>
  <c r="H89" i="39"/>
  <c r="N89" i="39" s="1"/>
  <c r="D89" i="39"/>
  <c r="L89" i="39" s="1"/>
  <c r="B89" i="39"/>
  <c r="Z88" i="39"/>
  <c r="X88" i="39"/>
  <c r="N88" i="39"/>
  <c r="L88" i="39"/>
  <c r="B88" i="39"/>
  <c r="T87" i="39"/>
  <c r="X87" i="39" s="1"/>
  <c r="P87" i="39"/>
  <c r="L87" i="39"/>
  <c r="N87" i="39" s="1"/>
  <c r="H87" i="39"/>
  <c r="D87" i="39"/>
  <c r="B87" i="39"/>
  <c r="Z86" i="39"/>
  <c r="X86" i="39"/>
  <c r="V86" i="39"/>
  <c r="L86" i="39"/>
  <c r="N86" i="39" s="1"/>
  <c r="B86" i="39"/>
  <c r="T85" i="39"/>
  <c r="P85" i="39"/>
  <c r="X85" i="39" s="1"/>
  <c r="Z85" i="39" s="1"/>
  <c r="H85" i="39"/>
  <c r="D85" i="39"/>
  <c r="L85" i="39" s="1"/>
  <c r="B85" i="39"/>
  <c r="Z84" i="39"/>
  <c r="X84" i="39"/>
  <c r="V84" i="39"/>
  <c r="N84" i="39"/>
  <c r="L84" i="39"/>
  <c r="B84" i="39"/>
  <c r="X83" i="39"/>
  <c r="Z83" i="39" s="1"/>
  <c r="V83" i="39"/>
  <c r="L83" i="39"/>
  <c r="N83" i="39" s="1"/>
  <c r="B83" i="39"/>
  <c r="T82" i="39"/>
  <c r="P82" i="39"/>
  <c r="X82" i="39" s="1"/>
  <c r="Z82" i="39" s="1"/>
  <c r="H82" i="39"/>
  <c r="D82" i="39"/>
  <c r="B82" i="39"/>
  <c r="Z81" i="39"/>
  <c r="X81" i="39"/>
  <c r="N81" i="39"/>
  <c r="L81" i="39"/>
  <c r="B81" i="39"/>
  <c r="Z80" i="39"/>
  <c r="T80" i="39"/>
  <c r="P80" i="39"/>
  <c r="X80" i="39" s="1"/>
  <c r="N80" i="39"/>
  <c r="L80" i="39"/>
  <c r="H80" i="39"/>
  <c r="D80" i="39"/>
  <c r="B80" i="39"/>
  <c r="X79" i="39"/>
  <c r="Z79" i="39" s="1"/>
  <c r="L79" i="39"/>
  <c r="N79" i="39" s="1"/>
  <c r="B79" i="39"/>
  <c r="Z78" i="39"/>
  <c r="X78" i="39"/>
  <c r="V78" i="39"/>
  <c r="T78" i="39"/>
  <c r="P78" i="39"/>
  <c r="H78" i="39"/>
  <c r="D78" i="39"/>
  <c r="B78" i="39"/>
  <c r="X77" i="39"/>
  <c r="Z77" i="39" s="1"/>
  <c r="L77" i="39"/>
  <c r="N77" i="39" s="1"/>
  <c r="B77" i="39"/>
  <c r="V76" i="39"/>
  <c r="T76" i="39"/>
  <c r="P76" i="39"/>
  <c r="X76" i="39" s="1"/>
  <c r="H76" i="39"/>
  <c r="N76" i="39" s="1"/>
  <c r="D76" i="39"/>
  <c r="L76" i="39" s="1"/>
  <c r="B76" i="39"/>
  <c r="X75" i="39"/>
  <c r="Z75" i="39" s="1"/>
  <c r="L75" i="39"/>
  <c r="N75" i="39" s="1"/>
  <c r="B75" i="39"/>
  <c r="X74" i="39"/>
  <c r="T74" i="39"/>
  <c r="Z74" i="39" s="1"/>
  <c r="P74" i="39"/>
  <c r="N74" i="39"/>
  <c r="H74" i="39"/>
  <c r="D74" i="39"/>
  <c r="L74" i="39" s="1"/>
  <c r="B74" i="39"/>
  <c r="Z73" i="39"/>
  <c r="X73" i="39"/>
  <c r="N73" i="39"/>
  <c r="L73" i="39"/>
  <c r="B73" i="39"/>
  <c r="T72" i="39"/>
  <c r="P72" i="39"/>
  <c r="N72" i="39"/>
  <c r="L72" i="39"/>
  <c r="H72" i="39"/>
  <c r="D72" i="39"/>
  <c r="B72" i="39"/>
  <c r="Z71" i="39"/>
  <c r="X71" i="39"/>
  <c r="V71" i="39"/>
  <c r="L71" i="39"/>
  <c r="N71" i="39" s="1"/>
  <c r="B71" i="39"/>
  <c r="X70" i="39"/>
  <c r="Z70" i="39" s="1"/>
  <c r="L70" i="39"/>
  <c r="N70" i="39" s="1"/>
  <c r="B70" i="39"/>
  <c r="X69" i="39"/>
  <c r="Z69" i="39" s="1"/>
  <c r="L69" i="39"/>
  <c r="N69" i="39" s="1"/>
  <c r="B69" i="39"/>
  <c r="Z68" i="39"/>
  <c r="X68" i="39"/>
  <c r="V68" i="39"/>
  <c r="N68" i="39"/>
  <c r="L68" i="39"/>
  <c r="B68" i="39"/>
  <c r="V67" i="39"/>
  <c r="T67" i="39"/>
  <c r="Z67" i="39" s="1"/>
  <c r="P67" i="39"/>
  <c r="X67" i="39" s="1"/>
  <c r="L67" i="39"/>
  <c r="N67" i="39" s="1"/>
  <c r="H67" i="39"/>
  <c r="D67" i="39"/>
  <c r="B67" i="39"/>
  <c r="X66" i="39"/>
  <c r="Z66" i="39" s="1"/>
  <c r="N66" i="39"/>
  <c r="L66" i="39"/>
  <c r="B66" i="39"/>
  <c r="X65" i="39"/>
  <c r="Z65" i="39" s="1"/>
  <c r="T65" i="39"/>
  <c r="P65" i="39"/>
  <c r="H65" i="39"/>
  <c r="D65" i="39"/>
  <c r="B65" i="39"/>
  <c r="Z64" i="39"/>
  <c r="X64" i="39"/>
  <c r="N64" i="39"/>
  <c r="L64" i="39"/>
  <c r="B64" i="39"/>
  <c r="T63" i="39"/>
  <c r="P63" i="39"/>
  <c r="N63" i="39"/>
  <c r="H63" i="39"/>
  <c r="D63" i="39"/>
  <c r="L63" i="39" s="1"/>
  <c r="B63" i="39"/>
  <c r="X62" i="39"/>
  <c r="Z62" i="39" s="1"/>
  <c r="L62" i="39"/>
  <c r="N62" i="39" s="1"/>
  <c r="B62" i="39"/>
  <c r="X61" i="39"/>
  <c r="Z61" i="39" s="1"/>
  <c r="T61" i="39"/>
  <c r="P61" i="39"/>
  <c r="H61" i="39"/>
  <c r="D61" i="39"/>
  <c r="L61" i="39" s="1"/>
  <c r="B61" i="39"/>
  <c r="Z60" i="39"/>
  <c r="X60" i="39"/>
  <c r="N60" i="39"/>
  <c r="L60" i="39"/>
  <c r="B60" i="39"/>
  <c r="Z59" i="39"/>
  <c r="X59" i="39"/>
  <c r="N59" i="39"/>
  <c r="L59" i="39"/>
  <c r="B59" i="39"/>
  <c r="X58" i="39"/>
  <c r="Z58" i="39" s="1"/>
  <c r="N58" i="39"/>
  <c r="L58" i="39"/>
  <c r="B58" i="39"/>
  <c r="X57" i="39"/>
  <c r="Z57" i="39" s="1"/>
  <c r="N57" i="39"/>
  <c r="L57" i="39"/>
  <c r="B57" i="39"/>
  <c r="Z56" i="39"/>
  <c r="X56" i="39"/>
  <c r="N56" i="39"/>
  <c r="L56" i="39"/>
  <c r="B56" i="39"/>
  <c r="X55" i="39"/>
  <c r="Z55" i="39" s="1"/>
  <c r="V55" i="39"/>
  <c r="L55" i="39"/>
  <c r="N55" i="39" s="1"/>
  <c r="B55" i="39"/>
  <c r="X54" i="39"/>
  <c r="Z54" i="39" s="1"/>
  <c r="N54" i="39"/>
  <c r="L54" i="39"/>
  <c r="B54" i="39"/>
  <c r="Z53" i="39"/>
  <c r="X53" i="39"/>
  <c r="N53" i="39"/>
  <c r="L53" i="39"/>
  <c r="B53" i="39"/>
  <c r="Z52" i="39"/>
  <c r="X52" i="39"/>
  <c r="N52" i="39"/>
  <c r="L52" i="39"/>
  <c r="B52" i="39"/>
  <c r="X51" i="39"/>
  <c r="Z51" i="39" s="1"/>
  <c r="V51" i="39"/>
  <c r="L51" i="39"/>
  <c r="N51" i="39" s="1"/>
  <c r="B51" i="39"/>
  <c r="T50" i="39"/>
  <c r="P50" i="39"/>
  <c r="X50" i="39" s="1"/>
  <c r="H50" i="39"/>
  <c r="D50" i="39"/>
  <c r="L50" i="39" s="1"/>
  <c r="N50" i="39" s="1"/>
  <c r="B50" i="39"/>
  <c r="Z49" i="39"/>
  <c r="X49" i="39"/>
  <c r="N49" i="39"/>
  <c r="L49" i="39"/>
  <c r="B49" i="39"/>
  <c r="Z48" i="39"/>
  <c r="X48" i="39"/>
  <c r="N48" i="39"/>
  <c r="L48" i="39"/>
  <c r="B48" i="39"/>
  <c r="X47" i="39"/>
  <c r="Z47" i="39" s="1"/>
  <c r="N47" i="39"/>
  <c r="L47" i="39"/>
  <c r="B47" i="39"/>
  <c r="Z46" i="39"/>
  <c r="X46" i="39"/>
  <c r="V46" i="39"/>
  <c r="N46" i="39"/>
  <c r="L46" i="39"/>
  <c r="B46" i="39"/>
  <c r="Z45" i="39"/>
  <c r="X45" i="39"/>
  <c r="L45" i="39"/>
  <c r="N45" i="39" s="1"/>
  <c r="B45" i="39"/>
  <c r="Z44" i="39"/>
  <c r="X44" i="39"/>
  <c r="N44" i="39"/>
  <c r="L44" i="39"/>
  <c r="B44" i="39"/>
  <c r="X43" i="39"/>
  <c r="Z43" i="39" s="1"/>
  <c r="N43" i="39"/>
  <c r="L43" i="39"/>
  <c r="B43" i="39"/>
  <c r="X42" i="39"/>
  <c r="Z42" i="39" s="1"/>
  <c r="V42" i="39"/>
  <c r="L42" i="39"/>
  <c r="N42" i="39" s="1"/>
  <c r="B42" i="39"/>
  <c r="Z41" i="39"/>
  <c r="X41" i="39"/>
  <c r="L41" i="39"/>
  <c r="N41" i="39" s="1"/>
  <c r="B41" i="39"/>
  <c r="Z40" i="39"/>
  <c r="X40" i="39"/>
  <c r="N40" i="39"/>
  <c r="L40" i="39"/>
  <c r="B40" i="39"/>
  <c r="T39" i="39"/>
  <c r="Z39" i="39" s="1"/>
  <c r="P39" i="39"/>
  <c r="X39" i="39" s="1"/>
  <c r="N39" i="39"/>
  <c r="H39" i="39"/>
  <c r="D39" i="39"/>
  <c r="L39" i="39" s="1"/>
  <c r="B39" i="39"/>
  <c r="T38" i="39"/>
  <c r="P38" i="39"/>
  <c r="H38" i="39"/>
  <c r="D38" i="39"/>
  <c r="L38" i="39" s="1"/>
  <c r="T36" i="39"/>
  <c r="H36" i="39"/>
  <c r="Z34" i="39"/>
  <c r="X34" i="39"/>
  <c r="V34" i="39"/>
  <c r="N34" i="39"/>
  <c r="L34" i="39"/>
  <c r="B34" i="39"/>
  <c r="Z33" i="39"/>
  <c r="X33" i="39"/>
  <c r="V33" i="39"/>
  <c r="N33" i="39"/>
  <c r="L33" i="39"/>
  <c r="B33" i="39"/>
  <c r="Z32" i="39"/>
  <c r="X32" i="39"/>
  <c r="V32" i="39"/>
  <c r="L32" i="39"/>
  <c r="N32" i="39" s="1"/>
  <c r="B32" i="39"/>
  <c r="Z31" i="39"/>
  <c r="V31" i="39"/>
  <c r="T31" i="39"/>
  <c r="P31" i="39"/>
  <c r="X31" i="39" s="1"/>
  <c r="N31" i="39"/>
  <c r="L31" i="39"/>
  <c r="H31" i="39"/>
  <c r="D31" i="39"/>
  <c r="Z29" i="39"/>
  <c r="P29" i="39"/>
  <c r="X29" i="39" s="1"/>
  <c r="N29" i="39"/>
  <c r="D29" i="39"/>
  <c r="L29" i="39" s="1"/>
  <c r="B29" i="39"/>
  <c r="Z28" i="39"/>
  <c r="X28" i="39"/>
  <c r="P28" i="39"/>
  <c r="N28" i="39"/>
  <c r="D28" i="39"/>
  <c r="L28" i="39" s="1"/>
  <c r="B28" i="39"/>
  <c r="Z27" i="39"/>
  <c r="X27" i="39"/>
  <c r="P27" i="39"/>
  <c r="N27" i="39"/>
  <c r="D27" i="39"/>
  <c r="L27" i="39" s="1"/>
  <c r="B27" i="39"/>
  <c r="Z26" i="39"/>
  <c r="P26" i="39"/>
  <c r="X26" i="39" s="1"/>
  <c r="N26" i="39"/>
  <c r="D26" i="39"/>
  <c r="L26" i="39" s="1"/>
  <c r="B26" i="39"/>
  <c r="Z25" i="39"/>
  <c r="X25" i="39"/>
  <c r="P25" i="39"/>
  <c r="N25" i="39"/>
  <c r="L25" i="39"/>
  <c r="D25" i="39"/>
  <c r="B25" i="39"/>
  <c r="Z24" i="39"/>
  <c r="X24" i="39"/>
  <c r="P24" i="39"/>
  <c r="N24" i="39"/>
  <c r="L24" i="39"/>
  <c r="D24" i="39"/>
  <c r="B24" i="39"/>
  <c r="Z23" i="39"/>
  <c r="X23" i="39"/>
  <c r="P23" i="39"/>
  <c r="N23" i="39"/>
  <c r="D23" i="39"/>
  <c r="L23" i="39" s="1"/>
  <c r="B23" i="39"/>
  <c r="Z22" i="39"/>
  <c r="P22" i="39"/>
  <c r="X22" i="39" s="1"/>
  <c r="N22" i="39"/>
  <c r="D22" i="39"/>
  <c r="L22" i="39" s="1"/>
  <c r="B22" i="39"/>
  <c r="Z21" i="39"/>
  <c r="P21" i="39"/>
  <c r="X21" i="39" s="1"/>
  <c r="L21" i="39"/>
  <c r="N21" i="39" s="1"/>
  <c r="D21" i="39"/>
  <c r="B21" i="39"/>
  <c r="Z20" i="39"/>
  <c r="P20" i="39"/>
  <c r="N20" i="39"/>
  <c r="D20" i="39"/>
  <c r="L20" i="39" s="1"/>
  <c r="B20" i="39"/>
  <c r="Z19" i="39"/>
  <c r="X19" i="39"/>
  <c r="P19" i="39"/>
  <c r="N19" i="39"/>
  <c r="L19" i="39"/>
  <c r="D19" i="39"/>
  <c r="B19" i="39"/>
  <c r="Z18" i="39"/>
  <c r="X18" i="39"/>
  <c r="P18" i="39"/>
  <c r="N18" i="39"/>
  <c r="D18" i="39"/>
  <c r="L18" i="39" s="1"/>
  <c r="B18" i="39"/>
  <c r="Z17" i="39"/>
  <c r="P17" i="39"/>
  <c r="X17" i="39" s="1"/>
  <c r="N17" i="39"/>
  <c r="D17" i="39"/>
  <c r="L17" i="39" s="1"/>
  <c r="B17" i="39"/>
  <c r="Z16" i="39"/>
  <c r="X16" i="39"/>
  <c r="P16" i="39"/>
  <c r="N16" i="39"/>
  <c r="L16" i="39"/>
  <c r="D16" i="39"/>
  <c r="B16" i="39"/>
  <c r="Z15" i="39"/>
  <c r="X15" i="39"/>
  <c r="P15" i="39"/>
  <c r="N15" i="39"/>
  <c r="D15" i="39"/>
  <c r="B15" i="39"/>
  <c r="Z14" i="39"/>
  <c r="P14" i="39"/>
  <c r="X14" i="39" s="1"/>
  <c r="N14" i="39"/>
  <c r="D14" i="39"/>
  <c r="L14" i="39" s="1"/>
  <c r="B14" i="39"/>
  <c r="P13" i="39"/>
  <c r="X13" i="39" s="1"/>
  <c r="Z13" i="39" s="1"/>
  <c r="L13" i="39"/>
  <c r="N13" i="39" s="1"/>
  <c r="D13" i="39"/>
  <c r="B13" i="39"/>
  <c r="T12" i="39"/>
  <c r="V97" i="39" s="1"/>
  <c r="H12" i="39"/>
  <c r="J115" i="39" s="1"/>
  <c r="D4" i="39"/>
  <c r="X138" i="36"/>
  <c r="Z138" i="36" s="1"/>
  <c r="V138" i="36"/>
  <c r="L138" i="36"/>
  <c r="N138" i="36" s="1"/>
  <c r="Z134" i="36"/>
  <c r="P134" i="36"/>
  <c r="X134" i="36" s="1"/>
  <c r="N134" i="36"/>
  <c r="L134" i="36"/>
  <c r="J134" i="36"/>
  <c r="D134" i="36"/>
  <c r="B134" i="36"/>
  <c r="Z133" i="36"/>
  <c r="P133" i="36"/>
  <c r="X133" i="36" s="1"/>
  <c r="N133" i="36"/>
  <c r="L133" i="36"/>
  <c r="J133" i="36"/>
  <c r="D133" i="36"/>
  <c r="B133" i="36"/>
  <c r="X132" i="36"/>
  <c r="Z132" i="36" s="1"/>
  <c r="P132" i="36"/>
  <c r="D132" i="36"/>
  <c r="L132" i="36" s="1"/>
  <c r="N132" i="36" s="1"/>
  <c r="B132" i="36"/>
  <c r="Z131" i="36"/>
  <c r="X131" i="36"/>
  <c r="V131" i="36"/>
  <c r="P131" i="36"/>
  <c r="D131" i="36"/>
  <c r="L131" i="36" s="1"/>
  <c r="N131" i="36" s="1"/>
  <c r="B131" i="36"/>
  <c r="T130" i="36"/>
  <c r="H130" i="36"/>
  <c r="X128" i="36"/>
  <c r="Z128" i="36" s="1"/>
  <c r="L128" i="36"/>
  <c r="N128" i="36" s="1"/>
  <c r="B128" i="36"/>
  <c r="X127" i="36"/>
  <c r="Z127" i="36" s="1"/>
  <c r="V127" i="36"/>
  <c r="T127" i="36"/>
  <c r="P127" i="36"/>
  <c r="N127" i="36"/>
  <c r="H127" i="36"/>
  <c r="D127" i="36"/>
  <c r="L127" i="36" s="1"/>
  <c r="B127" i="36"/>
  <c r="X126" i="36"/>
  <c r="Z126" i="36" s="1"/>
  <c r="L126" i="36"/>
  <c r="N126" i="36" s="1"/>
  <c r="B126" i="36"/>
  <c r="Z125" i="36"/>
  <c r="X125" i="36"/>
  <c r="N125" i="36"/>
  <c r="L125" i="36"/>
  <c r="J125" i="36"/>
  <c r="B125" i="36"/>
  <c r="Z124" i="36"/>
  <c r="X124" i="36"/>
  <c r="L124" i="36"/>
  <c r="N124" i="36" s="1"/>
  <c r="J124" i="36"/>
  <c r="B124" i="36"/>
  <c r="Z123" i="36"/>
  <c r="V123" i="36"/>
  <c r="T123" i="36"/>
  <c r="P123" i="36"/>
  <c r="X123" i="36" s="1"/>
  <c r="H123" i="36"/>
  <c r="D123" i="36"/>
  <c r="B123" i="36"/>
  <c r="X122" i="36"/>
  <c r="Z122" i="36" s="1"/>
  <c r="L122" i="36"/>
  <c r="N122" i="36" s="1"/>
  <c r="B122" i="36"/>
  <c r="Z121" i="36"/>
  <c r="X121" i="36"/>
  <c r="V121" i="36"/>
  <c r="T121" i="36"/>
  <c r="P121" i="36"/>
  <c r="H121" i="36"/>
  <c r="N121" i="36" s="1"/>
  <c r="D121" i="36"/>
  <c r="L121" i="36" s="1"/>
  <c r="B121" i="36"/>
  <c r="X120" i="36"/>
  <c r="Z120" i="36" s="1"/>
  <c r="N120" i="36"/>
  <c r="L120" i="36"/>
  <c r="B120" i="36"/>
  <c r="X119" i="36"/>
  <c r="Z119" i="36" s="1"/>
  <c r="V119" i="36"/>
  <c r="N119" i="36"/>
  <c r="L119" i="36"/>
  <c r="J119" i="36"/>
  <c r="B119" i="36"/>
  <c r="T118" i="36"/>
  <c r="Z118" i="36" s="1"/>
  <c r="P118" i="36"/>
  <c r="X118" i="36" s="1"/>
  <c r="L118" i="36"/>
  <c r="H118" i="36"/>
  <c r="D118" i="36"/>
  <c r="B118" i="36"/>
  <c r="Z117" i="36"/>
  <c r="X117" i="36"/>
  <c r="N117" i="36"/>
  <c r="L117" i="36"/>
  <c r="J117" i="36"/>
  <c r="B117" i="36"/>
  <c r="Z116" i="36"/>
  <c r="X116" i="36"/>
  <c r="L116" i="36"/>
  <c r="N116" i="36" s="1"/>
  <c r="J116" i="36"/>
  <c r="B116" i="36"/>
  <c r="Z115" i="36"/>
  <c r="X115" i="36"/>
  <c r="V115" i="36"/>
  <c r="N115" i="36"/>
  <c r="L115" i="36"/>
  <c r="B115" i="36"/>
  <c r="X114" i="36"/>
  <c r="Z114" i="36" s="1"/>
  <c r="L114" i="36"/>
  <c r="N114" i="36" s="1"/>
  <c r="B114" i="36"/>
  <c r="Z113" i="36"/>
  <c r="X113" i="36"/>
  <c r="N113" i="36"/>
  <c r="L113" i="36"/>
  <c r="J113" i="36"/>
  <c r="B113" i="36"/>
  <c r="X112" i="36"/>
  <c r="Z112" i="36" s="1"/>
  <c r="L112" i="36"/>
  <c r="N112" i="36" s="1"/>
  <c r="J112" i="36"/>
  <c r="B112" i="36"/>
  <c r="Z111" i="36"/>
  <c r="X111" i="36"/>
  <c r="V111" i="36"/>
  <c r="L111" i="36"/>
  <c r="N111" i="36" s="1"/>
  <c r="B111" i="36"/>
  <c r="Z110" i="36"/>
  <c r="X110" i="36"/>
  <c r="L110" i="36"/>
  <c r="N110" i="36" s="1"/>
  <c r="B110" i="36"/>
  <c r="Z109" i="36"/>
  <c r="X109" i="36"/>
  <c r="N109" i="36"/>
  <c r="L109" i="36"/>
  <c r="J109" i="36"/>
  <c r="B109" i="36"/>
  <c r="Z108" i="36"/>
  <c r="X108" i="36"/>
  <c r="L108" i="36"/>
  <c r="N108" i="36" s="1"/>
  <c r="J108" i="36"/>
  <c r="B108" i="36"/>
  <c r="V107" i="36"/>
  <c r="T107" i="36"/>
  <c r="P107" i="36"/>
  <c r="X107" i="36" s="1"/>
  <c r="Z107" i="36" s="1"/>
  <c r="H107" i="36"/>
  <c r="D107" i="36"/>
  <c r="L107" i="36" s="1"/>
  <c r="B107" i="36"/>
  <c r="X106" i="36"/>
  <c r="Z106" i="36" s="1"/>
  <c r="L106" i="36"/>
  <c r="N106" i="36" s="1"/>
  <c r="B106" i="36"/>
  <c r="Z105" i="36"/>
  <c r="X105" i="36"/>
  <c r="V105" i="36"/>
  <c r="T105" i="36"/>
  <c r="P105" i="36"/>
  <c r="H105" i="36"/>
  <c r="D105" i="36"/>
  <c r="L105" i="36" s="1"/>
  <c r="B105" i="36"/>
  <c r="X104" i="36"/>
  <c r="Z104" i="36" s="1"/>
  <c r="N104" i="36"/>
  <c r="L104" i="36"/>
  <c r="B104" i="36"/>
  <c r="X103" i="36"/>
  <c r="Z103" i="36" s="1"/>
  <c r="V103" i="36"/>
  <c r="N103" i="36"/>
  <c r="L103" i="36"/>
  <c r="J103" i="36"/>
  <c r="B103" i="36"/>
  <c r="X102" i="36"/>
  <c r="Z102" i="36" s="1"/>
  <c r="L102" i="36"/>
  <c r="N102" i="36" s="1"/>
  <c r="B102" i="36"/>
  <c r="Z101" i="36"/>
  <c r="X101" i="36"/>
  <c r="N101" i="36"/>
  <c r="L101" i="36"/>
  <c r="B101" i="36"/>
  <c r="X100" i="36"/>
  <c r="Z100" i="36" s="1"/>
  <c r="L100" i="36"/>
  <c r="N100" i="36" s="1"/>
  <c r="B100" i="36"/>
  <c r="X99" i="36"/>
  <c r="Z99" i="36" s="1"/>
  <c r="V99" i="36"/>
  <c r="T99" i="36"/>
  <c r="P99" i="36"/>
  <c r="H99" i="36"/>
  <c r="D99" i="36"/>
  <c r="L99" i="36" s="1"/>
  <c r="N99" i="36" s="1"/>
  <c r="B99" i="36"/>
  <c r="Z98" i="36"/>
  <c r="X98" i="36"/>
  <c r="L98" i="36"/>
  <c r="N98" i="36" s="1"/>
  <c r="B98" i="36"/>
  <c r="Z97" i="36"/>
  <c r="X97" i="36"/>
  <c r="N97" i="36"/>
  <c r="L97" i="36"/>
  <c r="J97" i="36"/>
  <c r="B97" i="36"/>
  <c r="X96" i="36"/>
  <c r="Z96" i="36" s="1"/>
  <c r="L96" i="36"/>
  <c r="N96" i="36" s="1"/>
  <c r="J96" i="36"/>
  <c r="B96" i="36"/>
  <c r="V95" i="36"/>
  <c r="T95" i="36"/>
  <c r="P95" i="36"/>
  <c r="X95" i="36" s="1"/>
  <c r="Z95" i="36" s="1"/>
  <c r="H95" i="36"/>
  <c r="D95" i="36"/>
  <c r="L95" i="36" s="1"/>
  <c r="B95" i="36"/>
  <c r="X94" i="36"/>
  <c r="Z94" i="36" s="1"/>
  <c r="L94" i="36"/>
  <c r="N94" i="36" s="1"/>
  <c r="B94" i="36"/>
  <c r="Z93" i="36"/>
  <c r="X93" i="36"/>
  <c r="V93" i="36"/>
  <c r="N93" i="36"/>
  <c r="L93" i="36"/>
  <c r="B93" i="36"/>
  <c r="X92" i="36"/>
  <c r="Z92" i="36" s="1"/>
  <c r="V92" i="36"/>
  <c r="N92" i="36"/>
  <c r="L92" i="36"/>
  <c r="B92" i="36"/>
  <c r="X91" i="36"/>
  <c r="Z91" i="36" s="1"/>
  <c r="L91" i="36"/>
  <c r="N91" i="36" s="1"/>
  <c r="J91" i="36"/>
  <c r="B91" i="36"/>
  <c r="X90" i="36"/>
  <c r="T90" i="36"/>
  <c r="P90" i="36"/>
  <c r="J90" i="36"/>
  <c r="H90" i="36"/>
  <c r="D90" i="36"/>
  <c r="L90" i="36" s="1"/>
  <c r="B90" i="36"/>
  <c r="Z89" i="36"/>
  <c r="X89" i="36"/>
  <c r="N89" i="36"/>
  <c r="L89" i="36"/>
  <c r="B89" i="36"/>
  <c r="T88" i="36"/>
  <c r="P88" i="36"/>
  <c r="H88" i="36"/>
  <c r="D88" i="36"/>
  <c r="L88" i="36" s="1"/>
  <c r="B88" i="36"/>
  <c r="Z87" i="36"/>
  <c r="X87" i="36"/>
  <c r="V87" i="36"/>
  <c r="L87" i="36"/>
  <c r="N87" i="36" s="1"/>
  <c r="B87" i="36"/>
  <c r="X86" i="36"/>
  <c r="T86" i="36"/>
  <c r="Z86" i="36" s="1"/>
  <c r="P86" i="36"/>
  <c r="H86" i="36"/>
  <c r="N86" i="36" s="1"/>
  <c r="D86" i="36"/>
  <c r="L86" i="36" s="1"/>
  <c r="B86" i="36"/>
  <c r="Z85" i="36"/>
  <c r="X85" i="36"/>
  <c r="V85" i="36"/>
  <c r="N85" i="36"/>
  <c r="L85" i="36"/>
  <c r="B85" i="36"/>
  <c r="V84" i="36"/>
  <c r="T84" i="36"/>
  <c r="Z84" i="36" s="1"/>
  <c r="P84" i="36"/>
  <c r="N84" i="36"/>
  <c r="L84" i="36"/>
  <c r="H84" i="36"/>
  <c r="D84" i="36"/>
  <c r="B84" i="36"/>
  <c r="X83" i="36"/>
  <c r="Z83" i="36" s="1"/>
  <c r="V83" i="36"/>
  <c r="N83" i="36"/>
  <c r="L83" i="36"/>
  <c r="J83" i="36"/>
  <c r="B83" i="36"/>
  <c r="T82" i="36"/>
  <c r="P82" i="36"/>
  <c r="X82" i="36" s="1"/>
  <c r="L82" i="36"/>
  <c r="H82" i="36"/>
  <c r="D82" i="36"/>
  <c r="B82" i="36"/>
  <c r="Z81" i="36"/>
  <c r="X81" i="36"/>
  <c r="N81" i="36"/>
  <c r="L81" i="36"/>
  <c r="J81" i="36"/>
  <c r="B81" i="36"/>
  <c r="T80" i="36"/>
  <c r="P80" i="36"/>
  <c r="X80" i="36" s="1"/>
  <c r="L80" i="36"/>
  <c r="N80" i="36" s="1"/>
  <c r="H80" i="36"/>
  <c r="D80" i="36"/>
  <c r="B80" i="36"/>
  <c r="X79" i="36"/>
  <c r="Z79" i="36" s="1"/>
  <c r="L79" i="36"/>
  <c r="N79" i="36" s="1"/>
  <c r="J79" i="36"/>
  <c r="B79" i="36"/>
  <c r="X78" i="36"/>
  <c r="Z78" i="36" s="1"/>
  <c r="L78" i="36"/>
  <c r="N78" i="36" s="1"/>
  <c r="B78" i="36"/>
  <c r="V77" i="36"/>
  <c r="T77" i="36"/>
  <c r="P77" i="36"/>
  <c r="X77" i="36" s="1"/>
  <c r="Z77" i="36" s="1"/>
  <c r="H77" i="36"/>
  <c r="D77" i="36"/>
  <c r="L77" i="36" s="1"/>
  <c r="B77" i="36"/>
  <c r="X76" i="36"/>
  <c r="Z76" i="36" s="1"/>
  <c r="N76" i="36"/>
  <c r="L76" i="36"/>
  <c r="B76" i="36"/>
  <c r="X75" i="36"/>
  <c r="Z75" i="36" s="1"/>
  <c r="V75" i="36"/>
  <c r="T75" i="36"/>
  <c r="P75" i="36"/>
  <c r="N75" i="36"/>
  <c r="H75" i="36"/>
  <c r="D75" i="36"/>
  <c r="L75" i="36" s="1"/>
  <c r="B75" i="36"/>
  <c r="X74" i="36"/>
  <c r="Z74" i="36" s="1"/>
  <c r="L74" i="36"/>
  <c r="N74" i="36" s="1"/>
  <c r="B74" i="36"/>
  <c r="T73" i="36"/>
  <c r="P73" i="36"/>
  <c r="N73" i="36"/>
  <c r="J73" i="36"/>
  <c r="H73" i="36"/>
  <c r="D73" i="36"/>
  <c r="L73" i="36" s="1"/>
  <c r="B73" i="36"/>
  <c r="X72" i="36"/>
  <c r="Z72" i="36" s="1"/>
  <c r="V72" i="36"/>
  <c r="L72" i="36"/>
  <c r="N72" i="36" s="1"/>
  <c r="B72" i="36"/>
  <c r="T71" i="36"/>
  <c r="P71" i="36"/>
  <c r="X71" i="36" s="1"/>
  <c r="J71" i="36"/>
  <c r="H71" i="36"/>
  <c r="D71" i="36"/>
  <c r="L71" i="36" s="1"/>
  <c r="N71" i="36" s="1"/>
  <c r="B71" i="36"/>
  <c r="X70" i="36"/>
  <c r="Z70" i="36" s="1"/>
  <c r="L70" i="36"/>
  <c r="N70" i="36" s="1"/>
  <c r="B70" i="36"/>
  <c r="Z69" i="36"/>
  <c r="X69" i="36"/>
  <c r="N69" i="36"/>
  <c r="L69" i="36"/>
  <c r="B69" i="36"/>
  <c r="T68" i="36"/>
  <c r="P68" i="36"/>
  <c r="H68" i="36"/>
  <c r="D68" i="36"/>
  <c r="L68" i="36" s="1"/>
  <c r="B68" i="36"/>
  <c r="Z67" i="36"/>
  <c r="X67" i="36"/>
  <c r="V67" i="36"/>
  <c r="L67" i="36"/>
  <c r="N67" i="36" s="1"/>
  <c r="B67" i="36"/>
  <c r="X66" i="36"/>
  <c r="Z66" i="36" s="1"/>
  <c r="L66" i="36"/>
  <c r="N66" i="36" s="1"/>
  <c r="B66" i="36"/>
  <c r="Z65" i="36"/>
  <c r="X65" i="36"/>
  <c r="N65" i="36"/>
  <c r="L65" i="36"/>
  <c r="J65" i="36"/>
  <c r="B65" i="36"/>
  <c r="X64" i="36"/>
  <c r="Z64" i="36" s="1"/>
  <c r="L64" i="36"/>
  <c r="N64" i="36" s="1"/>
  <c r="J64" i="36"/>
  <c r="B64" i="36"/>
  <c r="V63" i="36"/>
  <c r="T63" i="36"/>
  <c r="P63" i="36"/>
  <c r="X63" i="36" s="1"/>
  <c r="Z63" i="36" s="1"/>
  <c r="H63" i="36"/>
  <c r="D63" i="36"/>
  <c r="B63" i="36"/>
  <c r="X62" i="36"/>
  <c r="Z62" i="36" s="1"/>
  <c r="L62" i="36"/>
  <c r="N62" i="36" s="1"/>
  <c r="B62" i="36"/>
  <c r="Z61" i="36"/>
  <c r="X61" i="36"/>
  <c r="V61" i="36"/>
  <c r="T61" i="36"/>
  <c r="P61" i="36"/>
  <c r="H61" i="36"/>
  <c r="D61" i="36"/>
  <c r="L61" i="36" s="1"/>
  <c r="B61" i="36"/>
  <c r="X60" i="36"/>
  <c r="Z60" i="36" s="1"/>
  <c r="L60" i="36"/>
  <c r="N60" i="36" s="1"/>
  <c r="B60" i="36"/>
  <c r="X59" i="36"/>
  <c r="Z59" i="36" s="1"/>
  <c r="V59" i="36"/>
  <c r="N59" i="36"/>
  <c r="L59" i="36"/>
  <c r="J59" i="36"/>
  <c r="B59" i="36"/>
  <c r="T58" i="36"/>
  <c r="Z58" i="36" s="1"/>
  <c r="P58" i="36"/>
  <c r="X58" i="36" s="1"/>
  <c r="H58" i="36"/>
  <c r="D58" i="36"/>
  <c r="B58" i="36"/>
  <c r="Z57" i="36"/>
  <c r="X57" i="36"/>
  <c r="N57" i="36"/>
  <c r="L57" i="36"/>
  <c r="J57" i="36"/>
  <c r="B57" i="36"/>
  <c r="T56" i="36"/>
  <c r="Z56" i="36" s="1"/>
  <c r="P56" i="36"/>
  <c r="X56" i="36" s="1"/>
  <c r="H56" i="36"/>
  <c r="D56" i="36"/>
  <c r="L56" i="36" s="1"/>
  <c r="N56" i="36" s="1"/>
  <c r="B56" i="36"/>
  <c r="Z55" i="36"/>
  <c r="X55" i="36"/>
  <c r="N55" i="36"/>
  <c r="L55" i="36"/>
  <c r="J55" i="36"/>
  <c r="B55" i="36"/>
  <c r="Z54" i="36"/>
  <c r="X54" i="36"/>
  <c r="N54" i="36"/>
  <c r="L54" i="36"/>
  <c r="B54" i="36"/>
  <c r="Z53" i="36"/>
  <c r="X53" i="36"/>
  <c r="V53" i="36"/>
  <c r="N53" i="36"/>
  <c r="L53" i="36"/>
  <c r="B53" i="36"/>
  <c r="X52" i="36"/>
  <c r="Z52" i="36" s="1"/>
  <c r="V52" i="36"/>
  <c r="L52" i="36"/>
  <c r="N52" i="36" s="1"/>
  <c r="B52" i="36"/>
  <c r="Z51" i="36"/>
  <c r="X51" i="36"/>
  <c r="N51" i="36"/>
  <c r="L51" i="36"/>
  <c r="J51" i="36"/>
  <c r="B51" i="36"/>
  <c r="X50" i="36"/>
  <c r="Z50" i="36" s="1"/>
  <c r="L50" i="36"/>
  <c r="N50" i="36" s="1"/>
  <c r="B50" i="36"/>
  <c r="Z49" i="36"/>
  <c r="X49" i="36"/>
  <c r="V49" i="36"/>
  <c r="N49" i="36"/>
  <c r="L49" i="36"/>
  <c r="B49" i="36"/>
  <c r="Z48" i="36"/>
  <c r="X48" i="36"/>
  <c r="V48" i="36"/>
  <c r="N48" i="36"/>
  <c r="L48" i="36"/>
  <c r="B48" i="36"/>
  <c r="X47" i="36"/>
  <c r="Z47" i="36" s="1"/>
  <c r="L47" i="36"/>
  <c r="N47" i="36" s="1"/>
  <c r="J47" i="36"/>
  <c r="B47" i="36"/>
  <c r="X46" i="36"/>
  <c r="Z46" i="36" s="1"/>
  <c r="L46" i="36"/>
  <c r="N46" i="36" s="1"/>
  <c r="B46" i="36"/>
  <c r="Z45" i="36"/>
  <c r="V45" i="36"/>
  <c r="T45" i="36"/>
  <c r="P45" i="36"/>
  <c r="X45" i="36" s="1"/>
  <c r="H45" i="36"/>
  <c r="N45" i="36" s="1"/>
  <c r="D45" i="36"/>
  <c r="L45" i="36" s="1"/>
  <c r="B45" i="36"/>
  <c r="X44" i="36"/>
  <c r="Z44" i="36" s="1"/>
  <c r="N44" i="36"/>
  <c r="L44" i="36"/>
  <c r="B44" i="36"/>
  <c r="X43" i="36"/>
  <c r="Z43" i="36" s="1"/>
  <c r="V43" i="36"/>
  <c r="N43" i="36"/>
  <c r="L43" i="36"/>
  <c r="J43" i="36"/>
  <c r="B43" i="36"/>
  <c r="X42" i="36"/>
  <c r="Z42" i="36" s="1"/>
  <c r="N42" i="36"/>
  <c r="L42" i="36"/>
  <c r="B42" i="36"/>
  <c r="Z41" i="36"/>
  <c r="X41" i="36"/>
  <c r="N41" i="36"/>
  <c r="L41" i="36"/>
  <c r="B41" i="36"/>
  <c r="X40" i="36"/>
  <c r="Z40" i="36" s="1"/>
  <c r="N40" i="36"/>
  <c r="L40" i="36"/>
  <c r="B40" i="36"/>
  <c r="X39" i="36"/>
  <c r="Z39" i="36" s="1"/>
  <c r="V39" i="36"/>
  <c r="N39" i="36"/>
  <c r="L39" i="36"/>
  <c r="J39" i="36"/>
  <c r="B39" i="36"/>
  <c r="X38" i="36"/>
  <c r="Z38" i="36" s="1"/>
  <c r="N38" i="36"/>
  <c r="L38" i="36"/>
  <c r="B38" i="36"/>
  <c r="Z37" i="36"/>
  <c r="X37" i="36"/>
  <c r="N37" i="36"/>
  <c r="L37" i="36"/>
  <c r="B37" i="36"/>
  <c r="X36" i="36"/>
  <c r="Z36" i="36" s="1"/>
  <c r="N36" i="36"/>
  <c r="L36" i="36"/>
  <c r="B36" i="36"/>
  <c r="X35" i="36"/>
  <c r="Z35" i="36" s="1"/>
  <c r="V35" i="36"/>
  <c r="N35" i="36"/>
  <c r="L35" i="36"/>
  <c r="J35" i="36"/>
  <c r="B35" i="36"/>
  <c r="T34" i="36"/>
  <c r="P34" i="36"/>
  <c r="X34" i="36" s="1"/>
  <c r="L34" i="36"/>
  <c r="H34" i="36"/>
  <c r="D34" i="36"/>
  <c r="B34" i="36"/>
  <c r="T33" i="36"/>
  <c r="P33" i="36"/>
  <c r="J33" i="36"/>
  <c r="H33" i="36"/>
  <c r="D33" i="36"/>
  <c r="L33" i="36" s="1"/>
  <c r="N33" i="36" s="1"/>
  <c r="T31" i="36"/>
  <c r="Z29" i="36"/>
  <c r="X29" i="36"/>
  <c r="N29" i="36"/>
  <c r="L29" i="36"/>
  <c r="J29" i="36"/>
  <c r="B29" i="36"/>
  <c r="Z28" i="36"/>
  <c r="X28" i="36"/>
  <c r="N28" i="36"/>
  <c r="L28" i="36"/>
  <c r="J28" i="36"/>
  <c r="B28" i="36"/>
  <c r="Z27" i="36"/>
  <c r="X27" i="36"/>
  <c r="V27" i="36"/>
  <c r="L27" i="36"/>
  <c r="N27" i="36" s="1"/>
  <c r="B27" i="36"/>
  <c r="X26" i="36"/>
  <c r="T26" i="36"/>
  <c r="Z26" i="36" s="1"/>
  <c r="P26" i="36"/>
  <c r="H26" i="36"/>
  <c r="N26" i="36" s="1"/>
  <c r="D26" i="36"/>
  <c r="L26" i="36" s="1"/>
  <c r="Z24" i="36"/>
  <c r="X24" i="36"/>
  <c r="P24" i="36"/>
  <c r="N24" i="36"/>
  <c r="D24" i="36"/>
  <c r="L24" i="36" s="1"/>
  <c r="B24" i="36"/>
  <c r="Z23" i="36"/>
  <c r="P23" i="36"/>
  <c r="X23" i="36" s="1"/>
  <c r="N23" i="36"/>
  <c r="D23" i="36"/>
  <c r="L23" i="36" s="1"/>
  <c r="B23" i="36"/>
  <c r="Z22" i="36"/>
  <c r="X22" i="36"/>
  <c r="P22" i="36"/>
  <c r="N22" i="36"/>
  <c r="L22" i="36"/>
  <c r="D22" i="36"/>
  <c r="B22" i="36"/>
  <c r="Z21" i="36"/>
  <c r="X21" i="36"/>
  <c r="P21" i="36"/>
  <c r="N21" i="36"/>
  <c r="L21" i="36"/>
  <c r="D21" i="36"/>
  <c r="B21" i="36"/>
  <c r="Z20" i="36"/>
  <c r="X20" i="36"/>
  <c r="P20" i="36"/>
  <c r="N20" i="36"/>
  <c r="L20" i="36"/>
  <c r="D20" i="36"/>
  <c r="B20" i="36"/>
  <c r="P19" i="36"/>
  <c r="X19" i="36" s="1"/>
  <c r="Z19" i="36" s="1"/>
  <c r="L19" i="36"/>
  <c r="N19" i="36" s="1"/>
  <c r="D19" i="36"/>
  <c r="B19" i="36"/>
  <c r="Z18" i="36"/>
  <c r="P18" i="36"/>
  <c r="X18" i="36" s="1"/>
  <c r="N18" i="36"/>
  <c r="L18" i="36"/>
  <c r="D18" i="36"/>
  <c r="B18" i="36"/>
  <c r="Z17" i="36"/>
  <c r="P17" i="36"/>
  <c r="X17" i="36" s="1"/>
  <c r="N17" i="36"/>
  <c r="L17" i="36"/>
  <c r="D17" i="36"/>
  <c r="B17" i="36"/>
  <c r="Z16" i="36"/>
  <c r="X16" i="36"/>
  <c r="P16" i="36"/>
  <c r="N16" i="36"/>
  <c r="L16" i="36"/>
  <c r="D16" i="36"/>
  <c r="B16" i="36"/>
  <c r="Z15" i="36"/>
  <c r="P15" i="36"/>
  <c r="X15" i="36" s="1"/>
  <c r="N15" i="36"/>
  <c r="D15" i="36"/>
  <c r="L15" i="36" s="1"/>
  <c r="B15" i="36"/>
  <c r="Z14" i="36"/>
  <c r="P14" i="36"/>
  <c r="X14" i="36" s="1"/>
  <c r="N14" i="36"/>
  <c r="D14" i="36"/>
  <c r="L14" i="36" s="1"/>
  <c r="B14" i="36"/>
  <c r="Z13" i="36"/>
  <c r="X13" i="36"/>
  <c r="P13" i="36"/>
  <c r="L13" i="36"/>
  <c r="N13" i="36" s="1"/>
  <c r="D13" i="36"/>
  <c r="D12" i="36" s="1"/>
  <c r="F108" i="36" s="1"/>
  <c r="B13" i="36"/>
  <c r="T12" i="36"/>
  <c r="V130" i="36" s="1"/>
  <c r="H12" i="36"/>
  <c r="J138" i="36" s="1"/>
  <c r="D4" i="36"/>
  <c r="X103" i="33"/>
  <c r="Z103" i="33" s="1"/>
  <c r="N103" i="33"/>
  <c r="L103" i="33"/>
  <c r="P99" i="33"/>
  <c r="X99" i="33" s="1"/>
  <c r="Z99" i="33" s="1"/>
  <c r="L99" i="33"/>
  <c r="N99" i="33" s="1"/>
  <c r="D99" i="33"/>
  <c r="B99" i="33"/>
  <c r="P98" i="33"/>
  <c r="X98" i="33" s="1"/>
  <c r="Z98" i="33" s="1"/>
  <c r="N98" i="33"/>
  <c r="D98" i="33"/>
  <c r="L98" i="33" s="1"/>
  <c r="B98" i="33"/>
  <c r="Z97" i="33"/>
  <c r="X97" i="33"/>
  <c r="P97" i="33"/>
  <c r="L97" i="33"/>
  <c r="N97" i="33" s="1"/>
  <c r="D97" i="33"/>
  <c r="B97" i="33"/>
  <c r="Z96" i="33"/>
  <c r="X96" i="33"/>
  <c r="P96" i="33"/>
  <c r="N96" i="33"/>
  <c r="D96" i="33"/>
  <c r="L96" i="33" s="1"/>
  <c r="B96" i="33"/>
  <c r="Z95" i="33"/>
  <c r="X95" i="33"/>
  <c r="P95" i="33"/>
  <c r="N95" i="33"/>
  <c r="D95" i="33"/>
  <c r="L95" i="33" s="1"/>
  <c r="B95" i="33"/>
  <c r="Z94" i="33"/>
  <c r="X94" i="33"/>
  <c r="P94" i="33"/>
  <c r="N94" i="33"/>
  <c r="L94" i="33"/>
  <c r="D94" i="33"/>
  <c r="B94" i="33"/>
  <c r="Z93" i="33"/>
  <c r="X93" i="33"/>
  <c r="T93" i="33"/>
  <c r="P93" i="33"/>
  <c r="H93" i="33"/>
  <c r="N93" i="33" s="1"/>
  <c r="D93" i="33"/>
  <c r="L93" i="33" s="1"/>
  <c r="Z91" i="33"/>
  <c r="X91" i="33"/>
  <c r="N91" i="33"/>
  <c r="L91" i="33"/>
  <c r="B91" i="33"/>
  <c r="Z90" i="33"/>
  <c r="X90" i="33"/>
  <c r="L90" i="33"/>
  <c r="N90" i="33" s="1"/>
  <c r="B90" i="33"/>
  <c r="T89" i="33"/>
  <c r="P89" i="33"/>
  <c r="X89" i="33" s="1"/>
  <c r="H89" i="33"/>
  <c r="D89" i="33"/>
  <c r="L89" i="33" s="1"/>
  <c r="N89" i="33" s="1"/>
  <c r="B89" i="33"/>
  <c r="Z88" i="33"/>
  <c r="X88" i="33"/>
  <c r="L88" i="33"/>
  <c r="N88" i="33" s="1"/>
  <c r="B88" i="33"/>
  <c r="Z87" i="33"/>
  <c r="X87" i="33"/>
  <c r="N87" i="33"/>
  <c r="L87" i="33"/>
  <c r="B87" i="33"/>
  <c r="X86" i="33"/>
  <c r="Z86" i="33" s="1"/>
  <c r="N86" i="33"/>
  <c r="L86" i="33"/>
  <c r="B86" i="33"/>
  <c r="Z85" i="33"/>
  <c r="X85" i="33"/>
  <c r="N85" i="33"/>
  <c r="L85" i="33"/>
  <c r="B85" i="33"/>
  <c r="Z84" i="33"/>
  <c r="X84" i="33"/>
  <c r="N84" i="33"/>
  <c r="L84" i="33"/>
  <c r="B84" i="33"/>
  <c r="Z83" i="33"/>
  <c r="T83" i="33"/>
  <c r="P83" i="33"/>
  <c r="X83" i="33" s="1"/>
  <c r="L83" i="33"/>
  <c r="H83" i="33"/>
  <c r="N83" i="33" s="1"/>
  <c r="D83" i="33"/>
  <c r="B83" i="33"/>
  <c r="Z82" i="33"/>
  <c r="X82" i="33"/>
  <c r="N82" i="33"/>
  <c r="L82" i="33"/>
  <c r="B82" i="33"/>
  <c r="Z81" i="33"/>
  <c r="X81" i="33"/>
  <c r="V81" i="33"/>
  <c r="N81" i="33"/>
  <c r="L81" i="33"/>
  <c r="B81" i="33"/>
  <c r="X80" i="33"/>
  <c r="T80" i="33"/>
  <c r="Z80" i="33" s="1"/>
  <c r="P80" i="33"/>
  <c r="H80" i="33"/>
  <c r="D80" i="33"/>
  <c r="L80" i="33" s="1"/>
  <c r="N80" i="33" s="1"/>
  <c r="B80" i="33"/>
  <c r="Z79" i="33"/>
  <c r="X79" i="33"/>
  <c r="N79" i="33"/>
  <c r="L79" i="33"/>
  <c r="B79" i="33"/>
  <c r="T78" i="33"/>
  <c r="P78" i="33"/>
  <c r="L78" i="33"/>
  <c r="H78" i="33"/>
  <c r="N78" i="33" s="1"/>
  <c r="D78" i="33"/>
  <c r="B78" i="33"/>
  <c r="X77" i="33"/>
  <c r="Z77" i="33" s="1"/>
  <c r="N77" i="33"/>
  <c r="L77" i="33"/>
  <c r="B77" i="33"/>
  <c r="T76" i="33"/>
  <c r="Z76" i="33" s="1"/>
  <c r="P76" i="33"/>
  <c r="X76" i="33" s="1"/>
  <c r="H76" i="33"/>
  <c r="D76" i="33"/>
  <c r="B76" i="33"/>
  <c r="X75" i="33"/>
  <c r="Z75" i="33" s="1"/>
  <c r="N75" i="33"/>
  <c r="L75" i="33"/>
  <c r="B75" i="33"/>
  <c r="T74" i="33"/>
  <c r="Z74" i="33" s="1"/>
  <c r="P74" i="33"/>
  <c r="X74" i="33" s="1"/>
  <c r="H74" i="33"/>
  <c r="D74" i="33"/>
  <c r="L74" i="33" s="1"/>
  <c r="B74" i="33"/>
  <c r="Z73" i="33"/>
  <c r="X73" i="33"/>
  <c r="N73" i="33"/>
  <c r="L73" i="33"/>
  <c r="B73" i="33"/>
  <c r="X72" i="33"/>
  <c r="Z72" i="33" s="1"/>
  <c r="L72" i="33"/>
  <c r="N72" i="33" s="1"/>
  <c r="B72" i="33"/>
  <c r="V71" i="33"/>
  <c r="T71" i="33"/>
  <c r="P71" i="33"/>
  <c r="X71" i="33" s="1"/>
  <c r="Z71" i="33" s="1"/>
  <c r="H71" i="33"/>
  <c r="D71" i="33"/>
  <c r="L71" i="33" s="1"/>
  <c r="N71" i="33" s="1"/>
  <c r="B71" i="33"/>
  <c r="X70" i="33"/>
  <c r="Z70" i="33" s="1"/>
  <c r="L70" i="33"/>
  <c r="N70" i="33" s="1"/>
  <c r="B70" i="33"/>
  <c r="X69" i="33"/>
  <c r="Z69" i="33" s="1"/>
  <c r="V69" i="33"/>
  <c r="T69" i="33"/>
  <c r="P69" i="33"/>
  <c r="H69" i="33"/>
  <c r="D69" i="33"/>
  <c r="L69" i="33" s="1"/>
  <c r="N69" i="33" s="1"/>
  <c r="B69" i="33"/>
  <c r="X68" i="33"/>
  <c r="Z68" i="33" s="1"/>
  <c r="L68" i="33"/>
  <c r="N68" i="33" s="1"/>
  <c r="B68" i="33"/>
  <c r="T67" i="33"/>
  <c r="P67" i="33"/>
  <c r="H67" i="33"/>
  <c r="D67" i="33"/>
  <c r="L67" i="33" s="1"/>
  <c r="N67" i="33" s="1"/>
  <c r="B67" i="33"/>
  <c r="Z66" i="33"/>
  <c r="X66" i="33"/>
  <c r="L66" i="33"/>
  <c r="N66" i="33" s="1"/>
  <c r="B66" i="33"/>
  <c r="T65" i="33"/>
  <c r="P65" i="33"/>
  <c r="X65" i="33" s="1"/>
  <c r="H65" i="33"/>
  <c r="D65" i="33"/>
  <c r="L65" i="33" s="1"/>
  <c r="N65" i="33" s="1"/>
  <c r="B65" i="33"/>
  <c r="Z64" i="33"/>
  <c r="X64" i="33"/>
  <c r="N64" i="33"/>
  <c r="L64" i="33"/>
  <c r="B64" i="33"/>
  <c r="Z63" i="33"/>
  <c r="T63" i="33"/>
  <c r="P63" i="33"/>
  <c r="X63" i="33" s="1"/>
  <c r="N63" i="33"/>
  <c r="L63" i="33"/>
  <c r="H63" i="33"/>
  <c r="D63" i="33"/>
  <c r="B63" i="33"/>
  <c r="Z62" i="33"/>
  <c r="X62" i="33"/>
  <c r="N62" i="33"/>
  <c r="L62" i="33"/>
  <c r="B62" i="33"/>
  <c r="Z61" i="33"/>
  <c r="V61" i="33"/>
  <c r="T61" i="33"/>
  <c r="P61" i="33"/>
  <c r="X61" i="33" s="1"/>
  <c r="H61" i="33"/>
  <c r="D61" i="33"/>
  <c r="B61" i="33"/>
  <c r="Z60" i="33"/>
  <c r="X60" i="33"/>
  <c r="N60" i="33"/>
  <c r="L60" i="33"/>
  <c r="B60" i="33"/>
  <c r="Z59" i="33"/>
  <c r="X59" i="33"/>
  <c r="V59" i="33"/>
  <c r="N59" i="33"/>
  <c r="L59" i="33"/>
  <c r="B59" i="33"/>
  <c r="Z58" i="33"/>
  <c r="X58" i="33"/>
  <c r="L58" i="33"/>
  <c r="N58" i="33" s="1"/>
  <c r="B58" i="33"/>
  <c r="X57" i="33"/>
  <c r="Z57" i="33" s="1"/>
  <c r="N57" i="33"/>
  <c r="L57" i="33"/>
  <c r="B57" i="33"/>
  <c r="Z56" i="33"/>
  <c r="X56" i="33"/>
  <c r="V56" i="33"/>
  <c r="N56" i="33"/>
  <c r="L56" i="33"/>
  <c r="B56" i="33"/>
  <c r="Z55" i="33"/>
  <c r="X55" i="33"/>
  <c r="N55" i="33"/>
  <c r="L55" i="33"/>
  <c r="B55" i="33"/>
  <c r="Z54" i="33"/>
  <c r="X54" i="33"/>
  <c r="L54" i="33"/>
  <c r="N54" i="33" s="1"/>
  <c r="B54" i="33"/>
  <c r="Z53" i="33"/>
  <c r="X53" i="33"/>
  <c r="N53" i="33"/>
  <c r="L53" i="33"/>
  <c r="B53" i="33"/>
  <c r="X52" i="33"/>
  <c r="Z52" i="33" s="1"/>
  <c r="N52" i="33"/>
  <c r="L52" i="33"/>
  <c r="B52" i="33"/>
  <c r="Z51" i="33"/>
  <c r="X51" i="33"/>
  <c r="L51" i="33"/>
  <c r="N51" i="33" s="1"/>
  <c r="B51" i="33"/>
  <c r="T50" i="33"/>
  <c r="P50" i="33"/>
  <c r="H50" i="33"/>
  <c r="L50" i="33" s="1"/>
  <c r="N50" i="33" s="1"/>
  <c r="D50" i="33"/>
  <c r="B50" i="33"/>
  <c r="Z49" i="33"/>
  <c r="X49" i="33"/>
  <c r="V49" i="33"/>
  <c r="L49" i="33"/>
  <c r="N49" i="33" s="1"/>
  <c r="B49" i="33"/>
  <c r="Z48" i="33"/>
  <c r="X48" i="33"/>
  <c r="L48" i="33"/>
  <c r="N48" i="33" s="1"/>
  <c r="B48" i="33"/>
  <c r="X47" i="33"/>
  <c r="Z47" i="33" s="1"/>
  <c r="L47" i="33"/>
  <c r="N47" i="33" s="1"/>
  <c r="B47" i="33"/>
  <c r="Z46" i="33"/>
  <c r="X46" i="33"/>
  <c r="V46" i="33"/>
  <c r="N46" i="33"/>
  <c r="L46" i="33"/>
  <c r="B46" i="33"/>
  <c r="Z45" i="33"/>
  <c r="X45" i="33"/>
  <c r="V45" i="33"/>
  <c r="L45" i="33"/>
  <c r="N45" i="33" s="1"/>
  <c r="B45" i="33"/>
  <c r="Z44" i="33"/>
  <c r="X44" i="33"/>
  <c r="L44" i="33"/>
  <c r="N44" i="33" s="1"/>
  <c r="B44" i="33"/>
  <c r="X43" i="33"/>
  <c r="Z43" i="33" s="1"/>
  <c r="L43" i="33"/>
  <c r="N43" i="33" s="1"/>
  <c r="B43" i="33"/>
  <c r="Z42" i="33"/>
  <c r="X42" i="33"/>
  <c r="V42" i="33"/>
  <c r="N42" i="33"/>
  <c r="L42" i="33"/>
  <c r="B42" i="33"/>
  <c r="Z41" i="33"/>
  <c r="X41" i="33"/>
  <c r="V41" i="33"/>
  <c r="L41" i="33"/>
  <c r="N41" i="33" s="1"/>
  <c r="B41" i="33"/>
  <c r="T40" i="33"/>
  <c r="Z40" i="33" s="1"/>
  <c r="P40" i="33"/>
  <c r="X40" i="33" s="1"/>
  <c r="H40" i="33"/>
  <c r="D40" i="33"/>
  <c r="L40" i="33" s="1"/>
  <c r="B40" i="33"/>
  <c r="T39" i="33"/>
  <c r="P39" i="33"/>
  <c r="H39" i="33"/>
  <c r="D39" i="33"/>
  <c r="L39" i="33" s="1"/>
  <c r="Z35" i="33"/>
  <c r="X35" i="33"/>
  <c r="V35" i="33"/>
  <c r="N35" i="33"/>
  <c r="L35" i="33"/>
  <c r="B35" i="33"/>
  <c r="Z34" i="33"/>
  <c r="X34" i="33"/>
  <c r="N34" i="33"/>
  <c r="L34" i="33"/>
  <c r="B34" i="33"/>
  <c r="Z33" i="33"/>
  <c r="X33" i="33"/>
  <c r="N33" i="33"/>
  <c r="L33" i="33"/>
  <c r="B33" i="33"/>
  <c r="Z32" i="33"/>
  <c r="X32" i="33"/>
  <c r="N32" i="33"/>
  <c r="L32" i="33"/>
  <c r="B32" i="33"/>
  <c r="Z31" i="33"/>
  <c r="X31" i="33"/>
  <c r="V31" i="33"/>
  <c r="N31" i="33"/>
  <c r="L31" i="33"/>
  <c r="B31" i="33"/>
  <c r="Z30" i="33"/>
  <c r="V30" i="33"/>
  <c r="T30" i="33"/>
  <c r="P30" i="33"/>
  <c r="X30" i="33" s="1"/>
  <c r="N30" i="33"/>
  <c r="L30" i="33"/>
  <c r="H30" i="33"/>
  <c r="D30" i="33"/>
  <c r="Z28" i="33"/>
  <c r="P28" i="33"/>
  <c r="X28" i="33" s="1"/>
  <c r="N28" i="33"/>
  <c r="D28" i="33"/>
  <c r="L28" i="33" s="1"/>
  <c r="B28" i="33"/>
  <c r="Z27" i="33"/>
  <c r="X27" i="33"/>
  <c r="P27" i="33"/>
  <c r="N27" i="33"/>
  <c r="D27" i="33"/>
  <c r="L27" i="33" s="1"/>
  <c r="B27" i="33"/>
  <c r="Z26" i="33"/>
  <c r="P26" i="33"/>
  <c r="X26" i="33" s="1"/>
  <c r="N26" i="33"/>
  <c r="D26" i="33"/>
  <c r="L26" i="33" s="1"/>
  <c r="B26" i="33"/>
  <c r="Z25" i="33"/>
  <c r="X25" i="33"/>
  <c r="P25" i="33"/>
  <c r="N25" i="33"/>
  <c r="D25" i="33"/>
  <c r="L25" i="33" s="1"/>
  <c r="B25" i="33"/>
  <c r="Z24" i="33"/>
  <c r="X24" i="33"/>
  <c r="P24" i="33"/>
  <c r="N24" i="33"/>
  <c r="L24" i="33"/>
  <c r="D24" i="33"/>
  <c r="B24" i="33"/>
  <c r="Z23" i="33"/>
  <c r="X23" i="33"/>
  <c r="P23" i="33"/>
  <c r="N23" i="33"/>
  <c r="D23" i="33"/>
  <c r="L23" i="33" s="1"/>
  <c r="B23" i="33"/>
  <c r="Z22" i="33"/>
  <c r="X22" i="33"/>
  <c r="P22" i="33"/>
  <c r="N22" i="33"/>
  <c r="L22" i="33"/>
  <c r="D22" i="33"/>
  <c r="B22" i="33"/>
  <c r="Z21" i="33"/>
  <c r="X21" i="33"/>
  <c r="P21" i="33"/>
  <c r="N21" i="33"/>
  <c r="L21" i="33"/>
  <c r="D21" i="33"/>
  <c r="B21" i="33"/>
  <c r="P20" i="33"/>
  <c r="X20" i="33" s="1"/>
  <c r="Z20" i="33" s="1"/>
  <c r="L20" i="33"/>
  <c r="N20" i="33" s="1"/>
  <c r="D20" i="33"/>
  <c r="B20" i="33"/>
  <c r="Z19" i="33"/>
  <c r="P19" i="33"/>
  <c r="X19" i="33" s="1"/>
  <c r="N19" i="33"/>
  <c r="L19" i="33"/>
  <c r="D19" i="33"/>
  <c r="B19" i="33"/>
  <c r="Z18" i="33"/>
  <c r="P18" i="33"/>
  <c r="X18" i="33" s="1"/>
  <c r="N18" i="33"/>
  <c r="L18" i="33"/>
  <c r="D18" i="33"/>
  <c r="B18" i="33"/>
  <c r="Z17" i="33"/>
  <c r="P17" i="33"/>
  <c r="X17" i="33" s="1"/>
  <c r="N17" i="33"/>
  <c r="D17" i="33"/>
  <c r="L17" i="33" s="1"/>
  <c r="B17" i="33"/>
  <c r="Z16" i="33"/>
  <c r="P16" i="33"/>
  <c r="X16" i="33" s="1"/>
  <c r="N16" i="33"/>
  <c r="D16" i="33"/>
  <c r="L16" i="33" s="1"/>
  <c r="B16" i="33"/>
  <c r="Z15" i="33"/>
  <c r="X15" i="33"/>
  <c r="P15" i="33"/>
  <c r="N15" i="33"/>
  <c r="D15" i="33"/>
  <c r="L15" i="33" s="1"/>
  <c r="B15" i="33"/>
  <c r="Z14" i="33"/>
  <c r="P14" i="33"/>
  <c r="X14" i="33" s="1"/>
  <c r="N14" i="33"/>
  <c r="D14" i="33"/>
  <c r="L14" i="33" s="1"/>
  <c r="B14" i="33"/>
  <c r="X13" i="33"/>
  <c r="Z13" i="33" s="1"/>
  <c r="P13" i="33"/>
  <c r="D13" i="33"/>
  <c r="D12" i="33" s="1"/>
  <c r="B13" i="33"/>
  <c r="T12" i="33"/>
  <c r="H12" i="33"/>
  <c r="J77" i="33" s="1"/>
  <c r="D4" i="33"/>
  <c r="Z147" i="30"/>
  <c r="X147" i="30"/>
  <c r="N147" i="30"/>
  <c r="L147" i="30"/>
  <c r="X143" i="30"/>
  <c r="Z143" i="30" s="1"/>
  <c r="P143" i="30"/>
  <c r="L143" i="30"/>
  <c r="N143" i="30" s="1"/>
  <c r="D143" i="30"/>
  <c r="B143" i="30"/>
  <c r="P142" i="30"/>
  <c r="X142" i="30" s="1"/>
  <c r="Z142" i="30" s="1"/>
  <c r="D142" i="30"/>
  <c r="L142" i="30" s="1"/>
  <c r="N142" i="30" s="1"/>
  <c r="B142" i="30"/>
  <c r="X141" i="30"/>
  <c r="Z141" i="30" s="1"/>
  <c r="P141" i="30"/>
  <c r="D141" i="30"/>
  <c r="L141" i="30" s="1"/>
  <c r="N141" i="30" s="1"/>
  <c r="B141" i="30"/>
  <c r="T140" i="30"/>
  <c r="H140" i="30"/>
  <c r="D140" i="30"/>
  <c r="L140" i="30" s="1"/>
  <c r="N140" i="30" s="1"/>
  <c r="Z138" i="30"/>
  <c r="X138" i="30"/>
  <c r="N138" i="30"/>
  <c r="L138" i="30"/>
  <c r="B138" i="30"/>
  <c r="T137" i="30"/>
  <c r="P137" i="30"/>
  <c r="X137" i="30" s="1"/>
  <c r="Z137" i="30" s="1"/>
  <c r="L137" i="30"/>
  <c r="H137" i="30"/>
  <c r="N137" i="30" s="1"/>
  <c r="D137" i="30"/>
  <c r="B137" i="30"/>
  <c r="X136" i="30"/>
  <c r="Z136" i="30" s="1"/>
  <c r="N136" i="30"/>
  <c r="L136" i="30"/>
  <c r="B136" i="30"/>
  <c r="T135" i="30"/>
  <c r="P135" i="30"/>
  <c r="X135" i="30" s="1"/>
  <c r="L135" i="30"/>
  <c r="H135" i="30"/>
  <c r="N135" i="30" s="1"/>
  <c r="D135" i="30"/>
  <c r="B135" i="30"/>
  <c r="X134" i="30"/>
  <c r="Z134" i="30" s="1"/>
  <c r="N134" i="30"/>
  <c r="L134" i="30"/>
  <c r="B134" i="30"/>
  <c r="X133" i="30"/>
  <c r="Z133" i="30" s="1"/>
  <c r="T133" i="30"/>
  <c r="P133" i="30"/>
  <c r="N133" i="30"/>
  <c r="H133" i="30"/>
  <c r="D133" i="30"/>
  <c r="L133" i="30" s="1"/>
  <c r="B133" i="30"/>
  <c r="Z132" i="30"/>
  <c r="X132" i="30"/>
  <c r="L132" i="30"/>
  <c r="N132" i="30" s="1"/>
  <c r="B132" i="30"/>
  <c r="X131" i="30"/>
  <c r="Z131" i="30" s="1"/>
  <c r="L131" i="30"/>
  <c r="N131" i="30" s="1"/>
  <c r="B131" i="30"/>
  <c r="T130" i="30"/>
  <c r="P130" i="30"/>
  <c r="X130" i="30" s="1"/>
  <c r="Z130" i="30" s="1"/>
  <c r="H130" i="30"/>
  <c r="D130" i="30"/>
  <c r="L130" i="30" s="1"/>
  <c r="N130" i="30" s="1"/>
  <c r="B130" i="30"/>
  <c r="Z129" i="30"/>
  <c r="X129" i="30"/>
  <c r="N129" i="30"/>
  <c r="L129" i="30"/>
  <c r="B129" i="30"/>
  <c r="X128" i="30"/>
  <c r="Z128" i="30" s="1"/>
  <c r="N128" i="30"/>
  <c r="L128" i="30"/>
  <c r="B128" i="30"/>
  <c r="X127" i="30"/>
  <c r="Z127" i="30" s="1"/>
  <c r="N127" i="30"/>
  <c r="L127" i="30"/>
  <c r="B127" i="30"/>
  <c r="Z126" i="30"/>
  <c r="X126" i="30"/>
  <c r="L126" i="30"/>
  <c r="N126" i="30" s="1"/>
  <c r="B126" i="30"/>
  <c r="X125" i="30"/>
  <c r="Z125" i="30" s="1"/>
  <c r="L125" i="30"/>
  <c r="N125" i="30" s="1"/>
  <c r="B125" i="30"/>
  <c r="X124" i="30"/>
  <c r="Z124" i="30" s="1"/>
  <c r="T124" i="30"/>
  <c r="P124" i="30"/>
  <c r="H124" i="30"/>
  <c r="D124" i="30"/>
  <c r="L124" i="30" s="1"/>
  <c r="N124" i="30" s="1"/>
  <c r="B124" i="30"/>
  <c r="Z123" i="30"/>
  <c r="X123" i="30"/>
  <c r="L123" i="30"/>
  <c r="N123" i="30" s="1"/>
  <c r="B123" i="30"/>
  <c r="X122" i="30"/>
  <c r="Z122" i="30" s="1"/>
  <c r="N122" i="30"/>
  <c r="L122" i="30"/>
  <c r="B122" i="30"/>
  <c r="X121" i="30"/>
  <c r="Z121" i="30" s="1"/>
  <c r="T121" i="30"/>
  <c r="P121" i="30"/>
  <c r="H121" i="30"/>
  <c r="D121" i="30"/>
  <c r="L121" i="30" s="1"/>
  <c r="N121" i="30" s="1"/>
  <c r="B121" i="30"/>
  <c r="Z120" i="30"/>
  <c r="X120" i="30"/>
  <c r="L120" i="30"/>
  <c r="N120" i="30" s="1"/>
  <c r="B120" i="30"/>
  <c r="X119" i="30"/>
  <c r="Z119" i="30" s="1"/>
  <c r="N119" i="30"/>
  <c r="L119" i="30"/>
  <c r="B119" i="30"/>
  <c r="Z118" i="30"/>
  <c r="X118" i="30"/>
  <c r="N118" i="30"/>
  <c r="L118" i="30"/>
  <c r="B118" i="30"/>
  <c r="T117" i="30"/>
  <c r="P117" i="30"/>
  <c r="X117" i="30" s="1"/>
  <c r="Z117" i="30" s="1"/>
  <c r="L117" i="30"/>
  <c r="H117" i="30"/>
  <c r="N117" i="30" s="1"/>
  <c r="D117" i="30"/>
  <c r="B117" i="30"/>
  <c r="X116" i="30"/>
  <c r="Z116" i="30" s="1"/>
  <c r="N116" i="30"/>
  <c r="L116" i="30"/>
  <c r="B116" i="30"/>
  <c r="X115" i="30"/>
  <c r="Z115" i="30" s="1"/>
  <c r="N115" i="30"/>
  <c r="L115" i="30"/>
  <c r="B115" i="30"/>
  <c r="Z114" i="30"/>
  <c r="X114" i="30"/>
  <c r="L114" i="30"/>
  <c r="N114" i="30" s="1"/>
  <c r="B114" i="30"/>
  <c r="X113" i="30"/>
  <c r="T113" i="30"/>
  <c r="Z113" i="30" s="1"/>
  <c r="P113" i="30"/>
  <c r="H113" i="30"/>
  <c r="N113" i="30" s="1"/>
  <c r="D113" i="30"/>
  <c r="L113" i="30" s="1"/>
  <c r="B113" i="30"/>
  <c r="Z112" i="30"/>
  <c r="X112" i="30"/>
  <c r="N112" i="30"/>
  <c r="L112" i="30"/>
  <c r="B112" i="30"/>
  <c r="Z111" i="30"/>
  <c r="X111" i="30"/>
  <c r="L111" i="30"/>
  <c r="N111" i="30" s="1"/>
  <c r="B111" i="30"/>
  <c r="T110" i="30"/>
  <c r="P110" i="30"/>
  <c r="H110" i="30"/>
  <c r="D110" i="30"/>
  <c r="L110" i="30" s="1"/>
  <c r="N110" i="30" s="1"/>
  <c r="B110" i="30"/>
  <c r="Z109" i="30"/>
  <c r="X109" i="30"/>
  <c r="L109" i="30"/>
  <c r="N109" i="30" s="1"/>
  <c r="B109" i="30"/>
  <c r="T108" i="30"/>
  <c r="P108" i="30"/>
  <c r="X108" i="30" s="1"/>
  <c r="H108" i="30"/>
  <c r="D108" i="30"/>
  <c r="L108" i="30" s="1"/>
  <c r="N108" i="30" s="1"/>
  <c r="B108" i="30"/>
  <c r="Z107" i="30"/>
  <c r="X107" i="30"/>
  <c r="N107" i="30"/>
  <c r="L107" i="30"/>
  <c r="B107" i="30"/>
  <c r="T106" i="30"/>
  <c r="P106" i="30"/>
  <c r="X106" i="30" s="1"/>
  <c r="Z106" i="30" s="1"/>
  <c r="N106" i="30"/>
  <c r="L106" i="30"/>
  <c r="H106" i="30"/>
  <c r="D106" i="30"/>
  <c r="B106" i="30"/>
  <c r="X105" i="30"/>
  <c r="Z105" i="30" s="1"/>
  <c r="N105" i="30"/>
  <c r="L105" i="30"/>
  <c r="J105" i="30"/>
  <c r="B105" i="30"/>
  <c r="T104" i="30"/>
  <c r="P104" i="30"/>
  <c r="X104" i="30" s="1"/>
  <c r="Z104" i="30" s="1"/>
  <c r="H104" i="30"/>
  <c r="D104" i="30"/>
  <c r="B104" i="30"/>
  <c r="X103" i="30"/>
  <c r="Z103" i="30" s="1"/>
  <c r="N103" i="30"/>
  <c r="L103" i="30"/>
  <c r="B103" i="30"/>
  <c r="T102" i="30"/>
  <c r="P102" i="30"/>
  <c r="X102" i="30" s="1"/>
  <c r="H102" i="30"/>
  <c r="N102" i="30" s="1"/>
  <c r="D102" i="30"/>
  <c r="L102" i="30" s="1"/>
  <c r="B102" i="30"/>
  <c r="X101" i="30"/>
  <c r="Z101" i="30" s="1"/>
  <c r="N101" i="30"/>
  <c r="L101" i="30"/>
  <c r="B101" i="30"/>
  <c r="X100" i="30"/>
  <c r="T100" i="30"/>
  <c r="Z100" i="30" s="1"/>
  <c r="P100" i="30"/>
  <c r="N100" i="30"/>
  <c r="H100" i="30"/>
  <c r="D100" i="30"/>
  <c r="L100" i="30" s="1"/>
  <c r="B100" i="30"/>
  <c r="Z99" i="30"/>
  <c r="X99" i="30"/>
  <c r="L99" i="30"/>
  <c r="N99" i="30" s="1"/>
  <c r="B99" i="30"/>
  <c r="T98" i="30"/>
  <c r="P98" i="30"/>
  <c r="H98" i="30"/>
  <c r="D98" i="30"/>
  <c r="L98" i="30" s="1"/>
  <c r="N98" i="30" s="1"/>
  <c r="B98" i="30"/>
  <c r="Z97" i="30"/>
  <c r="X97" i="30"/>
  <c r="L97" i="30"/>
  <c r="N97" i="30" s="1"/>
  <c r="B97" i="30"/>
  <c r="T96" i="30"/>
  <c r="P96" i="30"/>
  <c r="X96" i="30" s="1"/>
  <c r="J96" i="30"/>
  <c r="H96" i="30"/>
  <c r="D96" i="30"/>
  <c r="L96" i="30" s="1"/>
  <c r="B96" i="30"/>
  <c r="Z95" i="30"/>
  <c r="X95" i="30"/>
  <c r="N95" i="30"/>
  <c r="L95" i="30"/>
  <c r="B95" i="30"/>
  <c r="T94" i="30"/>
  <c r="P94" i="30"/>
  <c r="X94" i="30" s="1"/>
  <c r="Z94" i="30" s="1"/>
  <c r="L94" i="30"/>
  <c r="H94" i="30"/>
  <c r="D94" i="30"/>
  <c r="B94" i="30"/>
  <c r="Z93" i="30"/>
  <c r="X93" i="30"/>
  <c r="N93" i="30"/>
  <c r="L93" i="30"/>
  <c r="J93" i="30"/>
  <c r="B93" i="30"/>
  <c r="T92" i="30"/>
  <c r="P92" i="30"/>
  <c r="X92" i="30" s="1"/>
  <c r="Z92" i="30" s="1"/>
  <c r="H92" i="30"/>
  <c r="D92" i="30"/>
  <c r="B92" i="30"/>
  <c r="X91" i="30"/>
  <c r="Z91" i="30" s="1"/>
  <c r="N91" i="30"/>
  <c r="L91" i="30"/>
  <c r="B91" i="30"/>
  <c r="T90" i="30"/>
  <c r="Z90" i="30" s="1"/>
  <c r="P90" i="30"/>
  <c r="X90" i="30" s="1"/>
  <c r="H90" i="30"/>
  <c r="N90" i="30" s="1"/>
  <c r="D90" i="30"/>
  <c r="L90" i="30" s="1"/>
  <c r="B90" i="30"/>
  <c r="X89" i="30"/>
  <c r="Z89" i="30" s="1"/>
  <c r="N89" i="30"/>
  <c r="L89" i="30"/>
  <c r="B89" i="30"/>
  <c r="Z88" i="30"/>
  <c r="X88" i="30"/>
  <c r="N88" i="30"/>
  <c r="L88" i="30"/>
  <c r="B88" i="30"/>
  <c r="T87" i="30"/>
  <c r="P87" i="30"/>
  <c r="X87" i="30" s="1"/>
  <c r="Z87" i="30" s="1"/>
  <c r="L87" i="30"/>
  <c r="H87" i="30"/>
  <c r="N87" i="30" s="1"/>
  <c r="D87" i="30"/>
  <c r="B87" i="30"/>
  <c r="X86" i="30"/>
  <c r="Z86" i="30" s="1"/>
  <c r="N86" i="30"/>
  <c r="L86" i="30"/>
  <c r="J86" i="30"/>
  <c r="B86" i="30"/>
  <c r="Z85" i="30"/>
  <c r="X85" i="30"/>
  <c r="T85" i="30"/>
  <c r="P85" i="30"/>
  <c r="H85" i="30"/>
  <c r="D85" i="30"/>
  <c r="L85" i="30" s="1"/>
  <c r="N85" i="30" s="1"/>
  <c r="B85" i="30"/>
  <c r="Z84" i="30"/>
  <c r="X84" i="30"/>
  <c r="N84" i="30"/>
  <c r="L84" i="30"/>
  <c r="B84" i="30"/>
  <c r="Z83" i="30"/>
  <c r="X83" i="30"/>
  <c r="N83" i="30"/>
  <c r="L83" i="30"/>
  <c r="B83" i="30"/>
  <c r="Z82" i="30"/>
  <c r="X82" i="30"/>
  <c r="N82" i="30"/>
  <c r="L82" i="30"/>
  <c r="B82" i="30"/>
  <c r="Z81" i="30"/>
  <c r="X81" i="30"/>
  <c r="L81" i="30"/>
  <c r="N81" i="30" s="1"/>
  <c r="B81" i="30"/>
  <c r="Z80" i="30"/>
  <c r="X80" i="30"/>
  <c r="N80" i="30"/>
  <c r="L80" i="30"/>
  <c r="B80" i="30"/>
  <c r="Z79" i="30"/>
  <c r="X79" i="30"/>
  <c r="N79" i="30"/>
  <c r="L79" i="30"/>
  <c r="B79" i="30"/>
  <c r="Z78" i="30"/>
  <c r="X78" i="30"/>
  <c r="N78" i="30"/>
  <c r="L78" i="30"/>
  <c r="B78" i="30"/>
  <c r="Z77" i="30"/>
  <c r="X77" i="30"/>
  <c r="N77" i="30"/>
  <c r="L77" i="30"/>
  <c r="B77" i="30"/>
  <c r="Z76" i="30"/>
  <c r="X76" i="30"/>
  <c r="L76" i="30"/>
  <c r="N76" i="30" s="1"/>
  <c r="B76" i="30"/>
  <c r="Z75" i="30"/>
  <c r="X75" i="30"/>
  <c r="N75" i="30"/>
  <c r="L75" i="30"/>
  <c r="B75" i="30"/>
  <c r="T74" i="30"/>
  <c r="P74" i="30"/>
  <c r="X74" i="30" s="1"/>
  <c r="Z74" i="30" s="1"/>
  <c r="H74" i="30"/>
  <c r="D74" i="30"/>
  <c r="L74" i="30" s="1"/>
  <c r="B74" i="30"/>
  <c r="Z73" i="30"/>
  <c r="X73" i="30"/>
  <c r="N73" i="30"/>
  <c r="L73" i="30"/>
  <c r="B73" i="30"/>
  <c r="X72" i="30"/>
  <c r="Z72" i="30" s="1"/>
  <c r="N72" i="30"/>
  <c r="L72" i="30"/>
  <c r="B72" i="30"/>
  <c r="X71" i="30"/>
  <c r="Z71" i="30" s="1"/>
  <c r="N71" i="30"/>
  <c r="L71" i="30"/>
  <c r="B71" i="30"/>
  <c r="Z70" i="30"/>
  <c r="X70" i="30"/>
  <c r="N70" i="30"/>
  <c r="L70" i="30"/>
  <c r="B70" i="30"/>
  <c r="X69" i="30"/>
  <c r="Z69" i="30" s="1"/>
  <c r="N69" i="30"/>
  <c r="L69" i="30"/>
  <c r="B69" i="30"/>
  <c r="X68" i="30"/>
  <c r="Z68" i="30" s="1"/>
  <c r="N68" i="30"/>
  <c r="L68" i="30"/>
  <c r="B68" i="30"/>
  <c r="X67" i="30"/>
  <c r="Z67" i="30" s="1"/>
  <c r="N67" i="30"/>
  <c r="L67" i="30"/>
  <c r="B67" i="30"/>
  <c r="Z66" i="30"/>
  <c r="X66" i="30"/>
  <c r="L66" i="30"/>
  <c r="N66" i="30" s="1"/>
  <c r="B66" i="30"/>
  <c r="X65" i="30"/>
  <c r="Z65" i="30" s="1"/>
  <c r="N65" i="30"/>
  <c r="L65" i="30"/>
  <c r="B65" i="30"/>
  <c r="X64" i="30"/>
  <c r="T64" i="30"/>
  <c r="P64" i="30"/>
  <c r="H64" i="30"/>
  <c r="D64" i="30"/>
  <c r="L64" i="30" s="1"/>
  <c r="N64" i="30" s="1"/>
  <c r="B64" i="30"/>
  <c r="T63" i="30"/>
  <c r="P63" i="30"/>
  <c r="X63" i="30" s="1"/>
  <c r="H63" i="30"/>
  <c r="D63" i="30"/>
  <c r="L63" i="30" s="1"/>
  <c r="Z59" i="30"/>
  <c r="X59" i="30"/>
  <c r="N59" i="30"/>
  <c r="L59" i="30"/>
  <c r="B59" i="30"/>
  <c r="Z58" i="30"/>
  <c r="X58" i="30"/>
  <c r="N58" i="30"/>
  <c r="L58" i="30"/>
  <c r="J58" i="30"/>
  <c r="B58" i="30"/>
  <c r="Z57" i="30"/>
  <c r="X57" i="30"/>
  <c r="N57" i="30"/>
  <c r="L57" i="30"/>
  <c r="J57" i="30"/>
  <c r="B57" i="30"/>
  <c r="Z56" i="30"/>
  <c r="X56" i="30"/>
  <c r="N56" i="30"/>
  <c r="L56" i="30"/>
  <c r="B56" i="30"/>
  <c r="Z55" i="30"/>
  <c r="X55" i="30"/>
  <c r="N55" i="30"/>
  <c r="L55" i="30"/>
  <c r="B55" i="30"/>
  <c r="Z54" i="30"/>
  <c r="X54" i="30"/>
  <c r="N54" i="30"/>
  <c r="L54" i="30"/>
  <c r="J54" i="30"/>
  <c r="B54" i="30"/>
  <c r="Z53" i="30"/>
  <c r="X53" i="30"/>
  <c r="N53" i="30"/>
  <c r="L53" i="30"/>
  <c r="J53" i="30"/>
  <c r="B53" i="30"/>
  <c r="Z52" i="30"/>
  <c r="X52" i="30"/>
  <c r="N52" i="30"/>
  <c r="L52" i="30"/>
  <c r="B52" i="30"/>
  <c r="Z51" i="30"/>
  <c r="X51" i="30"/>
  <c r="N51" i="30"/>
  <c r="L51" i="30"/>
  <c r="B51" i="30"/>
  <c r="Z50" i="30"/>
  <c r="X50" i="30"/>
  <c r="N50" i="30"/>
  <c r="L50" i="30"/>
  <c r="J50" i="30"/>
  <c r="B50" i="30"/>
  <c r="Z49" i="30"/>
  <c r="X49" i="30"/>
  <c r="N49" i="30"/>
  <c r="L49" i="30"/>
  <c r="J49" i="30"/>
  <c r="B49" i="30"/>
  <c r="Z48" i="30"/>
  <c r="X48" i="30"/>
  <c r="N48" i="30"/>
  <c r="L48" i="30"/>
  <c r="B48" i="30"/>
  <c r="Z47" i="30"/>
  <c r="X47" i="30"/>
  <c r="N47" i="30"/>
  <c r="L47" i="30"/>
  <c r="B47" i="30"/>
  <c r="Z46" i="30"/>
  <c r="X46" i="30"/>
  <c r="N46" i="30"/>
  <c r="L46" i="30"/>
  <c r="J46" i="30"/>
  <c r="B46" i="30"/>
  <c r="Z45" i="30"/>
  <c r="X45" i="30"/>
  <c r="N45" i="30"/>
  <c r="L45" i="30"/>
  <c r="J45" i="30"/>
  <c r="B45" i="30"/>
  <c r="Z44" i="30"/>
  <c r="X44" i="30"/>
  <c r="N44" i="30"/>
  <c r="L44" i="30"/>
  <c r="B44" i="30"/>
  <c r="Z43" i="30"/>
  <c r="X43" i="30"/>
  <c r="N43" i="30"/>
  <c r="L43" i="30"/>
  <c r="B43" i="30"/>
  <c r="Z42" i="30"/>
  <c r="X42" i="30"/>
  <c r="N42" i="30"/>
  <c r="L42" i="30"/>
  <c r="J42" i="30"/>
  <c r="B42" i="30"/>
  <c r="Z41" i="30"/>
  <c r="X41" i="30"/>
  <c r="N41" i="30"/>
  <c r="L41" i="30"/>
  <c r="J41" i="30"/>
  <c r="B41" i="30"/>
  <c r="Z40" i="30"/>
  <c r="X40" i="30"/>
  <c r="L40" i="30"/>
  <c r="N40" i="30" s="1"/>
  <c r="B40" i="30"/>
  <c r="Z39" i="30"/>
  <c r="T39" i="30"/>
  <c r="P39" i="30"/>
  <c r="X39" i="30" s="1"/>
  <c r="H39" i="30"/>
  <c r="D39" i="30"/>
  <c r="L39" i="30" s="1"/>
  <c r="Z37" i="30"/>
  <c r="P37" i="30"/>
  <c r="X37" i="30" s="1"/>
  <c r="N37" i="30"/>
  <c r="D37" i="30"/>
  <c r="L37" i="30" s="1"/>
  <c r="B37" i="30"/>
  <c r="Z36" i="30"/>
  <c r="P36" i="30"/>
  <c r="X36" i="30" s="1"/>
  <c r="N36" i="30"/>
  <c r="D36" i="30"/>
  <c r="L36" i="30" s="1"/>
  <c r="B36" i="30"/>
  <c r="Z35" i="30"/>
  <c r="X35" i="30"/>
  <c r="P35" i="30"/>
  <c r="N35" i="30"/>
  <c r="L35" i="30"/>
  <c r="D35" i="30"/>
  <c r="B35" i="30"/>
  <c r="Z34" i="30"/>
  <c r="P34" i="30"/>
  <c r="X34" i="30" s="1"/>
  <c r="N34" i="30"/>
  <c r="D34" i="30"/>
  <c r="L34" i="30" s="1"/>
  <c r="B34" i="30"/>
  <c r="Z33" i="30"/>
  <c r="X33" i="30"/>
  <c r="P33" i="30"/>
  <c r="N33" i="30"/>
  <c r="D33" i="30"/>
  <c r="L33" i="30" s="1"/>
  <c r="B33" i="30"/>
  <c r="Z32" i="30"/>
  <c r="X32" i="30"/>
  <c r="P32" i="30"/>
  <c r="N32" i="30"/>
  <c r="L32" i="30"/>
  <c r="D32" i="30"/>
  <c r="B32" i="30"/>
  <c r="Z31" i="30"/>
  <c r="P31" i="30"/>
  <c r="X31" i="30" s="1"/>
  <c r="N31" i="30"/>
  <c r="D31" i="30"/>
  <c r="L31" i="30" s="1"/>
  <c r="B31" i="30"/>
  <c r="Z30" i="30"/>
  <c r="P30" i="30"/>
  <c r="X30" i="30" s="1"/>
  <c r="N30" i="30"/>
  <c r="L30" i="30"/>
  <c r="D30" i="30"/>
  <c r="B30" i="30"/>
  <c r="Z29" i="30"/>
  <c r="X29" i="30"/>
  <c r="P29" i="30"/>
  <c r="N29" i="30"/>
  <c r="L29" i="30"/>
  <c r="D29" i="30"/>
  <c r="B29" i="30"/>
  <c r="Z28" i="30"/>
  <c r="P28" i="30"/>
  <c r="X28" i="30" s="1"/>
  <c r="N28" i="30"/>
  <c r="L28" i="30"/>
  <c r="D28" i="30"/>
  <c r="B28" i="30"/>
  <c r="Z27" i="30"/>
  <c r="P27" i="30"/>
  <c r="X27" i="30" s="1"/>
  <c r="N27" i="30"/>
  <c r="D27" i="30"/>
  <c r="L27" i="30" s="1"/>
  <c r="B27" i="30"/>
  <c r="Z26" i="30"/>
  <c r="P26" i="30"/>
  <c r="X26" i="30" s="1"/>
  <c r="N26" i="30"/>
  <c r="L26" i="30"/>
  <c r="D26" i="30"/>
  <c r="B26" i="30"/>
  <c r="Z25" i="30"/>
  <c r="P25" i="30"/>
  <c r="X25" i="30" s="1"/>
  <c r="N25" i="30"/>
  <c r="D25" i="30"/>
  <c r="L25" i="30" s="1"/>
  <c r="B25" i="30"/>
  <c r="Z24" i="30"/>
  <c r="P24" i="30"/>
  <c r="X24" i="30" s="1"/>
  <c r="N24" i="30"/>
  <c r="D24" i="30"/>
  <c r="L24" i="30" s="1"/>
  <c r="B24" i="30"/>
  <c r="Z23" i="30"/>
  <c r="X23" i="30"/>
  <c r="P23" i="30"/>
  <c r="N23" i="30"/>
  <c r="D23" i="30"/>
  <c r="L23" i="30" s="1"/>
  <c r="B23" i="30"/>
  <c r="Z22" i="30"/>
  <c r="P22" i="30"/>
  <c r="X22" i="30" s="1"/>
  <c r="N22" i="30"/>
  <c r="D22" i="30"/>
  <c r="L22" i="30" s="1"/>
  <c r="B22" i="30"/>
  <c r="Z21" i="30"/>
  <c r="X21" i="30"/>
  <c r="P21" i="30"/>
  <c r="N21" i="30"/>
  <c r="D21" i="30"/>
  <c r="L21" i="30" s="1"/>
  <c r="B21" i="30"/>
  <c r="Z20" i="30"/>
  <c r="X20" i="30"/>
  <c r="P20" i="30"/>
  <c r="N20" i="30"/>
  <c r="L20" i="30"/>
  <c r="D20" i="30"/>
  <c r="B20" i="30"/>
  <c r="Z19" i="30"/>
  <c r="X19" i="30"/>
  <c r="P19" i="30"/>
  <c r="N19" i="30"/>
  <c r="D19" i="30"/>
  <c r="L19" i="30" s="1"/>
  <c r="B19" i="30"/>
  <c r="Z18" i="30"/>
  <c r="P18" i="30"/>
  <c r="X18" i="30" s="1"/>
  <c r="N18" i="30"/>
  <c r="L18" i="30"/>
  <c r="D18" i="30"/>
  <c r="B18" i="30"/>
  <c r="Z17" i="30"/>
  <c r="X17" i="30"/>
  <c r="P17" i="30"/>
  <c r="N17" i="30"/>
  <c r="L17" i="30"/>
  <c r="D17" i="30"/>
  <c r="B17" i="30"/>
  <c r="Z16" i="30"/>
  <c r="P16" i="30"/>
  <c r="X16" i="30" s="1"/>
  <c r="N16" i="30"/>
  <c r="L16" i="30"/>
  <c r="D16" i="30"/>
  <c r="B16" i="30"/>
  <c r="Z15" i="30"/>
  <c r="P15" i="30"/>
  <c r="X15" i="30" s="1"/>
  <c r="N15" i="30"/>
  <c r="D15" i="30"/>
  <c r="L15" i="30" s="1"/>
  <c r="B15" i="30"/>
  <c r="Z14" i="30"/>
  <c r="P14" i="30"/>
  <c r="X14" i="30" s="1"/>
  <c r="N14" i="30"/>
  <c r="L14" i="30"/>
  <c r="D14" i="30"/>
  <c r="B14" i="30"/>
  <c r="Z13" i="30"/>
  <c r="X13" i="30"/>
  <c r="P13" i="30"/>
  <c r="D13" i="30"/>
  <c r="B13" i="30"/>
  <c r="T12" i="30"/>
  <c r="H12" i="30"/>
  <c r="J147" i="30" s="1"/>
  <c r="D4" i="30"/>
  <c r="X117" i="27"/>
  <c r="Z117" i="27" s="1"/>
  <c r="V117" i="27"/>
  <c r="L117" i="27"/>
  <c r="N117" i="27" s="1"/>
  <c r="P113" i="27"/>
  <c r="X113" i="27" s="1"/>
  <c r="Z113" i="27" s="1"/>
  <c r="N113" i="27"/>
  <c r="L113" i="27"/>
  <c r="D113" i="27"/>
  <c r="B113" i="27"/>
  <c r="Z112" i="27"/>
  <c r="P112" i="27"/>
  <c r="X112" i="27" s="1"/>
  <c r="N112" i="27"/>
  <c r="L112" i="27"/>
  <c r="J112" i="27"/>
  <c r="D112" i="27"/>
  <c r="B112" i="27"/>
  <c r="Z111" i="27"/>
  <c r="P111" i="27"/>
  <c r="X111" i="27" s="1"/>
  <c r="N111" i="27"/>
  <c r="L111" i="27"/>
  <c r="J111" i="27"/>
  <c r="F111" i="27"/>
  <c r="D111" i="27"/>
  <c r="B111" i="27"/>
  <c r="T110" i="27"/>
  <c r="P110" i="27"/>
  <c r="X110" i="27" s="1"/>
  <c r="Z110" i="27" s="1"/>
  <c r="J110" i="27"/>
  <c r="H110" i="27"/>
  <c r="D110" i="27"/>
  <c r="Z108" i="27"/>
  <c r="X108" i="27"/>
  <c r="N108" i="27"/>
  <c r="L108" i="27"/>
  <c r="B108" i="27"/>
  <c r="T107" i="27"/>
  <c r="P107" i="27"/>
  <c r="X107" i="27" s="1"/>
  <c r="Z107" i="27" s="1"/>
  <c r="H107" i="27"/>
  <c r="N107" i="27" s="1"/>
  <c r="D107" i="27"/>
  <c r="L107" i="27" s="1"/>
  <c r="B107" i="27"/>
  <c r="X106" i="27"/>
  <c r="Z106" i="27" s="1"/>
  <c r="N106" i="27"/>
  <c r="L106" i="27"/>
  <c r="B106" i="27"/>
  <c r="X105" i="27"/>
  <c r="Z105" i="27" s="1"/>
  <c r="V105" i="27"/>
  <c r="T105" i="27"/>
  <c r="P105" i="27"/>
  <c r="H105" i="27"/>
  <c r="N105" i="27" s="1"/>
  <c r="D105" i="27"/>
  <c r="L105" i="27" s="1"/>
  <c r="B105" i="27"/>
  <c r="Z104" i="27"/>
  <c r="X104" i="27"/>
  <c r="N104" i="27"/>
  <c r="L104" i="27"/>
  <c r="B104" i="27"/>
  <c r="Z103" i="27"/>
  <c r="X103" i="27"/>
  <c r="N103" i="27"/>
  <c r="L103" i="27"/>
  <c r="B103" i="27"/>
  <c r="T102" i="27"/>
  <c r="Z102" i="27" s="1"/>
  <c r="P102" i="27"/>
  <c r="X102" i="27" s="1"/>
  <c r="L102" i="27"/>
  <c r="N102" i="27" s="1"/>
  <c r="H102" i="27"/>
  <c r="D102" i="27"/>
  <c r="B102" i="27"/>
  <c r="X101" i="27"/>
  <c r="Z101" i="27" s="1"/>
  <c r="L101" i="27"/>
  <c r="N101" i="27" s="1"/>
  <c r="J101" i="27"/>
  <c r="B101" i="27"/>
  <c r="Z100" i="27"/>
  <c r="X100" i="27"/>
  <c r="L100" i="27"/>
  <c r="N100" i="27" s="1"/>
  <c r="B100" i="27"/>
  <c r="Z99" i="27"/>
  <c r="X99" i="27"/>
  <c r="N99" i="27"/>
  <c r="L99" i="27"/>
  <c r="B99" i="27"/>
  <c r="V98" i="27"/>
  <c r="T98" i="27"/>
  <c r="P98" i="27"/>
  <c r="H98" i="27"/>
  <c r="D98" i="27"/>
  <c r="L98" i="27" s="1"/>
  <c r="N98" i="27" s="1"/>
  <c r="B98" i="27"/>
  <c r="X97" i="27"/>
  <c r="Z97" i="27" s="1"/>
  <c r="V97" i="27"/>
  <c r="L97" i="27"/>
  <c r="N97" i="27" s="1"/>
  <c r="B97" i="27"/>
  <c r="T96" i="27"/>
  <c r="Z96" i="27" s="1"/>
  <c r="P96" i="27"/>
  <c r="X96" i="27" s="1"/>
  <c r="H96" i="27"/>
  <c r="D96" i="27"/>
  <c r="L96" i="27" s="1"/>
  <c r="B96" i="27"/>
  <c r="Z95" i="27"/>
  <c r="X95" i="27"/>
  <c r="N95" i="27"/>
  <c r="L95" i="27"/>
  <c r="B95" i="27"/>
  <c r="X94" i="27"/>
  <c r="Z94" i="27" s="1"/>
  <c r="L94" i="27"/>
  <c r="N94" i="27" s="1"/>
  <c r="J94" i="27"/>
  <c r="B94" i="27"/>
  <c r="T93" i="27"/>
  <c r="P93" i="27"/>
  <c r="X93" i="27" s="1"/>
  <c r="H93" i="27"/>
  <c r="D93" i="27"/>
  <c r="B93" i="27"/>
  <c r="X92" i="27"/>
  <c r="Z92" i="27" s="1"/>
  <c r="L92" i="27"/>
  <c r="N92" i="27" s="1"/>
  <c r="B92" i="27"/>
  <c r="Z91" i="27"/>
  <c r="X91" i="27"/>
  <c r="T91" i="27"/>
  <c r="P91" i="27"/>
  <c r="H91" i="27"/>
  <c r="D91" i="27"/>
  <c r="L91" i="27" s="1"/>
  <c r="B91" i="27"/>
  <c r="Z90" i="27"/>
  <c r="X90" i="27"/>
  <c r="N90" i="27"/>
  <c r="L90" i="27"/>
  <c r="B90" i="27"/>
  <c r="Z89" i="27"/>
  <c r="X89" i="27"/>
  <c r="V89" i="27"/>
  <c r="T89" i="27"/>
  <c r="P89" i="27"/>
  <c r="H89" i="27"/>
  <c r="N89" i="27" s="1"/>
  <c r="D89" i="27"/>
  <c r="L89" i="27" s="1"/>
  <c r="B89" i="27"/>
  <c r="X88" i="27"/>
  <c r="Z88" i="27" s="1"/>
  <c r="N88" i="27"/>
  <c r="L88" i="27"/>
  <c r="B88" i="27"/>
  <c r="T87" i="27"/>
  <c r="P87" i="27"/>
  <c r="H87" i="27"/>
  <c r="D87" i="27"/>
  <c r="L87" i="27" s="1"/>
  <c r="B87" i="27"/>
  <c r="X86" i="27"/>
  <c r="Z86" i="27" s="1"/>
  <c r="V86" i="27"/>
  <c r="N86" i="27"/>
  <c r="L86" i="27"/>
  <c r="B86" i="27"/>
  <c r="T85" i="27"/>
  <c r="P85" i="27"/>
  <c r="X85" i="27" s="1"/>
  <c r="H85" i="27"/>
  <c r="D85" i="27"/>
  <c r="L85" i="27" s="1"/>
  <c r="N85" i="27" s="1"/>
  <c r="B85" i="27"/>
  <c r="X84" i="27"/>
  <c r="Z84" i="27" s="1"/>
  <c r="L84" i="27"/>
  <c r="N84" i="27" s="1"/>
  <c r="B84" i="27"/>
  <c r="T83" i="27"/>
  <c r="Z83" i="27" s="1"/>
  <c r="P83" i="27"/>
  <c r="X83" i="27" s="1"/>
  <c r="L83" i="27"/>
  <c r="N83" i="27" s="1"/>
  <c r="J83" i="27"/>
  <c r="H83" i="27"/>
  <c r="D83" i="27"/>
  <c r="B83" i="27"/>
  <c r="Z82" i="27"/>
  <c r="X82" i="27"/>
  <c r="N82" i="27"/>
  <c r="L82" i="27"/>
  <c r="J82" i="27"/>
  <c r="B82" i="27"/>
  <c r="X81" i="27"/>
  <c r="Z81" i="27" s="1"/>
  <c r="L81" i="27"/>
  <c r="N81" i="27" s="1"/>
  <c r="B81" i="27"/>
  <c r="X80" i="27"/>
  <c r="Z80" i="27" s="1"/>
  <c r="T80" i="27"/>
  <c r="P80" i="27"/>
  <c r="H80" i="27"/>
  <c r="D80" i="27"/>
  <c r="L80" i="27" s="1"/>
  <c r="B80" i="27"/>
  <c r="Z79" i="27"/>
  <c r="X79" i="27"/>
  <c r="L79" i="27"/>
  <c r="N79" i="27" s="1"/>
  <c r="B79" i="27"/>
  <c r="T78" i="27"/>
  <c r="P78" i="27"/>
  <c r="H78" i="27"/>
  <c r="N78" i="27" s="1"/>
  <c r="D78" i="27"/>
  <c r="L78" i="27" s="1"/>
  <c r="B78" i="27"/>
  <c r="Z77" i="27"/>
  <c r="X77" i="27"/>
  <c r="V77" i="27"/>
  <c r="N77" i="27"/>
  <c r="L77" i="27"/>
  <c r="B77" i="27"/>
  <c r="Z76" i="27"/>
  <c r="X76" i="27"/>
  <c r="N76" i="27"/>
  <c r="L76" i="27"/>
  <c r="B76" i="27"/>
  <c r="X75" i="27"/>
  <c r="Z75" i="27" s="1"/>
  <c r="N75" i="27"/>
  <c r="L75" i="27"/>
  <c r="B75" i="27"/>
  <c r="Z74" i="27"/>
  <c r="X74" i="27"/>
  <c r="L74" i="27"/>
  <c r="N74" i="27" s="1"/>
  <c r="B74" i="27"/>
  <c r="Z73" i="27"/>
  <c r="X73" i="27"/>
  <c r="V73" i="27"/>
  <c r="N73" i="27"/>
  <c r="L73" i="27"/>
  <c r="B73" i="27"/>
  <c r="X72" i="27"/>
  <c r="Z72" i="27" s="1"/>
  <c r="N72" i="27"/>
  <c r="L72" i="27"/>
  <c r="B72" i="27"/>
  <c r="X71" i="27"/>
  <c r="Z71" i="27" s="1"/>
  <c r="N71" i="27"/>
  <c r="L71" i="27"/>
  <c r="B71" i="27"/>
  <c r="Z70" i="27"/>
  <c r="X70" i="27"/>
  <c r="N70" i="27"/>
  <c r="L70" i="27"/>
  <c r="B70" i="27"/>
  <c r="X69" i="27"/>
  <c r="Z69" i="27" s="1"/>
  <c r="V69" i="27"/>
  <c r="L69" i="27"/>
  <c r="N69" i="27" s="1"/>
  <c r="B69" i="27"/>
  <c r="Z68" i="27"/>
  <c r="X68" i="27"/>
  <c r="N68" i="27"/>
  <c r="L68" i="27"/>
  <c r="B68" i="27"/>
  <c r="T67" i="27"/>
  <c r="Z67" i="27" s="1"/>
  <c r="P67" i="27"/>
  <c r="X67" i="27" s="1"/>
  <c r="L67" i="27"/>
  <c r="N67" i="27" s="1"/>
  <c r="J67" i="27"/>
  <c r="H67" i="27"/>
  <c r="D67" i="27"/>
  <c r="B67" i="27"/>
  <c r="X66" i="27"/>
  <c r="Z66" i="27" s="1"/>
  <c r="N66" i="27"/>
  <c r="L66" i="27"/>
  <c r="J66" i="27"/>
  <c r="B66" i="27"/>
  <c r="X65" i="27"/>
  <c r="Z65" i="27" s="1"/>
  <c r="N65" i="27"/>
  <c r="L65" i="27"/>
  <c r="B65" i="27"/>
  <c r="X64" i="27"/>
  <c r="Z64" i="27" s="1"/>
  <c r="N64" i="27"/>
  <c r="L64" i="27"/>
  <c r="B64" i="27"/>
  <c r="Z63" i="27"/>
  <c r="X63" i="27"/>
  <c r="N63" i="27"/>
  <c r="L63" i="27"/>
  <c r="B63" i="27"/>
  <c r="Z62" i="27"/>
  <c r="X62" i="27"/>
  <c r="N62" i="27"/>
  <c r="L62" i="27"/>
  <c r="J62" i="27"/>
  <c r="B62" i="27"/>
  <c r="X61" i="27"/>
  <c r="Z61" i="27" s="1"/>
  <c r="L61" i="27"/>
  <c r="N61" i="27" s="1"/>
  <c r="B61" i="27"/>
  <c r="Z60" i="27"/>
  <c r="X60" i="27"/>
  <c r="N60" i="27"/>
  <c r="L60" i="27"/>
  <c r="B60" i="27"/>
  <c r="Z59" i="27"/>
  <c r="X59" i="27"/>
  <c r="N59" i="27"/>
  <c r="L59" i="27"/>
  <c r="B59" i="27"/>
  <c r="X58" i="27"/>
  <c r="Z58" i="27" s="1"/>
  <c r="L58" i="27"/>
  <c r="N58" i="27" s="1"/>
  <c r="J58" i="27"/>
  <c r="B58" i="27"/>
  <c r="X57" i="27"/>
  <c r="Z57" i="27" s="1"/>
  <c r="L57" i="27"/>
  <c r="N57" i="27" s="1"/>
  <c r="B57" i="27"/>
  <c r="Z56" i="27"/>
  <c r="X56" i="27"/>
  <c r="T56" i="27"/>
  <c r="P56" i="27"/>
  <c r="H56" i="27"/>
  <c r="N56" i="27" s="1"/>
  <c r="D56" i="27"/>
  <c r="L56" i="27" s="1"/>
  <c r="B56" i="27"/>
  <c r="T55" i="27"/>
  <c r="P55" i="27"/>
  <c r="X55" i="27" s="1"/>
  <c r="Z55" i="27" s="1"/>
  <c r="H55" i="27"/>
  <c r="D55" i="27"/>
  <c r="Z51" i="27"/>
  <c r="X51" i="27"/>
  <c r="N51" i="27"/>
  <c r="L51" i="27"/>
  <c r="B51" i="27"/>
  <c r="Z50" i="27"/>
  <c r="X50" i="27"/>
  <c r="V50" i="27"/>
  <c r="N50" i="27"/>
  <c r="L50" i="27"/>
  <c r="B50" i="27"/>
  <c r="Z49" i="27"/>
  <c r="X49" i="27"/>
  <c r="N49" i="27"/>
  <c r="L49" i="27"/>
  <c r="J49" i="27"/>
  <c r="B49" i="27"/>
  <c r="Z48" i="27"/>
  <c r="X48" i="27"/>
  <c r="N48" i="27"/>
  <c r="L48" i="27"/>
  <c r="B48" i="27"/>
  <c r="Z47" i="27"/>
  <c r="X47" i="27"/>
  <c r="N47" i="27"/>
  <c r="L47" i="27"/>
  <c r="B47" i="27"/>
  <c r="Z46" i="27"/>
  <c r="X46" i="27"/>
  <c r="V46" i="27"/>
  <c r="N46" i="27"/>
  <c r="L46" i="27"/>
  <c r="B46" i="27"/>
  <c r="Z45" i="27"/>
  <c r="X45" i="27"/>
  <c r="N45" i="27"/>
  <c r="L45" i="27"/>
  <c r="J45" i="27"/>
  <c r="B45" i="27"/>
  <c r="Z44" i="27"/>
  <c r="X44" i="27"/>
  <c r="N44" i="27"/>
  <c r="L44" i="27"/>
  <c r="B44" i="27"/>
  <c r="Z43" i="27"/>
  <c r="X43" i="27"/>
  <c r="N43" i="27"/>
  <c r="L43" i="27"/>
  <c r="B43" i="27"/>
  <c r="Z42" i="27"/>
  <c r="X42" i="27"/>
  <c r="V42" i="27"/>
  <c r="N42" i="27"/>
  <c r="L42" i="27"/>
  <c r="B42" i="27"/>
  <c r="Z41" i="27"/>
  <c r="X41" i="27"/>
  <c r="N41" i="27"/>
  <c r="L41" i="27"/>
  <c r="J41" i="27"/>
  <c r="B41" i="27"/>
  <c r="Z40" i="27"/>
  <c r="X40" i="27"/>
  <c r="N40" i="27"/>
  <c r="L40" i="27"/>
  <c r="B40" i="27"/>
  <c r="Z39" i="27"/>
  <c r="X39" i="27"/>
  <c r="N39" i="27"/>
  <c r="L39" i="27"/>
  <c r="B39" i="27"/>
  <c r="Z38" i="27"/>
  <c r="X38" i="27"/>
  <c r="V38" i="27"/>
  <c r="L38" i="27"/>
  <c r="N38" i="27" s="1"/>
  <c r="B38" i="27"/>
  <c r="X37" i="27"/>
  <c r="T37" i="27"/>
  <c r="Z37" i="27" s="1"/>
  <c r="P37" i="27"/>
  <c r="N37" i="27"/>
  <c r="H37" i="27"/>
  <c r="D37" i="27"/>
  <c r="L37" i="27" s="1"/>
  <c r="Z35" i="27"/>
  <c r="X35" i="27"/>
  <c r="P35" i="27"/>
  <c r="N35" i="27"/>
  <c r="D35" i="27"/>
  <c r="L35" i="27" s="1"/>
  <c r="B35" i="27"/>
  <c r="Z34" i="27"/>
  <c r="P34" i="27"/>
  <c r="X34" i="27" s="1"/>
  <c r="N34" i="27"/>
  <c r="L34" i="27"/>
  <c r="D34" i="27"/>
  <c r="B34" i="27"/>
  <c r="Z33" i="27"/>
  <c r="X33" i="27"/>
  <c r="P33" i="27"/>
  <c r="N33" i="27"/>
  <c r="L33" i="27"/>
  <c r="D33" i="27"/>
  <c r="B33" i="27"/>
  <c r="Z32" i="27"/>
  <c r="P32" i="27"/>
  <c r="X32" i="27" s="1"/>
  <c r="N32" i="27"/>
  <c r="L32" i="27"/>
  <c r="D32" i="27"/>
  <c r="B32" i="27"/>
  <c r="Z31" i="27"/>
  <c r="X31" i="27"/>
  <c r="P31" i="27"/>
  <c r="N31" i="27"/>
  <c r="D31" i="27"/>
  <c r="L31" i="27" s="1"/>
  <c r="B31" i="27"/>
  <c r="Z30" i="27"/>
  <c r="P30" i="27"/>
  <c r="X30" i="27" s="1"/>
  <c r="N30" i="27"/>
  <c r="L30" i="27"/>
  <c r="D30" i="27"/>
  <c r="B30" i="27"/>
  <c r="Z29" i="27"/>
  <c r="P29" i="27"/>
  <c r="X29" i="27" s="1"/>
  <c r="N29" i="27"/>
  <c r="D29" i="27"/>
  <c r="L29" i="27" s="1"/>
  <c r="B29" i="27"/>
  <c r="Z28" i="27"/>
  <c r="P28" i="27"/>
  <c r="X28" i="27" s="1"/>
  <c r="N28" i="27"/>
  <c r="D28" i="27"/>
  <c r="L28" i="27" s="1"/>
  <c r="B28" i="27"/>
  <c r="Z27" i="27"/>
  <c r="X27" i="27"/>
  <c r="P27" i="27"/>
  <c r="N27" i="27"/>
  <c r="D27" i="27"/>
  <c r="L27" i="27" s="1"/>
  <c r="B27" i="27"/>
  <c r="Z26" i="27"/>
  <c r="P26" i="27"/>
  <c r="X26" i="27" s="1"/>
  <c r="N26" i="27"/>
  <c r="L26" i="27"/>
  <c r="D26" i="27"/>
  <c r="B26" i="27"/>
  <c r="Z25" i="27"/>
  <c r="X25" i="27"/>
  <c r="P25" i="27"/>
  <c r="N25" i="27"/>
  <c r="L25" i="27"/>
  <c r="D25" i="27"/>
  <c r="B25" i="27"/>
  <c r="Z24" i="27"/>
  <c r="X24" i="27"/>
  <c r="P24" i="27"/>
  <c r="N24" i="27"/>
  <c r="L24" i="27"/>
  <c r="D24" i="27"/>
  <c r="B24" i="27"/>
  <c r="Z23" i="27"/>
  <c r="X23" i="27"/>
  <c r="P23" i="27"/>
  <c r="N23" i="27"/>
  <c r="D23" i="27"/>
  <c r="L23" i="27" s="1"/>
  <c r="B23" i="27"/>
  <c r="Z22" i="27"/>
  <c r="P22" i="27"/>
  <c r="X22" i="27" s="1"/>
  <c r="N22" i="27"/>
  <c r="L22" i="27"/>
  <c r="D22" i="27"/>
  <c r="B22" i="27"/>
  <c r="Z21" i="27"/>
  <c r="X21" i="27"/>
  <c r="P21" i="27"/>
  <c r="N21" i="27"/>
  <c r="L21" i="27"/>
  <c r="D21" i="27"/>
  <c r="B21" i="27"/>
  <c r="P20" i="27"/>
  <c r="X20" i="27" s="1"/>
  <c r="Z20" i="27" s="1"/>
  <c r="L20" i="27"/>
  <c r="N20" i="27" s="1"/>
  <c r="D20" i="27"/>
  <c r="B20" i="27"/>
  <c r="Z19" i="27"/>
  <c r="X19" i="27"/>
  <c r="P19" i="27"/>
  <c r="N19" i="27"/>
  <c r="D19" i="27"/>
  <c r="L19" i="27" s="1"/>
  <c r="B19" i="27"/>
  <c r="Z18" i="27"/>
  <c r="P18" i="27"/>
  <c r="X18" i="27" s="1"/>
  <c r="N18" i="27"/>
  <c r="L18" i="27"/>
  <c r="D18" i="27"/>
  <c r="B18" i="27"/>
  <c r="Z17" i="27"/>
  <c r="X17" i="27"/>
  <c r="P17" i="27"/>
  <c r="N17" i="27"/>
  <c r="D17" i="27"/>
  <c r="L17" i="27" s="1"/>
  <c r="B17" i="27"/>
  <c r="Z16" i="27"/>
  <c r="P16" i="27"/>
  <c r="X16" i="27" s="1"/>
  <c r="N16" i="27"/>
  <c r="L16" i="27"/>
  <c r="D16" i="27"/>
  <c r="B16" i="27"/>
  <c r="Z15" i="27"/>
  <c r="X15" i="27"/>
  <c r="P15" i="27"/>
  <c r="N15" i="27"/>
  <c r="D15" i="27"/>
  <c r="L15" i="27" s="1"/>
  <c r="B15" i="27"/>
  <c r="Z14" i="27"/>
  <c r="P14" i="27"/>
  <c r="N14" i="27"/>
  <c r="L14" i="27"/>
  <c r="D14" i="27"/>
  <c r="B14" i="27"/>
  <c r="Z13" i="27"/>
  <c r="X13" i="27"/>
  <c r="P13" i="27"/>
  <c r="N13" i="27"/>
  <c r="L13" i="27"/>
  <c r="D13" i="27"/>
  <c r="D12" i="27" s="1"/>
  <c r="F75" i="27" s="1"/>
  <c r="B13" i="27"/>
  <c r="T12" i="27"/>
  <c r="V107" i="27" s="1"/>
  <c r="H12" i="27"/>
  <c r="D4" i="27"/>
  <c r="X125" i="24"/>
  <c r="Z125" i="24" s="1"/>
  <c r="V125" i="24"/>
  <c r="L125" i="24"/>
  <c r="N125" i="24" s="1"/>
  <c r="T121" i="24"/>
  <c r="Z121" i="24" s="1"/>
  <c r="P121" i="24"/>
  <c r="X121" i="24" s="1"/>
  <c r="N121" i="24"/>
  <c r="H121" i="24"/>
  <c r="D121" i="24"/>
  <c r="L121" i="24" s="1"/>
  <c r="X119" i="24"/>
  <c r="Z119" i="24" s="1"/>
  <c r="L119" i="24"/>
  <c r="N119" i="24" s="1"/>
  <c r="J119" i="24"/>
  <c r="B119" i="24"/>
  <c r="T118" i="24"/>
  <c r="P118" i="24"/>
  <c r="X118" i="24" s="1"/>
  <c r="J118" i="24"/>
  <c r="H118" i="24"/>
  <c r="D118" i="24"/>
  <c r="B118" i="24"/>
  <c r="X117" i="24"/>
  <c r="Z117" i="24" s="1"/>
  <c r="L117" i="24"/>
  <c r="N117" i="24" s="1"/>
  <c r="B117" i="24"/>
  <c r="T116" i="24"/>
  <c r="P116" i="24"/>
  <c r="X116" i="24" s="1"/>
  <c r="N116" i="24"/>
  <c r="H116" i="24"/>
  <c r="D116" i="24"/>
  <c r="L116" i="24" s="1"/>
  <c r="B116" i="24"/>
  <c r="X115" i="24"/>
  <c r="Z115" i="24" s="1"/>
  <c r="L115" i="24"/>
  <c r="N115" i="24" s="1"/>
  <c r="B115" i="24"/>
  <c r="X114" i="24"/>
  <c r="Z114" i="24" s="1"/>
  <c r="T114" i="24"/>
  <c r="P114" i="24"/>
  <c r="J114" i="24"/>
  <c r="H114" i="24"/>
  <c r="N114" i="24" s="1"/>
  <c r="D114" i="24"/>
  <c r="L114" i="24" s="1"/>
  <c r="B114" i="24"/>
  <c r="Z113" i="24"/>
  <c r="X113" i="24"/>
  <c r="N113" i="24"/>
  <c r="L113" i="24"/>
  <c r="B113" i="24"/>
  <c r="T112" i="24"/>
  <c r="P112" i="24"/>
  <c r="H112" i="24"/>
  <c r="N112" i="24" s="1"/>
  <c r="D112" i="24"/>
  <c r="L112" i="24" s="1"/>
  <c r="B112" i="24"/>
  <c r="X111" i="24"/>
  <c r="Z111" i="24" s="1"/>
  <c r="V111" i="24"/>
  <c r="N111" i="24"/>
  <c r="L111" i="24"/>
  <c r="B111" i="24"/>
  <c r="Z110" i="24"/>
  <c r="X110" i="24"/>
  <c r="L110" i="24"/>
  <c r="N110" i="24" s="1"/>
  <c r="B110" i="24"/>
  <c r="T109" i="24"/>
  <c r="P109" i="24"/>
  <c r="X109" i="24" s="1"/>
  <c r="L109" i="24"/>
  <c r="N109" i="24" s="1"/>
  <c r="J109" i="24"/>
  <c r="H109" i="24"/>
  <c r="D109" i="24"/>
  <c r="B109" i="24"/>
  <c r="X108" i="24"/>
  <c r="Z108" i="24" s="1"/>
  <c r="V108" i="24"/>
  <c r="L108" i="24"/>
  <c r="N108" i="24" s="1"/>
  <c r="J108" i="24"/>
  <c r="B108" i="24"/>
  <c r="T107" i="24"/>
  <c r="P107" i="24"/>
  <c r="X107" i="24" s="1"/>
  <c r="Z107" i="24" s="1"/>
  <c r="H107" i="24"/>
  <c r="D107" i="24"/>
  <c r="B107" i="24"/>
  <c r="Z106" i="24"/>
  <c r="X106" i="24"/>
  <c r="N106" i="24"/>
  <c r="L106" i="24"/>
  <c r="B106" i="24"/>
  <c r="Z105" i="24"/>
  <c r="X105" i="24"/>
  <c r="T105" i="24"/>
  <c r="P105" i="24"/>
  <c r="H105" i="24"/>
  <c r="D105" i="24"/>
  <c r="L105" i="24" s="1"/>
  <c r="B105" i="24"/>
  <c r="Z104" i="24"/>
  <c r="X104" i="24"/>
  <c r="L104" i="24"/>
  <c r="N104" i="24" s="1"/>
  <c r="J104" i="24"/>
  <c r="B104" i="24"/>
  <c r="X103" i="24"/>
  <c r="V103" i="24"/>
  <c r="T103" i="24"/>
  <c r="Z103" i="24" s="1"/>
  <c r="P103" i="24"/>
  <c r="H103" i="24"/>
  <c r="D103" i="24"/>
  <c r="L103" i="24" s="1"/>
  <c r="B103" i="24"/>
  <c r="Z102" i="24"/>
  <c r="X102" i="24"/>
  <c r="N102" i="24"/>
  <c r="L102" i="24"/>
  <c r="B102" i="24"/>
  <c r="T101" i="24"/>
  <c r="P101" i="24"/>
  <c r="X101" i="24" s="1"/>
  <c r="H101" i="24"/>
  <c r="D101" i="24"/>
  <c r="L101" i="24" s="1"/>
  <c r="N101" i="24" s="1"/>
  <c r="B101" i="24"/>
  <c r="Z100" i="24"/>
  <c r="X100" i="24"/>
  <c r="V100" i="24"/>
  <c r="N100" i="24"/>
  <c r="L100" i="24"/>
  <c r="B100" i="24"/>
  <c r="X99" i="24"/>
  <c r="Z99" i="24" s="1"/>
  <c r="L99" i="24"/>
  <c r="N99" i="24" s="1"/>
  <c r="J99" i="24"/>
  <c r="B99" i="24"/>
  <c r="T98" i="24"/>
  <c r="P98" i="24"/>
  <c r="X98" i="24" s="1"/>
  <c r="Z98" i="24" s="1"/>
  <c r="H98" i="24"/>
  <c r="D98" i="24"/>
  <c r="B98" i="24"/>
  <c r="Z97" i="24"/>
  <c r="X97" i="24"/>
  <c r="N97" i="24"/>
  <c r="L97" i="24"/>
  <c r="B97" i="24"/>
  <c r="Z96" i="24"/>
  <c r="X96" i="24"/>
  <c r="T96" i="24"/>
  <c r="P96" i="24"/>
  <c r="N96" i="24"/>
  <c r="H96" i="24"/>
  <c r="D96" i="24"/>
  <c r="L96" i="24" s="1"/>
  <c r="B96" i="24"/>
  <c r="X95" i="24"/>
  <c r="Z95" i="24" s="1"/>
  <c r="L95" i="24"/>
  <c r="N95" i="24" s="1"/>
  <c r="B95" i="24"/>
  <c r="Z94" i="24"/>
  <c r="X94" i="24"/>
  <c r="T94" i="24"/>
  <c r="P94" i="24"/>
  <c r="J94" i="24"/>
  <c r="H94" i="24"/>
  <c r="D94" i="24"/>
  <c r="L94" i="24" s="1"/>
  <c r="B94" i="24"/>
  <c r="Z93" i="24"/>
  <c r="X93" i="24"/>
  <c r="N93" i="24"/>
  <c r="L93" i="24"/>
  <c r="B93" i="24"/>
  <c r="Z92" i="24"/>
  <c r="X92" i="24"/>
  <c r="V92" i="24"/>
  <c r="N92" i="24"/>
  <c r="L92" i="24"/>
  <c r="B92" i="24"/>
  <c r="X91" i="24"/>
  <c r="Z91" i="24" s="1"/>
  <c r="N91" i="24"/>
  <c r="L91" i="24"/>
  <c r="J91" i="24"/>
  <c r="B91" i="24"/>
  <c r="Z90" i="24"/>
  <c r="X90" i="24"/>
  <c r="N90" i="24"/>
  <c r="L90" i="24"/>
  <c r="B90" i="24"/>
  <c r="Z89" i="24"/>
  <c r="X89" i="24"/>
  <c r="N89" i="24"/>
  <c r="L89" i="24"/>
  <c r="B89" i="24"/>
  <c r="Z88" i="24"/>
  <c r="X88" i="24"/>
  <c r="V88" i="24"/>
  <c r="N88" i="24"/>
  <c r="L88" i="24"/>
  <c r="B88" i="24"/>
  <c r="Z87" i="24"/>
  <c r="X87" i="24"/>
  <c r="N87" i="24"/>
  <c r="L87" i="24"/>
  <c r="J87" i="24"/>
  <c r="B87" i="24"/>
  <c r="Z86" i="24"/>
  <c r="X86" i="24"/>
  <c r="N86" i="24"/>
  <c r="L86" i="24"/>
  <c r="B86" i="24"/>
  <c r="Z85" i="24"/>
  <c r="X85" i="24"/>
  <c r="N85" i="24"/>
  <c r="L85" i="24"/>
  <c r="B85" i="24"/>
  <c r="X84" i="24"/>
  <c r="Z84" i="24" s="1"/>
  <c r="V84" i="24"/>
  <c r="L84" i="24"/>
  <c r="N84" i="24" s="1"/>
  <c r="B84" i="24"/>
  <c r="X83" i="24"/>
  <c r="T83" i="24"/>
  <c r="Z83" i="24" s="1"/>
  <c r="P83" i="24"/>
  <c r="H83" i="24"/>
  <c r="D83" i="24"/>
  <c r="L83" i="24" s="1"/>
  <c r="N83" i="24" s="1"/>
  <c r="B83" i="24"/>
  <c r="Z82" i="24"/>
  <c r="X82" i="24"/>
  <c r="N82" i="24"/>
  <c r="L82" i="24"/>
  <c r="B82" i="24"/>
  <c r="X81" i="24"/>
  <c r="Z81" i="24" s="1"/>
  <c r="N81" i="24"/>
  <c r="L81" i="24"/>
  <c r="B81" i="24"/>
  <c r="X80" i="24"/>
  <c r="Z80" i="24" s="1"/>
  <c r="N80" i="24"/>
  <c r="L80" i="24"/>
  <c r="J80" i="24"/>
  <c r="B80" i="24"/>
  <c r="Z79" i="24"/>
  <c r="X79" i="24"/>
  <c r="V79" i="24"/>
  <c r="N79" i="24"/>
  <c r="L79" i="24"/>
  <c r="B79" i="24"/>
  <c r="Z78" i="24"/>
  <c r="X78" i="24"/>
  <c r="L78" i="24"/>
  <c r="N78" i="24" s="1"/>
  <c r="B78" i="24"/>
  <c r="X77" i="24"/>
  <c r="Z77" i="24" s="1"/>
  <c r="N77" i="24"/>
  <c r="L77" i="24"/>
  <c r="B77" i="24"/>
  <c r="X76" i="24"/>
  <c r="Z76" i="24" s="1"/>
  <c r="N76" i="24"/>
  <c r="L76" i="24"/>
  <c r="J76" i="24"/>
  <c r="B76" i="24"/>
  <c r="X75" i="24"/>
  <c r="Z75" i="24" s="1"/>
  <c r="V75" i="24"/>
  <c r="L75" i="24"/>
  <c r="N75" i="24" s="1"/>
  <c r="B75" i="24"/>
  <c r="Z74" i="24"/>
  <c r="X74" i="24"/>
  <c r="L74" i="24"/>
  <c r="N74" i="24" s="1"/>
  <c r="B74" i="24"/>
  <c r="T73" i="24"/>
  <c r="P73" i="24"/>
  <c r="L73" i="24"/>
  <c r="N73" i="24" s="1"/>
  <c r="J73" i="24"/>
  <c r="H73" i="24"/>
  <c r="D73" i="24"/>
  <c r="B73" i="24"/>
  <c r="T72" i="24"/>
  <c r="V72" i="24" s="1"/>
  <c r="P72" i="24"/>
  <c r="X72" i="24" s="1"/>
  <c r="H72" i="24"/>
  <c r="D72" i="24"/>
  <c r="Z68" i="24"/>
  <c r="X68" i="24"/>
  <c r="V68" i="24"/>
  <c r="N68" i="24"/>
  <c r="L68" i="24"/>
  <c r="J68" i="24"/>
  <c r="B68" i="24"/>
  <c r="Z67" i="24"/>
  <c r="X67" i="24"/>
  <c r="N67" i="24"/>
  <c r="L67" i="24"/>
  <c r="B67" i="24"/>
  <c r="Z66" i="24"/>
  <c r="X66" i="24"/>
  <c r="N66" i="24"/>
  <c r="L66" i="24"/>
  <c r="B66" i="24"/>
  <c r="Z65" i="24"/>
  <c r="X65" i="24"/>
  <c r="N65" i="24"/>
  <c r="L65" i="24"/>
  <c r="B65" i="24"/>
  <c r="Z64" i="24"/>
  <c r="X64" i="24"/>
  <c r="V64" i="24"/>
  <c r="N64" i="24"/>
  <c r="L64" i="24"/>
  <c r="J64" i="24"/>
  <c r="B64" i="24"/>
  <c r="Z63" i="24"/>
  <c r="X63" i="24"/>
  <c r="N63" i="24"/>
  <c r="L63" i="24"/>
  <c r="B63" i="24"/>
  <c r="Z62" i="24"/>
  <c r="X62" i="24"/>
  <c r="N62" i="24"/>
  <c r="L62" i="24"/>
  <c r="B62" i="24"/>
  <c r="Z61" i="24"/>
  <c r="X61" i="24"/>
  <c r="N61" i="24"/>
  <c r="L61" i="24"/>
  <c r="B61" i="24"/>
  <c r="Z60" i="24"/>
  <c r="X60" i="24"/>
  <c r="V60" i="24"/>
  <c r="N60" i="24"/>
  <c r="L60" i="24"/>
  <c r="J60" i="24"/>
  <c r="B60" i="24"/>
  <c r="Z59" i="24"/>
  <c r="X59" i="24"/>
  <c r="N59" i="24"/>
  <c r="L59" i="24"/>
  <c r="B59" i="24"/>
  <c r="Z58" i="24"/>
  <c r="X58" i="24"/>
  <c r="N58" i="24"/>
  <c r="L58" i="24"/>
  <c r="B58" i="24"/>
  <c r="Z57" i="24"/>
  <c r="X57" i="24"/>
  <c r="N57" i="24"/>
  <c r="L57" i="24"/>
  <c r="B57" i="24"/>
  <c r="Z56" i="24"/>
  <c r="X56" i="24"/>
  <c r="V56" i="24"/>
  <c r="N56" i="24"/>
  <c r="L56" i="24"/>
  <c r="J56" i="24"/>
  <c r="B56" i="24"/>
  <c r="Z55" i="24"/>
  <c r="X55" i="24"/>
  <c r="N55" i="24"/>
  <c r="L55" i="24"/>
  <c r="B55" i="24"/>
  <c r="Z54" i="24"/>
  <c r="X54" i="24"/>
  <c r="N54" i="24"/>
  <c r="L54" i="24"/>
  <c r="B54" i="24"/>
  <c r="Z53" i="24"/>
  <c r="X53" i="24"/>
  <c r="N53" i="24"/>
  <c r="L53" i="24"/>
  <c r="B53" i="24"/>
  <c r="Z52" i="24"/>
  <c r="X52" i="24"/>
  <c r="V52" i="24"/>
  <c r="N52" i="24"/>
  <c r="L52" i="24"/>
  <c r="J52" i="24"/>
  <c r="B52" i="24"/>
  <c r="Z51" i="24"/>
  <c r="X51" i="24"/>
  <c r="N51" i="24"/>
  <c r="L51" i="24"/>
  <c r="B51" i="24"/>
  <c r="Z50" i="24"/>
  <c r="X50" i="24"/>
  <c r="N50" i="24"/>
  <c r="L50" i="24"/>
  <c r="B50" i="24"/>
  <c r="Z49" i="24"/>
  <c r="X49" i="24"/>
  <c r="N49" i="24"/>
  <c r="L49" i="24"/>
  <c r="B49" i="24"/>
  <c r="Z48" i="24"/>
  <c r="X48" i="24"/>
  <c r="V48" i="24"/>
  <c r="N48" i="24"/>
  <c r="L48" i="24"/>
  <c r="J48" i="24"/>
  <c r="B48" i="24"/>
  <c r="X47" i="24"/>
  <c r="Z47" i="24" s="1"/>
  <c r="L47" i="24"/>
  <c r="N47" i="24" s="1"/>
  <c r="B47" i="24"/>
  <c r="X46" i="24"/>
  <c r="Z46" i="24" s="1"/>
  <c r="T46" i="24"/>
  <c r="P46" i="24"/>
  <c r="J46" i="24"/>
  <c r="H46" i="24"/>
  <c r="D46" i="24"/>
  <c r="L46" i="24" s="1"/>
  <c r="Z44" i="24"/>
  <c r="X44" i="24"/>
  <c r="P44" i="24"/>
  <c r="N44" i="24"/>
  <c r="D44" i="24"/>
  <c r="L44" i="24" s="1"/>
  <c r="B44" i="24"/>
  <c r="Z43" i="24"/>
  <c r="X43" i="24"/>
  <c r="P43" i="24"/>
  <c r="N43" i="24"/>
  <c r="D43" i="24"/>
  <c r="L43" i="24" s="1"/>
  <c r="B43" i="24"/>
  <c r="Z42" i="24"/>
  <c r="X42" i="24"/>
  <c r="P42" i="24"/>
  <c r="N42" i="24"/>
  <c r="L42" i="24"/>
  <c r="D42" i="24"/>
  <c r="B42" i="24"/>
  <c r="Z41" i="24"/>
  <c r="P41" i="24"/>
  <c r="X41" i="24" s="1"/>
  <c r="N41" i="24"/>
  <c r="L41" i="24"/>
  <c r="D41" i="24"/>
  <c r="B41" i="24"/>
  <c r="Z40" i="24"/>
  <c r="X40" i="24"/>
  <c r="P40" i="24"/>
  <c r="N40" i="24"/>
  <c r="L40" i="24"/>
  <c r="D40" i="24"/>
  <c r="B40" i="24"/>
  <c r="Z39" i="24"/>
  <c r="X39" i="24"/>
  <c r="P39" i="24"/>
  <c r="N39" i="24"/>
  <c r="L39" i="24"/>
  <c r="D39" i="24"/>
  <c r="B39" i="24"/>
  <c r="Z38" i="24"/>
  <c r="P38" i="24"/>
  <c r="X38" i="24" s="1"/>
  <c r="N38" i="24"/>
  <c r="D38" i="24"/>
  <c r="L38" i="24" s="1"/>
  <c r="B38" i="24"/>
  <c r="Z37" i="24"/>
  <c r="P37" i="24"/>
  <c r="X37" i="24" s="1"/>
  <c r="N37" i="24"/>
  <c r="L37" i="24"/>
  <c r="D37" i="24"/>
  <c r="B37" i="24"/>
  <c r="Z36" i="24"/>
  <c r="X36" i="24"/>
  <c r="P36" i="24"/>
  <c r="N36" i="24"/>
  <c r="D36" i="24"/>
  <c r="L36" i="24" s="1"/>
  <c r="B36" i="24"/>
  <c r="Z35" i="24"/>
  <c r="P35" i="24"/>
  <c r="X35" i="24" s="1"/>
  <c r="N35" i="24"/>
  <c r="D35" i="24"/>
  <c r="L35" i="24" s="1"/>
  <c r="B35" i="24"/>
  <c r="Z34" i="24"/>
  <c r="P34" i="24"/>
  <c r="X34" i="24" s="1"/>
  <c r="N34" i="24"/>
  <c r="D34" i="24"/>
  <c r="L34" i="24" s="1"/>
  <c r="B34" i="24"/>
  <c r="Z33" i="24"/>
  <c r="P33" i="24"/>
  <c r="X33" i="24" s="1"/>
  <c r="N33" i="24"/>
  <c r="L33" i="24"/>
  <c r="D33" i="24"/>
  <c r="B33" i="24"/>
  <c r="Z32" i="24"/>
  <c r="X32" i="24"/>
  <c r="P32" i="24"/>
  <c r="N32" i="24"/>
  <c r="D32" i="24"/>
  <c r="L32" i="24" s="1"/>
  <c r="B32" i="24"/>
  <c r="Z31" i="24"/>
  <c r="X31" i="24"/>
  <c r="P31" i="24"/>
  <c r="N31" i="24"/>
  <c r="D31" i="24"/>
  <c r="L31" i="24" s="1"/>
  <c r="B31" i="24"/>
  <c r="X30" i="24"/>
  <c r="Z30" i="24" s="1"/>
  <c r="P30" i="24"/>
  <c r="N30" i="24"/>
  <c r="L30" i="24"/>
  <c r="D30" i="24"/>
  <c r="B30" i="24"/>
  <c r="Z29" i="24"/>
  <c r="P29" i="24"/>
  <c r="X29" i="24" s="1"/>
  <c r="N29" i="24"/>
  <c r="L29" i="24"/>
  <c r="D29" i="24"/>
  <c r="B29" i="24"/>
  <c r="Z28" i="24"/>
  <c r="X28" i="24"/>
  <c r="P28" i="24"/>
  <c r="N28" i="24"/>
  <c r="L28" i="24"/>
  <c r="D28" i="24"/>
  <c r="B28" i="24"/>
  <c r="Z27" i="24"/>
  <c r="X27" i="24"/>
  <c r="P27" i="24"/>
  <c r="N27" i="24"/>
  <c r="L27" i="24"/>
  <c r="D27" i="24"/>
  <c r="B27" i="24"/>
  <c r="Z26" i="24"/>
  <c r="P26" i="24"/>
  <c r="X26" i="24" s="1"/>
  <c r="N26" i="24"/>
  <c r="D26" i="24"/>
  <c r="L26" i="24" s="1"/>
  <c r="B26" i="24"/>
  <c r="Z25" i="24"/>
  <c r="P25" i="24"/>
  <c r="X25" i="24" s="1"/>
  <c r="N25" i="24"/>
  <c r="L25" i="24"/>
  <c r="D25" i="24"/>
  <c r="B25" i="24"/>
  <c r="Z24" i="24"/>
  <c r="P24" i="24"/>
  <c r="X24" i="24" s="1"/>
  <c r="N24" i="24"/>
  <c r="D24" i="24"/>
  <c r="L24" i="24" s="1"/>
  <c r="B24" i="24"/>
  <c r="Z23" i="24"/>
  <c r="P23" i="24"/>
  <c r="X23" i="24" s="1"/>
  <c r="N23" i="24"/>
  <c r="D23" i="24"/>
  <c r="L23" i="24" s="1"/>
  <c r="B23" i="24"/>
  <c r="Z22" i="24"/>
  <c r="P22" i="24"/>
  <c r="X22" i="24" s="1"/>
  <c r="N22" i="24"/>
  <c r="L22" i="24"/>
  <c r="D22" i="24"/>
  <c r="B22" i="24"/>
  <c r="Z21" i="24"/>
  <c r="P21" i="24"/>
  <c r="X21" i="24" s="1"/>
  <c r="N21" i="24"/>
  <c r="L21" i="24"/>
  <c r="D21" i="24"/>
  <c r="B21" i="24"/>
  <c r="Z20" i="24"/>
  <c r="X20" i="24"/>
  <c r="P20" i="24"/>
  <c r="N20" i="24"/>
  <c r="D20" i="24"/>
  <c r="L20" i="24" s="1"/>
  <c r="B20" i="24"/>
  <c r="Z19" i="24"/>
  <c r="X19" i="24"/>
  <c r="P19" i="24"/>
  <c r="N19" i="24"/>
  <c r="D19" i="24"/>
  <c r="L19" i="24" s="1"/>
  <c r="B19" i="24"/>
  <c r="Z18" i="24"/>
  <c r="P18" i="24"/>
  <c r="X18" i="24" s="1"/>
  <c r="N18" i="24"/>
  <c r="L18" i="24"/>
  <c r="D18" i="24"/>
  <c r="B18" i="24"/>
  <c r="Z17" i="24"/>
  <c r="P17" i="24"/>
  <c r="X17" i="24" s="1"/>
  <c r="N17" i="24"/>
  <c r="L17" i="24"/>
  <c r="D17" i="24"/>
  <c r="B17" i="24"/>
  <c r="Z16" i="24"/>
  <c r="X16" i="24"/>
  <c r="P16" i="24"/>
  <c r="N16" i="24"/>
  <c r="L16" i="24"/>
  <c r="D16" i="24"/>
  <c r="B16" i="24"/>
  <c r="Z15" i="24"/>
  <c r="X15" i="24"/>
  <c r="P15" i="24"/>
  <c r="N15" i="24"/>
  <c r="D15" i="24"/>
  <c r="L15" i="24" s="1"/>
  <c r="B15" i="24"/>
  <c r="Z14" i="24"/>
  <c r="P14" i="24"/>
  <c r="N14" i="24"/>
  <c r="D14" i="24"/>
  <c r="B14" i="24"/>
  <c r="Z13" i="24"/>
  <c r="P13" i="24"/>
  <c r="X13" i="24" s="1"/>
  <c r="L13" i="24"/>
  <c r="N13" i="24" s="1"/>
  <c r="D13" i="24"/>
  <c r="B13" i="24"/>
  <c r="T12" i="24"/>
  <c r="V113" i="24" s="1"/>
  <c r="H12" i="24"/>
  <c r="D4" i="24"/>
  <c r="X112" i="21"/>
  <c r="Z112" i="21" s="1"/>
  <c r="L112" i="21"/>
  <c r="N112" i="21" s="1"/>
  <c r="T108" i="21"/>
  <c r="Z108" i="21" s="1"/>
  <c r="P108" i="21"/>
  <c r="X108" i="21" s="1"/>
  <c r="H108" i="21"/>
  <c r="N108" i="21" s="1"/>
  <c r="D108" i="21"/>
  <c r="Z106" i="21"/>
  <c r="X106" i="21"/>
  <c r="L106" i="21"/>
  <c r="N106" i="21" s="1"/>
  <c r="B106" i="21"/>
  <c r="Z105" i="21"/>
  <c r="X105" i="21"/>
  <c r="T105" i="21"/>
  <c r="P105" i="21"/>
  <c r="J105" i="21"/>
  <c r="H105" i="21"/>
  <c r="N105" i="21" s="1"/>
  <c r="D105" i="21"/>
  <c r="L105" i="21" s="1"/>
  <c r="B105" i="21"/>
  <c r="Z104" i="21"/>
  <c r="X104" i="21"/>
  <c r="L104" i="21"/>
  <c r="N104" i="21" s="1"/>
  <c r="B104" i="21"/>
  <c r="T103" i="21"/>
  <c r="P103" i="21"/>
  <c r="X103" i="21" s="1"/>
  <c r="H103" i="21"/>
  <c r="N103" i="21" s="1"/>
  <c r="D103" i="21"/>
  <c r="L103" i="21" s="1"/>
  <c r="B103" i="21"/>
  <c r="X102" i="21"/>
  <c r="Z102" i="21" s="1"/>
  <c r="N102" i="21"/>
  <c r="L102" i="21"/>
  <c r="B102" i="21"/>
  <c r="T101" i="21"/>
  <c r="P101" i="21"/>
  <c r="X101" i="21" s="1"/>
  <c r="Z101" i="21" s="1"/>
  <c r="H101" i="21"/>
  <c r="D101" i="21"/>
  <c r="L101" i="21" s="1"/>
  <c r="N101" i="21" s="1"/>
  <c r="B101" i="21"/>
  <c r="Z100" i="21"/>
  <c r="X100" i="21"/>
  <c r="N100" i="21"/>
  <c r="L100" i="21"/>
  <c r="B100" i="21"/>
  <c r="X99" i="21"/>
  <c r="Z99" i="21" s="1"/>
  <c r="L99" i="21"/>
  <c r="N99" i="21" s="1"/>
  <c r="B99" i="21"/>
  <c r="Z98" i="21"/>
  <c r="X98" i="21"/>
  <c r="N98" i="21"/>
  <c r="L98" i="21"/>
  <c r="B98" i="21"/>
  <c r="Z97" i="21"/>
  <c r="X97" i="21"/>
  <c r="V97" i="21"/>
  <c r="N97" i="21"/>
  <c r="L97" i="21"/>
  <c r="B97" i="21"/>
  <c r="Z96" i="21"/>
  <c r="X96" i="21"/>
  <c r="L96" i="21"/>
  <c r="N96" i="21" s="1"/>
  <c r="J96" i="21"/>
  <c r="B96" i="21"/>
  <c r="X95" i="21"/>
  <c r="Z95" i="21" s="1"/>
  <c r="L95" i="21"/>
  <c r="N95" i="21" s="1"/>
  <c r="B95" i="21"/>
  <c r="Z94" i="21"/>
  <c r="X94" i="21"/>
  <c r="N94" i="21"/>
  <c r="L94" i="21"/>
  <c r="B94" i="21"/>
  <c r="T93" i="21"/>
  <c r="Z93" i="21" s="1"/>
  <c r="P93" i="21"/>
  <c r="X93" i="21" s="1"/>
  <c r="N93" i="21"/>
  <c r="L93" i="21"/>
  <c r="H93" i="21"/>
  <c r="D93" i="21"/>
  <c r="B93" i="21"/>
  <c r="X92" i="21"/>
  <c r="Z92" i="21" s="1"/>
  <c r="L92" i="21"/>
  <c r="N92" i="21" s="1"/>
  <c r="J92" i="21"/>
  <c r="B92" i="21"/>
  <c r="T91" i="21"/>
  <c r="P91" i="21"/>
  <c r="X91" i="21" s="1"/>
  <c r="Z91" i="21" s="1"/>
  <c r="H91" i="21"/>
  <c r="D91" i="21"/>
  <c r="B91" i="21"/>
  <c r="Z90" i="21"/>
  <c r="X90" i="21"/>
  <c r="N90" i="21"/>
  <c r="L90" i="21"/>
  <c r="B90" i="21"/>
  <c r="Z89" i="21"/>
  <c r="X89" i="21"/>
  <c r="N89" i="21"/>
  <c r="L89" i="21"/>
  <c r="B89" i="21"/>
  <c r="X88" i="21"/>
  <c r="Z88" i="21" s="1"/>
  <c r="V88" i="21"/>
  <c r="L88" i="21"/>
  <c r="N88" i="21" s="1"/>
  <c r="B88" i="21"/>
  <c r="Z87" i="21"/>
  <c r="X87" i="21"/>
  <c r="L87" i="21"/>
  <c r="N87" i="21" s="1"/>
  <c r="B87" i="21"/>
  <c r="Z86" i="21"/>
  <c r="X86" i="21"/>
  <c r="N86" i="21"/>
  <c r="L86" i="21"/>
  <c r="B86" i="21"/>
  <c r="T85" i="21"/>
  <c r="P85" i="21"/>
  <c r="X85" i="21" s="1"/>
  <c r="H85" i="21"/>
  <c r="D85" i="21"/>
  <c r="L85" i="21" s="1"/>
  <c r="N85" i="21" s="1"/>
  <c r="B85" i="21"/>
  <c r="X84" i="21"/>
  <c r="Z84" i="21" s="1"/>
  <c r="L84" i="21"/>
  <c r="N84" i="21" s="1"/>
  <c r="B84" i="21"/>
  <c r="X83" i="21"/>
  <c r="Z83" i="21" s="1"/>
  <c r="T83" i="21"/>
  <c r="P83" i="21"/>
  <c r="H83" i="21"/>
  <c r="N83" i="21" s="1"/>
  <c r="D83" i="21"/>
  <c r="L83" i="21" s="1"/>
  <c r="B83" i="21"/>
  <c r="Z82" i="21"/>
  <c r="X82" i="21"/>
  <c r="N82" i="21"/>
  <c r="L82" i="21"/>
  <c r="B82" i="21"/>
  <c r="Z81" i="21"/>
  <c r="X81" i="21"/>
  <c r="V81" i="21"/>
  <c r="N81" i="21"/>
  <c r="L81" i="21"/>
  <c r="B81" i="21"/>
  <c r="T80" i="21"/>
  <c r="P80" i="21"/>
  <c r="X80" i="21" s="1"/>
  <c r="Z80" i="21" s="1"/>
  <c r="N80" i="21"/>
  <c r="H80" i="21"/>
  <c r="D80" i="21"/>
  <c r="L80" i="21" s="1"/>
  <c r="B80" i="21"/>
  <c r="Z79" i="21"/>
  <c r="X79" i="21"/>
  <c r="L79" i="21"/>
  <c r="N79" i="21" s="1"/>
  <c r="B79" i="21"/>
  <c r="T78" i="21"/>
  <c r="P78" i="21"/>
  <c r="L78" i="21"/>
  <c r="N78" i="21" s="1"/>
  <c r="J78" i="21"/>
  <c r="H78" i="21"/>
  <c r="D78" i="21"/>
  <c r="B78" i="21"/>
  <c r="Z77" i="21"/>
  <c r="X77" i="21"/>
  <c r="N77" i="21"/>
  <c r="L77" i="21"/>
  <c r="J77" i="21"/>
  <c r="B77" i="21"/>
  <c r="T76" i="21"/>
  <c r="Z76" i="21" s="1"/>
  <c r="P76" i="21"/>
  <c r="X76" i="21" s="1"/>
  <c r="H76" i="21"/>
  <c r="N76" i="21" s="1"/>
  <c r="D76" i="21"/>
  <c r="B76" i="21"/>
  <c r="Z75" i="21"/>
  <c r="X75" i="21"/>
  <c r="N75" i="21"/>
  <c r="L75" i="21"/>
  <c r="B75" i="21"/>
  <c r="Z74" i="21"/>
  <c r="T74" i="21"/>
  <c r="X74" i="21" s="1"/>
  <c r="P74" i="21"/>
  <c r="H74" i="21"/>
  <c r="D74" i="21"/>
  <c r="L74" i="21" s="1"/>
  <c r="N74" i="21" s="1"/>
  <c r="B74" i="21"/>
  <c r="Z73" i="21"/>
  <c r="X73" i="21"/>
  <c r="L73" i="21"/>
  <c r="N73" i="21" s="1"/>
  <c r="B73" i="21"/>
  <c r="X72" i="21"/>
  <c r="Z72" i="21" s="1"/>
  <c r="V72" i="21"/>
  <c r="T72" i="21"/>
  <c r="P72" i="21"/>
  <c r="H72" i="21"/>
  <c r="D72" i="21"/>
  <c r="B72" i="21"/>
  <c r="X71" i="21"/>
  <c r="Z71" i="21" s="1"/>
  <c r="N71" i="21"/>
  <c r="L71" i="21"/>
  <c r="B71" i="21"/>
  <c r="T70" i="21"/>
  <c r="P70" i="21"/>
  <c r="X70" i="21" s="1"/>
  <c r="H70" i="21"/>
  <c r="N70" i="21" s="1"/>
  <c r="D70" i="21"/>
  <c r="L70" i="21" s="1"/>
  <c r="B70" i="21"/>
  <c r="Z69" i="21"/>
  <c r="X69" i="21"/>
  <c r="V69" i="21"/>
  <c r="N69" i="21"/>
  <c r="L69" i="21"/>
  <c r="B69" i="21"/>
  <c r="Z68" i="21"/>
  <c r="T68" i="21"/>
  <c r="P68" i="21"/>
  <c r="X68" i="21" s="1"/>
  <c r="N68" i="21"/>
  <c r="H68" i="21"/>
  <c r="D68" i="21"/>
  <c r="L68" i="21" s="1"/>
  <c r="B68" i="21"/>
  <c r="Z67" i="21"/>
  <c r="X67" i="21"/>
  <c r="L67" i="21"/>
  <c r="N67" i="21" s="1"/>
  <c r="B67" i="21"/>
  <c r="T66" i="21"/>
  <c r="P66" i="21"/>
  <c r="L66" i="21"/>
  <c r="N66" i="21" s="1"/>
  <c r="J66" i="21"/>
  <c r="H66" i="21"/>
  <c r="D66" i="21"/>
  <c r="B66" i="21"/>
  <c r="Z65" i="21"/>
  <c r="X65" i="21"/>
  <c r="L65" i="21"/>
  <c r="N65" i="21" s="1"/>
  <c r="J65" i="21"/>
  <c r="B65" i="21"/>
  <c r="T64" i="21"/>
  <c r="Z64" i="21" s="1"/>
  <c r="P64" i="21"/>
  <c r="X64" i="21" s="1"/>
  <c r="H64" i="21"/>
  <c r="D64" i="21"/>
  <c r="B64" i="21"/>
  <c r="Z63" i="21"/>
  <c r="X63" i="21"/>
  <c r="N63" i="21"/>
  <c r="L63" i="21"/>
  <c r="B63" i="21"/>
  <c r="Z62" i="21"/>
  <c r="T62" i="21"/>
  <c r="P62" i="21"/>
  <c r="X62" i="21" s="1"/>
  <c r="N62" i="21"/>
  <c r="H62" i="21"/>
  <c r="D62" i="21"/>
  <c r="L62" i="21" s="1"/>
  <c r="B62" i="21"/>
  <c r="Z61" i="21"/>
  <c r="X61" i="21"/>
  <c r="N61" i="21"/>
  <c r="L61" i="21"/>
  <c r="B61" i="21"/>
  <c r="X60" i="21"/>
  <c r="Z60" i="21" s="1"/>
  <c r="V60" i="21"/>
  <c r="L60" i="21"/>
  <c r="N60" i="21" s="1"/>
  <c r="B60" i="21"/>
  <c r="T59" i="21"/>
  <c r="P59" i="21"/>
  <c r="X59" i="21" s="1"/>
  <c r="Z59" i="21" s="1"/>
  <c r="H59" i="21"/>
  <c r="D59" i="21"/>
  <c r="L59" i="21" s="1"/>
  <c r="N59" i="21" s="1"/>
  <c r="B59" i="21"/>
  <c r="Z58" i="21"/>
  <c r="X58" i="21"/>
  <c r="N58" i="21"/>
  <c r="L58" i="21"/>
  <c r="B58" i="21"/>
  <c r="T57" i="21"/>
  <c r="P57" i="21"/>
  <c r="X57" i="21" s="1"/>
  <c r="L57" i="21"/>
  <c r="N57" i="21" s="1"/>
  <c r="H57" i="21"/>
  <c r="D57" i="21"/>
  <c r="B57" i="21"/>
  <c r="X56" i="21"/>
  <c r="Z56" i="21" s="1"/>
  <c r="L56" i="21"/>
  <c r="N56" i="21" s="1"/>
  <c r="J56" i="21"/>
  <c r="B56" i="21"/>
  <c r="T55" i="21"/>
  <c r="P55" i="21"/>
  <c r="X55" i="21" s="1"/>
  <c r="Z55" i="21" s="1"/>
  <c r="J55" i="21"/>
  <c r="H55" i="21"/>
  <c r="D55" i="21"/>
  <c r="B55" i="21"/>
  <c r="X54" i="21"/>
  <c r="Z54" i="21" s="1"/>
  <c r="N54" i="21"/>
  <c r="L54" i="21"/>
  <c r="B54" i="21"/>
  <c r="T53" i="21"/>
  <c r="Z53" i="21" s="1"/>
  <c r="P53" i="21"/>
  <c r="X53" i="21" s="1"/>
  <c r="H53" i="21"/>
  <c r="D53" i="21"/>
  <c r="L53" i="21" s="1"/>
  <c r="N53" i="21" s="1"/>
  <c r="B53" i="21"/>
  <c r="Z52" i="21"/>
  <c r="X52" i="21"/>
  <c r="N52" i="21"/>
  <c r="L52" i="21"/>
  <c r="B52" i="21"/>
  <c r="Z51" i="21"/>
  <c r="X51" i="21"/>
  <c r="N51" i="21"/>
  <c r="L51" i="21"/>
  <c r="B51" i="21"/>
  <c r="Z50" i="21"/>
  <c r="X50" i="21"/>
  <c r="N50" i="21"/>
  <c r="L50" i="21"/>
  <c r="B50" i="21"/>
  <c r="Z49" i="21"/>
  <c r="X49" i="21"/>
  <c r="L49" i="21"/>
  <c r="N49" i="21" s="1"/>
  <c r="J49" i="21"/>
  <c r="B49" i="21"/>
  <c r="Z48" i="21"/>
  <c r="X48" i="21"/>
  <c r="N48" i="21"/>
  <c r="L48" i="21"/>
  <c r="B48" i="21"/>
  <c r="X47" i="21"/>
  <c r="Z47" i="21" s="1"/>
  <c r="N47" i="21"/>
  <c r="L47" i="21"/>
  <c r="B47" i="21"/>
  <c r="Z46" i="21"/>
  <c r="X46" i="21"/>
  <c r="N46" i="21"/>
  <c r="L46" i="21"/>
  <c r="B46" i="21"/>
  <c r="Z45" i="21"/>
  <c r="X45" i="21"/>
  <c r="N45" i="21"/>
  <c r="L45" i="21"/>
  <c r="J45" i="21"/>
  <c r="B45" i="21"/>
  <c r="X44" i="21"/>
  <c r="Z44" i="21" s="1"/>
  <c r="L44" i="21"/>
  <c r="N44" i="21" s="1"/>
  <c r="B44" i="21"/>
  <c r="Z43" i="21"/>
  <c r="X43" i="21"/>
  <c r="N43" i="21"/>
  <c r="L43" i="21"/>
  <c r="B43" i="21"/>
  <c r="T42" i="21"/>
  <c r="P42" i="21"/>
  <c r="H42" i="21"/>
  <c r="D42" i="21"/>
  <c r="L42" i="21" s="1"/>
  <c r="B42" i="21"/>
  <c r="X41" i="21"/>
  <c r="Z41" i="21" s="1"/>
  <c r="V41" i="21"/>
  <c r="N41" i="21"/>
  <c r="L41" i="21"/>
  <c r="B41" i="21"/>
  <c r="X40" i="21"/>
  <c r="Z40" i="21" s="1"/>
  <c r="L40" i="21"/>
  <c r="N40" i="21" s="1"/>
  <c r="J40" i="21"/>
  <c r="B40" i="21"/>
  <c r="Z39" i="21"/>
  <c r="X39" i="21"/>
  <c r="N39" i="21"/>
  <c r="L39" i="21"/>
  <c r="B39" i="21"/>
  <c r="Z38" i="21"/>
  <c r="X38" i="21"/>
  <c r="N38" i="21"/>
  <c r="L38" i="21"/>
  <c r="B38" i="21"/>
  <c r="X37" i="21"/>
  <c r="Z37" i="21" s="1"/>
  <c r="V37" i="21"/>
  <c r="N37" i="21"/>
  <c r="L37" i="21"/>
  <c r="B37" i="21"/>
  <c r="X36" i="21"/>
  <c r="Z36" i="21" s="1"/>
  <c r="L36" i="21"/>
  <c r="N36" i="21" s="1"/>
  <c r="J36" i="21"/>
  <c r="B36" i="21"/>
  <c r="X35" i="21"/>
  <c r="Z35" i="21" s="1"/>
  <c r="N35" i="21"/>
  <c r="L35" i="21"/>
  <c r="B35" i="21"/>
  <c r="Z34" i="21"/>
  <c r="X34" i="21"/>
  <c r="L34" i="21"/>
  <c r="N34" i="21" s="1"/>
  <c r="B34" i="21"/>
  <c r="X33" i="21"/>
  <c r="Z33" i="21" s="1"/>
  <c r="V33" i="21"/>
  <c r="N33" i="21"/>
  <c r="L33" i="21"/>
  <c r="B33" i="21"/>
  <c r="T32" i="21"/>
  <c r="Z32" i="21" s="1"/>
  <c r="P32" i="21"/>
  <c r="X32" i="21" s="1"/>
  <c r="H32" i="21"/>
  <c r="D32" i="21"/>
  <c r="L32" i="21" s="1"/>
  <c r="N32" i="21" s="1"/>
  <c r="B32" i="21"/>
  <c r="T31" i="21"/>
  <c r="P31" i="21"/>
  <c r="X31" i="21" s="1"/>
  <c r="Z31" i="21" s="1"/>
  <c r="H31" i="21"/>
  <c r="D31" i="21"/>
  <c r="L31" i="21" s="1"/>
  <c r="Z27" i="21"/>
  <c r="X27" i="21"/>
  <c r="N27" i="21"/>
  <c r="L27" i="21"/>
  <c r="B27" i="21"/>
  <c r="Z26" i="21"/>
  <c r="X26" i="21"/>
  <c r="N26" i="21"/>
  <c r="L26" i="21"/>
  <c r="J26" i="21"/>
  <c r="B26" i="21"/>
  <c r="Z25" i="21"/>
  <c r="X25" i="21"/>
  <c r="L25" i="21"/>
  <c r="N25" i="21" s="1"/>
  <c r="J25" i="21"/>
  <c r="B25" i="21"/>
  <c r="X24" i="21"/>
  <c r="Z24" i="21" s="1"/>
  <c r="V24" i="21"/>
  <c r="T24" i="21"/>
  <c r="P24" i="21"/>
  <c r="H24" i="21"/>
  <c r="H29" i="21" s="1"/>
  <c r="D24" i="21"/>
  <c r="Z22" i="21"/>
  <c r="X22" i="21"/>
  <c r="P22" i="21"/>
  <c r="N22" i="21"/>
  <c r="D22" i="21"/>
  <c r="L22" i="21" s="1"/>
  <c r="B22" i="21"/>
  <c r="Z21" i="21"/>
  <c r="P21" i="21"/>
  <c r="X21" i="21" s="1"/>
  <c r="N21" i="21"/>
  <c r="D21" i="21"/>
  <c r="L21" i="21" s="1"/>
  <c r="B21" i="21"/>
  <c r="Z20" i="21"/>
  <c r="X20" i="21"/>
  <c r="P20" i="21"/>
  <c r="N20" i="21"/>
  <c r="L20" i="21"/>
  <c r="D20" i="21"/>
  <c r="B20" i="21"/>
  <c r="Z19" i="21"/>
  <c r="P19" i="21"/>
  <c r="X19" i="21" s="1"/>
  <c r="N19" i="21"/>
  <c r="D19" i="21"/>
  <c r="L19" i="21" s="1"/>
  <c r="B19" i="21"/>
  <c r="Z18" i="21"/>
  <c r="P18" i="21"/>
  <c r="X18" i="21" s="1"/>
  <c r="N18" i="21"/>
  <c r="D18" i="21"/>
  <c r="L18" i="21" s="1"/>
  <c r="B18" i="21"/>
  <c r="P17" i="21"/>
  <c r="X17" i="21" s="1"/>
  <c r="Z17" i="21" s="1"/>
  <c r="N17" i="21"/>
  <c r="L17" i="21"/>
  <c r="D17" i="21"/>
  <c r="B17" i="21"/>
  <c r="Z16" i="21"/>
  <c r="P16" i="21"/>
  <c r="X16" i="21" s="1"/>
  <c r="N16" i="21"/>
  <c r="L16" i="21"/>
  <c r="D16" i="21"/>
  <c r="B16" i="21"/>
  <c r="Z15" i="21"/>
  <c r="X15" i="21"/>
  <c r="P15" i="21"/>
  <c r="N15" i="21"/>
  <c r="D15" i="21"/>
  <c r="L15" i="21" s="1"/>
  <c r="B15" i="21"/>
  <c r="Z14" i="21"/>
  <c r="X14" i="21"/>
  <c r="P14" i="21"/>
  <c r="N14" i="21"/>
  <c r="D14" i="21"/>
  <c r="L14" i="21" s="1"/>
  <c r="B14" i="21"/>
  <c r="P13" i="21"/>
  <c r="X13" i="21" s="1"/>
  <c r="Z13" i="21" s="1"/>
  <c r="D13" i="21"/>
  <c r="B13" i="21"/>
  <c r="T12" i="21"/>
  <c r="V83" i="21" s="1"/>
  <c r="P12" i="21"/>
  <c r="R70" i="21" s="1"/>
  <c r="H12" i="21"/>
  <c r="J81" i="21" s="1"/>
  <c r="D4" i="21"/>
  <c r="Z276" i="18"/>
  <c r="X276" i="18"/>
  <c r="N276" i="18"/>
  <c r="L276" i="18"/>
  <c r="P272" i="18"/>
  <c r="X272" i="18" s="1"/>
  <c r="Z272" i="18" s="1"/>
  <c r="D272" i="18"/>
  <c r="L272" i="18" s="1"/>
  <c r="N272" i="18" s="1"/>
  <c r="B272" i="18"/>
  <c r="Z271" i="18"/>
  <c r="P271" i="18"/>
  <c r="X271" i="18" s="1"/>
  <c r="N271" i="18"/>
  <c r="D271" i="18"/>
  <c r="L271" i="18" s="1"/>
  <c r="B271" i="18"/>
  <c r="Z270" i="18"/>
  <c r="X270" i="18"/>
  <c r="P270" i="18"/>
  <c r="L270" i="18"/>
  <c r="N270" i="18" s="1"/>
  <c r="D270" i="18"/>
  <c r="B270" i="18"/>
  <c r="Z269" i="18"/>
  <c r="P269" i="18"/>
  <c r="X269" i="18" s="1"/>
  <c r="L269" i="18"/>
  <c r="N269" i="18" s="1"/>
  <c r="D269" i="18"/>
  <c r="B269" i="18"/>
  <c r="Z268" i="18"/>
  <c r="X268" i="18"/>
  <c r="P268" i="18"/>
  <c r="N268" i="18"/>
  <c r="D268" i="18"/>
  <c r="L268" i="18" s="1"/>
  <c r="B268" i="18"/>
  <c r="Z267" i="18"/>
  <c r="X267" i="18"/>
  <c r="P267" i="18"/>
  <c r="N267" i="18"/>
  <c r="D267" i="18"/>
  <c r="L267" i="18" s="1"/>
  <c r="B267" i="18"/>
  <c r="Z266" i="18"/>
  <c r="X266" i="18"/>
  <c r="P266" i="18"/>
  <c r="N266" i="18"/>
  <c r="D266" i="18"/>
  <c r="L266" i="18" s="1"/>
  <c r="B266" i="18"/>
  <c r="Z265" i="18"/>
  <c r="P265" i="18"/>
  <c r="X265" i="18" s="1"/>
  <c r="N265" i="18"/>
  <c r="L265" i="18"/>
  <c r="D265" i="18"/>
  <c r="B265" i="18"/>
  <c r="Z264" i="18"/>
  <c r="P264" i="18"/>
  <c r="X264" i="18" s="1"/>
  <c r="N264" i="18"/>
  <c r="D264" i="18"/>
  <c r="D263" i="18" s="1"/>
  <c r="L263" i="18" s="1"/>
  <c r="N263" i="18" s="1"/>
  <c r="B264" i="18"/>
  <c r="T263" i="18"/>
  <c r="P263" i="18"/>
  <c r="X263" i="18" s="1"/>
  <c r="Z263" i="18" s="1"/>
  <c r="H263" i="18"/>
  <c r="X261" i="18"/>
  <c r="Z261" i="18" s="1"/>
  <c r="L261" i="18"/>
  <c r="N261" i="18" s="1"/>
  <c r="J261" i="18"/>
  <c r="B261" i="18"/>
  <c r="X260" i="18"/>
  <c r="T260" i="18"/>
  <c r="Z260" i="18" s="1"/>
  <c r="P260" i="18"/>
  <c r="H260" i="18"/>
  <c r="D260" i="18"/>
  <c r="B260" i="18"/>
  <c r="Z259" i="18"/>
  <c r="X259" i="18"/>
  <c r="N259" i="18"/>
  <c r="L259" i="18"/>
  <c r="B259" i="18"/>
  <c r="X258" i="18"/>
  <c r="Z258" i="18" s="1"/>
  <c r="L258" i="18"/>
  <c r="N258" i="18" s="1"/>
  <c r="B258" i="18"/>
  <c r="Z257" i="18"/>
  <c r="X257" i="18"/>
  <c r="N257" i="18"/>
  <c r="L257" i="18"/>
  <c r="B257" i="18"/>
  <c r="T256" i="18"/>
  <c r="P256" i="18"/>
  <c r="X256" i="18" s="1"/>
  <c r="Z256" i="18" s="1"/>
  <c r="H256" i="18"/>
  <c r="D256" i="18"/>
  <c r="L256" i="18" s="1"/>
  <c r="B256" i="18"/>
  <c r="X255" i="18"/>
  <c r="Z255" i="18" s="1"/>
  <c r="N255" i="18"/>
  <c r="L255" i="18"/>
  <c r="B255" i="18"/>
  <c r="X254" i="18"/>
  <c r="T254" i="18"/>
  <c r="Z254" i="18" s="1"/>
  <c r="P254" i="18"/>
  <c r="N254" i="18"/>
  <c r="L254" i="18"/>
  <c r="H254" i="18"/>
  <c r="D254" i="18"/>
  <c r="B254" i="18"/>
  <c r="X253" i="18"/>
  <c r="Z253" i="18" s="1"/>
  <c r="L253" i="18"/>
  <c r="N253" i="18" s="1"/>
  <c r="J253" i="18"/>
  <c r="B253" i="18"/>
  <c r="X252" i="18"/>
  <c r="Z252" i="18" s="1"/>
  <c r="N252" i="18"/>
  <c r="L252" i="18"/>
  <c r="B252" i="18"/>
  <c r="Z251" i="18"/>
  <c r="T251" i="18"/>
  <c r="P251" i="18"/>
  <c r="X251" i="18" s="1"/>
  <c r="H251" i="18"/>
  <c r="D251" i="18"/>
  <c r="L251" i="18" s="1"/>
  <c r="N251" i="18" s="1"/>
  <c r="B251" i="18"/>
  <c r="X250" i="18"/>
  <c r="Z250" i="18" s="1"/>
  <c r="L250" i="18"/>
  <c r="N250" i="18" s="1"/>
  <c r="B250" i="18"/>
  <c r="X249" i="18"/>
  <c r="Z249" i="18" s="1"/>
  <c r="L249" i="18"/>
  <c r="N249" i="18" s="1"/>
  <c r="B249" i="18"/>
  <c r="Z248" i="18"/>
  <c r="X248" i="18"/>
  <c r="L248" i="18"/>
  <c r="N248" i="18" s="1"/>
  <c r="B248" i="18"/>
  <c r="Z247" i="18"/>
  <c r="X247" i="18"/>
  <c r="L247" i="18"/>
  <c r="N247" i="18" s="1"/>
  <c r="B247" i="18"/>
  <c r="X246" i="18"/>
  <c r="Z246" i="18" s="1"/>
  <c r="L246" i="18"/>
  <c r="N246" i="18" s="1"/>
  <c r="B246" i="18"/>
  <c r="X245" i="18"/>
  <c r="Z245" i="18" s="1"/>
  <c r="L245" i="18"/>
  <c r="N245" i="18" s="1"/>
  <c r="B245" i="18"/>
  <c r="Z244" i="18"/>
  <c r="X244" i="18"/>
  <c r="N244" i="18"/>
  <c r="L244" i="18"/>
  <c r="B244" i="18"/>
  <c r="T243" i="18"/>
  <c r="Z243" i="18" s="1"/>
  <c r="P243" i="18"/>
  <c r="X243" i="18" s="1"/>
  <c r="L243" i="18"/>
  <c r="J243" i="18"/>
  <c r="H243" i="18"/>
  <c r="D243" i="18"/>
  <c r="B243" i="18"/>
  <c r="X242" i="18"/>
  <c r="Z242" i="18" s="1"/>
  <c r="N242" i="18"/>
  <c r="L242" i="18"/>
  <c r="J242" i="18"/>
  <c r="B242" i="18"/>
  <c r="X241" i="18"/>
  <c r="Z241" i="18" s="1"/>
  <c r="L241" i="18"/>
  <c r="N241" i="18" s="1"/>
  <c r="B241" i="18"/>
  <c r="X240" i="18"/>
  <c r="Z240" i="18" s="1"/>
  <c r="T240" i="18"/>
  <c r="P240" i="18"/>
  <c r="L240" i="18"/>
  <c r="H240" i="18"/>
  <c r="N240" i="18" s="1"/>
  <c r="D240" i="18"/>
  <c r="B240" i="18"/>
  <c r="Z239" i="18"/>
  <c r="X239" i="18"/>
  <c r="N239" i="18"/>
  <c r="L239" i="18"/>
  <c r="B239" i="18"/>
  <c r="Z238" i="18"/>
  <c r="X238" i="18"/>
  <c r="V238" i="18"/>
  <c r="N238" i="18"/>
  <c r="L238" i="18"/>
  <c r="B238" i="18"/>
  <c r="X237" i="18"/>
  <c r="Z237" i="18" s="1"/>
  <c r="L237" i="18"/>
  <c r="N237" i="18" s="1"/>
  <c r="J237" i="18"/>
  <c r="B237" i="18"/>
  <c r="X236" i="18"/>
  <c r="Z236" i="18" s="1"/>
  <c r="N236" i="18"/>
  <c r="L236" i="18"/>
  <c r="B236" i="18"/>
  <c r="T235" i="18"/>
  <c r="P235" i="18"/>
  <c r="X235" i="18" s="1"/>
  <c r="Z235" i="18" s="1"/>
  <c r="H235" i="18"/>
  <c r="D235" i="18"/>
  <c r="L235" i="18" s="1"/>
  <c r="N235" i="18" s="1"/>
  <c r="B235" i="18"/>
  <c r="Z234" i="18"/>
  <c r="X234" i="18"/>
  <c r="N234" i="18"/>
  <c r="L234" i="18"/>
  <c r="B234" i="18"/>
  <c r="X233" i="18"/>
  <c r="Z233" i="18" s="1"/>
  <c r="L233" i="18"/>
  <c r="N233" i="18" s="1"/>
  <c r="B233" i="18"/>
  <c r="Z232" i="18"/>
  <c r="X232" i="18"/>
  <c r="L232" i="18"/>
  <c r="N232" i="18" s="1"/>
  <c r="B232" i="18"/>
  <c r="Z231" i="18"/>
  <c r="X231" i="18"/>
  <c r="L231" i="18"/>
  <c r="N231" i="18" s="1"/>
  <c r="B231" i="18"/>
  <c r="T230" i="18"/>
  <c r="P230" i="18"/>
  <c r="X230" i="18" s="1"/>
  <c r="H230" i="18"/>
  <c r="D230" i="18"/>
  <c r="L230" i="18" s="1"/>
  <c r="N230" i="18" s="1"/>
  <c r="B230" i="18"/>
  <c r="X229" i="18"/>
  <c r="Z229" i="18" s="1"/>
  <c r="L229" i="18"/>
  <c r="N229" i="18" s="1"/>
  <c r="B229" i="18"/>
  <c r="X228" i="18"/>
  <c r="Z228" i="18" s="1"/>
  <c r="L228" i="18"/>
  <c r="N228" i="18" s="1"/>
  <c r="B228" i="18"/>
  <c r="X227" i="18"/>
  <c r="Z227" i="18" s="1"/>
  <c r="N227" i="18"/>
  <c r="L227" i="18"/>
  <c r="B227" i="18"/>
  <c r="X226" i="18"/>
  <c r="T226" i="18"/>
  <c r="Z226" i="18" s="1"/>
  <c r="P226" i="18"/>
  <c r="L226" i="18"/>
  <c r="N226" i="18" s="1"/>
  <c r="H226" i="18"/>
  <c r="D226" i="18"/>
  <c r="B226" i="18"/>
  <c r="X225" i="18"/>
  <c r="Z225" i="18" s="1"/>
  <c r="L225" i="18"/>
  <c r="N225" i="18" s="1"/>
  <c r="J225" i="18"/>
  <c r="B225" i="18"/>
  <c r="X224" i="18"/>
  <c r="T224" i="18"/>
  <c r="Z224" i="18" s="1"/>
  <c r="P224" i="18"/>
  <c r="H224" i="18"/>
  <c r="D224" i="18"/>
  <c r="B224" i="18"/>
  <c r="Z223" i="18"/>
  <c r="X223" i="18"/>
  <c r="N223" i="18"/>
  <c r="L223" i="18"/>
  <c r="B223" i="18"/>
  <c r="T222" i="18"/>
  <c r="P222" i="18"/>
  <c r="X222" i="18" s="1"/>
  <c r="H222" i="18"/>
  <c r="D222" i="18"/>
  <c r="L222" i="18" s="1"/>
  <c r="N222" i="18" s="1"/>
  <c r="B222" i="18"/>
  <c r="X221" i="18"/>
  <c r="Z221" i="18" s="1"/>
  <c r="L221" i="18"/>
  <c r="N221" i="18" s="1"/>
  <c r="B221" i="18"/>
  <c r="Z220" i="18"/>
  <c r="X220" i="18"/>
  <c r="T220" i="18"/>
  <c r="P220" i="18"/>
  <c r="H220" i="18"/>
  <c r="N220" i="18" s="1"/>
  <c r="D220" i="18"/>
  <c r="L220" i="18" s="1"/>
  <c r="B220" i="18"/>
  <c r="Z219" i="18"/>
  <c r="X219" i="18"/>
  <c r="N219" i="18"/>
  <c r="L219" i="18"/>
  <c r="B219" i="18"/>
  <c r="T218" i="18"/>
  <c r="P218" i="18"/>
  <c r="H218" i="18"/>
  <c r="D218" i="18"/>
  <c r="L218" i="18" s="1"/>
  <c r="B218" i="18"/>
  <c r="X217" i="18"/>
  <c r="Z217" i="18" s="1"/>
  <c r="N217" i="18"/>
  <c r="L217" i="18"/>
  <c r="B217" i="18"/>
  <c r="T216" i="18"/>
  <c r="P216" i="18"/>
  <c r="X216" i="18" s="1"/>
  <c r="Z216" i="18" s="1"/>
  <c r="H216" i="18"/>
  <c r="D216" i="18"/>
  <c r="L216" i="18" s="1"/>
  <c r="B216" i="18"/>
  <c r="Z215" i="18"/>
  <c r="X215" i="18"/>
  <c r="N215" i="18"/>
  <c r="L215" i="18"/>
  <c r="B215" i="18"/>
  <c r="X214" i="18"/>
  <c r="Z214" i="18" s="1"/>
  <c r="L214" i="18"/>
  <c r="N214" i="18" s="1"/>
  <c r="J214" i="18"/>
  <c r="B214" i="18"/>
  <c r="T213" i="18"/>
  <c r="P213" i="18"/>
  <c r="X213" i="18" s="1"/>
  <c r="Z213" i="18" s="1"/>
  <c r="H213" i="18"/>
  <c r="D213" i="18"/>
  <c r="B213" i="18"/>
  <c r="X212" i="18"/>
  <c r="Z212" i="18" s="1"/>
  <c r="N212" i="18"/>
  <c r="L212" i="18"/>
  <c r="B212" i="18"/>
  <c r="Z211" i="18"/>
  <c r="X211" i="18"/>
  <c r="T211" i="18"/>
  <c r="P211" i="18"/>
  <c r="H211" i="18"/>
  <c r="D211" i="18"/>
  <c r="L211" i="18" s="1"/>
  <c r="N211" i="18" s="1"/>
  <c r="B211" i="18"/>
  <c r="Z210" i="18"/>
  <c r="X210" i="18"/>
  <c r="L210" i="18"/>
  <c r="N210" i="18" s="1"/>
  <c r="B210" i="18"/>
  <c r="X209" i="18"/>
  <c r="T209" i="18"/>
  <c r="P209" i="18"/>
  <c r="H209" i="18"/>
  <c r="D209" i="18"/>
  <c r="L209" i="18" s="1"/>
  <c r="B209" i="18"/>
  <c r="Z208" i="18"/>
  <c r="X208" i="18"/>
  <c r="N208" i="18"/>
  <c r="L208" i="18"/>
  <c r="B208" i="18"/>
  <c r="X207" i="18"/>
  <c r="Z207" i="18" s="1"/>
  <c r="N207" i="18"/>
  <c r="L207" i="18"/>
  <c r="B207" i="18"/>
  <c r="T206" i="18"/>
  <c r="P206" i="18"/>
  <c r="N206" i="18"/>
  <c r="L206" i="18"/>
  <c r="H206" i="18"/>
  <c r="D206" i="18"/>
  <c r="B206" i="18"/>
  <c r="Z205" i="18"/>
  <c r="X205" i="18"/>
  <c r="N205" i="18"/>
  <c r="L205" i="18"/>
  <c r="J205" i="18"/>
  <c r="B205" i="18"/>
  <c r="X204" i="18"/>
  <c r="Z204" i="18" s="1"/>
  <c r="N204" i="18"/>
  <c r="L204" i="18"/>
  <c r="B204" i="18"/>
  <c r="Z203" i="18"/>
  <c r="X203" i="18"/>
  <c r="T203" i="18"/>
  <c r="P203" i="18"/>
  <c r="H203" i="18"/>
  <c r="D203" i="18"/>
  <c r="L203" i="18" s="1"/>
  <c r="B203" i="18"/>
  <c r="Z202" i="18"/>
  <c r="X202" i="18"/>
  <c r="N202" i="18"/>
  <c r="L202" i="18"/>
  <c r="B202" i="18"/>
  <c r="X201" i="18"/>
  <c r="Z201" i="18" s="1"/>
  <c r="N201" i="18"/>
  <c r="L201" i="18"/>
  <c r="B201" i="18"/>
  <c r="Z200" i="18"/>
  <c r="X200" i="18"/>
  <c r="N200" i="18"/>
  <c r="L200" i="18"/>
  <c r="B200" i="18"/>
  <c r="T199" i="18"/>
  <c r="P199" i="18"/>
  <c r="X199" i="18" s="1"/>
  <c r="L199" i="18"/>
  <c r="J199" i="18"/>
  <c r="H199" i="18"/>
  <c r="N199" i="18" s="1"/>
  <c r="D199" i="18"/>
  <c r="B199" i="18"/>
  <c r="X198" i="18"/>
  <c r="Z198" i="18" s="1"/>
  <c r="N198" i="18"/>
  <c r="L198" i="18"/>
  <c r="J198" i="18"/>
  <c r="B198" i="18"/>
  <c r="T197" i="18"/>
  <c r="P197" i="18"/>
  <c r="X197" i="18" s="1"/>
  <c r="Z197" i="18" s="1"/>
  <c r="H197" i="18"/>
  <c r="D197" i="18"/>
  <c r="B197" i="18"/>
  <c r="X196" i="18"/>
  <c r="Z196" i="18" s="1"/>
  <c r="N196" i="18"/>
  <c r="L196" i="18"/>
  <c r="B196" i="18"/>
  <c r="Z195" i="18"/>
  <c r="X195" i="18"/>
  <c r="N195" i="18"/>
  <c r="L195" i="18"/>
  <c r="B195" i="18"/>
  <c r="T194" i="18"/>
  <c r="P194" i="18"/>
  <c r="X194" i="18" s="1"/>
  <c r="H194" i="18"/>
  <c r="N194" i="18" s="1"/>
  <c r="D194" i="18"/>
  <c r="L194" i="18" s="1"/>
  <c r="B194" i="18"/>
  <c r="X193" i="18"/>
  <c r="Z193" i="18" s="1"/>
  <c r="N193" i="18"/>
  <c r="L193" i="18"/>
  <c r="B193" i="18"/>
  <c r="T192" i="18"/>
  <c r="P192" i="18"/>
  <c r="X192" i="18" s="1"/>
  <c r="Z192" i="18" s="1"/>
  <c r="H192" i="18"/>
  <c r="D192" i="18"/>
  <c r="L192" i="18" s="1"/>
  <c r="B192" i="18"/>
  <c r="Z191" i="18"/>
  <c r="X191" i="18"/>
  <c r="N191" i="18"/>
  <c r="L191" i="18"/>
  <c r="B191" i="18"/>
  <c r="Z190" i="18"/>
  <c r="X190" i="18"/>
  <c r="N190" i="18"/>
  <c r="L190" i="18"/>
  <c r="J190" i="18"/>
  <c r="B190" i="18"/>
  <c r="Z189" i="18"/>
  <c r="X189" i="18"/>
  <c r="L189" i="18"/>
  <c r="N189" i="18" s="1"/>
  <c r="B189" i="18"/>
  <c r="Z188" i="18"/>
  <c r="X188" i="18"/>
  <c r="L188" i="18"/>
  <c r="N188" i="18" s="1"/>
  <c r="B188" i="18"/>
  <c r="Z187" i="18"/>
  <c r="X187" i="18"/>
  <c r="N187" i="18"/>
  <c r="L187" i="18"/>
  <c r="B187" i="18"/>
  <c r="X186" i="18"/>
  <c r="Z186" i="18" s="1"/>
  <c r="N186" i="18"/>
  <c r="L186" i="18"/>
  <c r="J186" i="18"/>
  <c r="B186" i="18"/>
  <c r="X185" i="18"/>
  <c r="Z185" i="18" s="1"/>
  <c r="L185" i="18"/>
  <c r="N185" i="18" s="1"/>
  <c r="B185" i="18"/>
  <c r="Z184" i="18"/>
  <c r="X184" i="18"/>
  <c r="N184" i="18"/>
  <c r="L184" i="18"/>
  <c r="B184" i="18"/>
  <c r="Z183" i="18"/>
  <c r="X183" i="18"/>
  <c r="N183" i="18"/>
  <c r="L183" i="18"/>
  <c r="B183" i="18"/>
  <c r="X182" i="18"/>
  <c r="Z182" i="18" s="1"/>
  <c r="L182" i="18"/>
  <c r="N182" i="18" s="1"/>
  <c r="J182" i="18"/>
  <c r="B182" i="18"/>
  <c r="T181" i="18"/>
  <c r="P181" i="18"/>
  <c r="X181" i="18" s="1"/>
  <c r="H181" i="18"/>
  <c r="D181" i="18"/>
  <c r="B181" i="18"/>
  <c r="X180" i="18"/>
  <c r="Z180" i="18" s="1"/>
  <c r="N180" i="18"/>
  <c r="L180" i="18"/>
  <c r="B180" i="18"/>
  <c r="Z179" i="18"/>
  <c r="X179" i="18"/>
  <c r="N179" i="18"/>
  <c r="L179" i="18"/>
  <c r="B179" i="18"/>
  <c r="X178" i="18"/>
  <c r="Z178" i="18" s="1"/>
  <c r="N178" i="18"/>
  <c r="L178" i="18"/>
  <c r="B178" i="18"/>
  <c r="Z177" i="18"/>
  <c r="X177" i="18"/>
  <c r="N177" i="18"/>
  <c r="L177" i="18"/>
  <c r="J177" i="18"/>
  <c r="B177" i="18"/>
  <c r="Z176" i="18"/>
  <c r="X176" i="18"/>
  <c r="N176" i="18"/>
  <c r="L176" i="18"/>
  <c r="B176" i="18"/>
  <c r="Z175" i="18"/>
  <c r="X175" i="18"/>
  <c r="N175" i="18"/>
  <c r="L175" i="18"/>
  <c r="B175" i="18"/>
  <c r="X174" i="18"/>
  <c r="Z174" i="18" s="1"/>
  <c r="N174" i="18"/>
  <c r="L174" i="18"/>
  <c r="B174" i="18"/>
  <c r="X173" i="18"/>
  <c r="Z173" i="18" s="1"/>
  <c r="L173" i="18"/>
  <c r="N173" i="18" s="1"/>
  <c r="J173" i="18"/>
  <c r="B173" i="18"/>
  <c r="X172" i="18"/>
  <c r="Z172" i="18" s="1"/>
  <c r="N172" i="18"/>
  <c r="L172" i="18"/>
  <c r="B172" i="18"/>
  <c r="Z171" i="18"/>
  <c r="X171" i="18"/>
  <c r="L171" i="18"/>
  <c r="N171" i="18" s="1"/>
  <c r="B171" i="18"/>
  <c r="T170" i="18"/>
  <c r="P170" i="18"/>
  <c r="H170" i="18"/>
  <c r="N170" i="18" s="1"/>
  <c r="D170" i="18"/>
  <c r="L170" i="18" s="1"/>
  <c r="B170" i="18"/>
  <c r="T169" i="18"/>
  <c r="P169" i="18"/>
  <c r="X169" i="18" s="1"/>
  <c r="H169" i="18"/>
  <c r="D169" i="18"/>
  <c r="L169" i="18" s="1"/>
  <c r="Z165" i="18"/>
  <c r="X165" i="18"/>
  <c r="N165" i="18"/>
  <c r="L165" i="18"/>
  <c r="B165" i="18"/>
  <c r="Z164" i="18"/>
  <c r="X164" i="18"/>
  <c r="N164" i="18"/>
  <c r="L164" i="18"/>
  <c r="B164" i="18"/>
  <c r="Z163" i="18"/>
  <c r="X163" i="18"/>
  <c r="N163" i="18"/>
  <c r="L163" i="18"/>
  <c r="B163" i="18"/>
  <c r="Z162" i="18"/>
  <c r="X162" i="18"/>
  <c r="N162" i="18"/>
  <c r="L162" i="18"/>
  <c r="B162" i="18"/>
  <c r="Z161" i="18"/>
  <c r="X161" i="18"/>
  <c r="N161" i="18"/>
  <c r="L161" i="18"/>
  <c r="B161" i="18"/>
  <c r="Z160" i="18"/>
  <c r="X160" i="18"/>
  <c r="N160" i="18"/>
  <c r="L160" i="18"/>
  <c r="B160" i="18"/>
  <c r="Z159" i="18"/>
  <c r="X159" i="18"/>
  <c r="N159" i="18"/>
  <c r="L159" i="18"/>
  <c r="B159" i="18"/>
  <c r="Z158" i="18"/>
  <c r="X158" i="18"/>
  <c r="N158" i="18"/>
  <c r="L158" i="18"/>
  <c r="B158" i="18"/>
  <c r="Z157" i="18"/>
  <c r="X157" i="18"/>
  <c r="N157" i="18"/>
  <c r="L157" i="18"/>
  <c r="B157" i="18"/>
  <c r="Z156" i="18"/>
  <c r="X156" i="18"/>
  <c r="N156" i="18"/>
  <c r="L156" i="18"/>
  <c r="B156" i="18"/>
  <c r="Z155" i="18"/>
  <c r="X155" i="18"/>
  <c r="N155" i="18"/>
  <c r="L155" i="18"/>
  <c r="B155" i="18"/>
  <c r="Z154" i="18"/>
  <c r="X154" i="18"/>
  <c r="N154" i="18"/>
  <c r="L154" i="18"/>
  <c r="B154" i="18"/>
  <c r="Z153" i="18"/>
  <c r="X153" i="18"/>
  <c r="N153" i="18"/>
  <c r="L153" i="18"/>
  <c r="B153" i="18"/>
  <c r="Z152" i="18"/>
  <c r="X152" i="18"/>
  <c r="N152" i="18"/>
  <c r="L152" i="18"/>
  <c r="B152" i="18"/>
  <c r="Z151" i="18"/>
  <c r="X151" i="18"/>
  <c r="N151" i="18"/>
  <c r="L151" i="18"/>
  <c r="B151" i="18"/>
  <c r="Z150" i="18"/>
  <c r="X150" i="18"/>
  <c r="N150" i="18"/>
  <c r="L150" i="18"/>
  <c r="B150" i="18"/>
  <c r="Z149" i="18"/>
  <c r="X149" i="18"/>
  <c r="N149" i="18"/>
  <c r="L149" i="18"/>
  <c r="B149" i="18"/>
  <c r="Z148" i="18"/>
  <c r="X148" i="18"/>
  <c r="N148" i="18"/>
  <c r="L148" i="18"/>
  <c r="B148" i="18"/>
  <c r="Z147" i="18"/>
  <c r="X147" i="18"/>
  <c r="N147" i="18"/>
  <c r="L147" i="18"/>
  <c r="B147" i="18"/>
  <c r="Z146" i="18"/>
  <c r="X146" i="18"/>
  <c r="N146" i="18"/>
  <c r="L146" i="18"/>
  <c r="B146" i="18"/>
  <c r="Z145" i="18"/>
  <c r="X145" i="18"/>
  <c r="N145" i="18"/>
  <c r="L145" i="18"/>
  <c r="B145" i="18"/>
  <c r="Z144" i="18"/>
  <c r="X144" i="18"/>
  <c r="N144" i="18"/>
  <c r="L144" i="18"/>
  <c r="B144" i="18"/>
  <c r="Z143" i="18"/>
  <c r="X143" i="18"/>
  <c r="N143" i="18"/>
  <c r="L143" i="18"/>
  <c r="B143" i="18"/>
  <c r="Z142" i="18"/>
  <c r="X142" i="18"/>
  <c r="N142" i="18"/>
  <c r="L142" i="18"/>
  <c r="B142" i="18"/>
  <c r="Z141" i="18"/>
  <c r="X141" i="18"/>
  <c r="N141" i="18"/>
  <c r="L141" i="18"/>
  <c r="B141" i="18"/>
  <c r="Z140" i="18"/>
  <c r="X140" i="18"/>
  <c r="N140" i="18"/>
  <c r="L140" i="18"/>
  <c r="B140" i="18"/>
  <c r="Z139" i="18"/>
  <c r="X139" i="18"/>
  <c r="N139" i="18"/>
  <c r="L139" i="18"/>
  <c r="B139" i="18"/>
  <c r="Z138" i="18"/>
  <c r="X138" i="18"/>
  <c r="N138" i="18"/>
  <c r="L138" i="18"/>
  <c r="B138" i="18"/>
  <c r="Z137" i="18"/>
  <c r="X137" i="18"/>
  <c r="N137" i="18"/>
  <c r="L137" i="18"/>
  <c r="B137" i="18"/>
  <c r="Z136" i="18"/>
  <c r="X136" i="18"/>
  <c r="N136" i="18"/>
  <c r="L136" i="18"/>
  <c r="B136" i="18"/>
  <c r="Z135" i="18"/>
  <c r="X135" i="18"/>
  <c r="N135" i="18"/>
  <c r="L135" i="18"/>
  <c r="B135" i="18"/>
  <c r="Z134" i="18"/>
  <c r="X134" i="18"/>
  <c r="N134" i="18"/>
  <c r="L134" i="18"/>
  <c r="B134" i="18"/>
  <c r="Z133" i="18"/>
  <c r="X133" i="18"/>
  <c r="N133" i="18"/>
  <c r="L133" i="18"/>
  <c r="B133" i="18"/>
  <c r="Z132" i="18"/>
  <c r="X132" i="18"/>
  <c r="N132" i="18"/>
  <c r="L132" i="18"/>
  <c r="B132" i="18"/>
  <c r="Z131" i="18"/>
  <c r="X131" i="18"/>
  <c r="N131" i="18"/>
  <c r="L131" i="18"/>
  <c r="B131" i="18"/>
  <c r="Z130" i="18"/>
  <c r="X130" i="18"/>
  <c r="N130" i="18"/>
  <c r="L130" i="18"/>
  <c r="B130" i="18"/>
  <c r="Z129" i="18"/>
  <c r="X129" i="18"/>
  <c r="N129" i="18"/>
  <c r="L129" i="18"/>
  <c r="B129" i="18"/>
  <c r="Z128" i="18"/>
  <c r="X128" i="18"/>
  <c r="N128" i="18"/>
  <c r="L128" i="18"/>
  <c r="B128" i="18"/>
  <c r="Z127" i="18"/>
  <c r="X127" i="18"/>
  <c r="N127" i="18"/>
  <c r="L127" i="18"/>
  <c r="B127" i="18"/>
  <c r="Z126" i="18"/>
  <c r="X126" i="18"/>
  <c r="N126" i="18"/>
  <c r="L126" i="18"/>
  <c r="B126" i="18"/>
  <c r="Z125" i="18"/>
  <c r="X125" i="18"/>
  <c r="N125" i="18"/>
  <c r="L125" i="18"/>
  <c r="B125" i="18"/>
  <c r="Z124" i="18"/>
  <c r="X124" i="18"/>
  <c r="N124" i="18"/>
  <c r="L124" i="18"/>
  <c r="B124" i="18"/>
  <c r="Z123" i="18"/>
  <c r="X123" i="18"/>
  <c r="N123" i="18"/>
  <c r="L123" i="18"/>
  <c r="B123" i="18"/>
  <c r="Z122" i="18"/>
  <c r="X122" i="18"/>
  <c r="N122" i="18"/>
  <c r="L122" i="18"/>
  <c r="B122" i="18"/>
  <c r="Z121" i="18"/>
  <c r="X121" i="18"/>
  <c r="N121" i="18"/>
  <c r="L121" i="18"/>
  <c r="B121" i="18"/>
  <c r="Z120" i="18"/>
  <c r="X120" i="18"/>
  <c r="N120" i="18"/>
  <c r="L120" i="18"/>
  <c r="B120" i="18"/>
  <c r="Z119" i="18"/>
  <c r="X119" i="18"/>
  <c r="N119" i="18"/>
  <c r="L119" i="18"/>
  <c r="B119" i="18"/>
  <c r="Z118" i="18"/>
  <c r="X118" i="18"/>
  <c r="N118" i="18"/>
  <c r="L118" i="18"/>
  <c r="B118" i="18"/>
  <c r="Z117" i="18"/>
  <c r="X117" i="18"/>
  <c r="N117" i="18"/>
  <c r="L117" i="18"/>
  <c r="B117" i="18"/>
  <c r="Z116" i="18"/>
  <c r="X116" i="18"/>
  <c r="N116" i="18"/>
  <c r="L116" i="18"/>
  <c r="B116" i="18"/>
  <c r="Z115" i="18"/>
  <c r="X115" i="18"/>
  <c r="N115" i="18"/>
  <c r="L115" i="18"/>
  <c r="B115" i="18"/>
  <c r="Z114" i="18"/>
  <c r="X114" i="18"/>
  <c r="N114" i="18"/>
  <c r="L114" i="18"/>
  <c r="B114" i="18"/>
  <c r="X113" i="18"/>
  <c r="Z113" i="18" s="1"/>
  <c r="V113" i="18"/>
  <c r="L113" i="18"/>
  <c r="N113" i="18" s="1"/>
  <c r="B113" i="18"/>
  <c r="T112" i="18"/>
  <c r="P112" i="18"/>
  <c r="X112" i="18" s="1"/>
  <c r="Z112" i="18" s="1"/>
  <c r="H112" i="18"/>
  <c r="D112" i="18"/>
  <c r="L112" i="18" s="1"/>
  <c r="N112" i="18" s="1"/>
  <c r="Z110" i="18"/>
  <c r="P110" i="18"/>
  <c r="X110" i="18" s="1"/>
  <c r="N110" i="18"/>
  <c r="D110" i="18"/>
  <c r="L110" i="18" s="1"/>
  <c r="B110" i="18"/>
  <c r="Z109" i="18"/>
  <c r="X109" i="18"/>
  <c r="P109" i="18"/>
  <c r="N109" i="18"/>
  <c r="D109" i="18"/>
  <c r="L109" i="18" s="1"/>
  <c r="B109" i="18"/>
  <c r="Z108" i="18"/>
  <c r="P108" i="18"/>
  <c r="X108" i="18" s="1"/>
  <c r="N108" i="18"/>
  <c r="L108" i="18"/>
  <c r="D108" i="18"/>
  <c r="B108" i="18"/>
  <c r="Z107" i="18"/>
  <c r="P107" i="18"/>
  <c r="X107" i="18" s="1"/>
  <c r="N107" i="18"/>
  <c r="D107" i="18"/>
  <c r="L107" i="18" s="1"/>
  <c r="B107" i="18"/>
  <c r="Z106" i="18"/>
  <c r="X106" i="18"/>
  <c r="P106" i="18"/>
  <c r="N106" i="18"/>
  <c r="L106" i="18"/>
  <c r="D106" i="18"/>
  <c r="B106" i="18"/>
  <c r="Z105" i="18"/>
  <c r="X105" i="18"/>
  <c r="P105" i="18"/>
  <c r="N105" i="18"/>
  <c r="D105" i="18"/>
  <c r="L105" i="18" s="1"/>
  <c r="B105" i="18"/>
  <c r="Z104" i="18"/>
  <c r="P104" i="18"/>
  <c r="X104" i="18" s="1"/>
  <c r="N104" i="18"/>
  <c r="D104" i="18"/>
  <c r="L104" i="18" s="1"/>
  <c r="B104" i="18"/>
  <c r="Z103" i="18"/>
  <c r="X103" i="18"/>
  <c r="P103" i="18"/>
  <c r="N103" i="18"/>
  <c r="L103" i="18"/>
  <c r="D103" i="18"/>
  <c r="B103" i="18"/>
  <c r="Z102" i="18"/>
  <c r="P102" i="18"/>
  <c r="X102" i="18" s="1"/>
  <c r="N102" i="18"/>
  <c r="L102" i="18"/>
  <c r="D102" i="18"/>
  <c r="B102" i="18"/>
  <c r="Z101" i="18"/>
  <c r="X101" i="18"/>
  <c r="P101" i="18"/>
  <c r="N101" i="18"/>
  <c r="D101" i="18"/>
  <c r="L101" i="18" s="1"/>
  <c r="B101" i="18"/>
  <c r="Z100" i="18"/>
  <c r="P100" i="18"/>
  <c r="X100" i="18" s="1"/>
  <c r="N100" i="18"/>
  <c r="L100" i="18"/>
  <c r="D100" i="18"/>
  <c r="B100" i="18"/>
  <c r="Z99" i="18"/>
  <c r="X99" i="18"/>
  <c r="P99" i="18"/>
  <c r="N99" i="18"/>
  <c r="D99" i="18"/>
  <c r="L99" i="18" s="1"/>
  <c r="B99" i="18"/>
  <c r="Z98" i="18"/>
  <c r="P98" i="18"/>
  <c r="X98" i="18" s="1"/>
  <c r="N98" i="18"/>
  <c r="D98" i="18"/>
  <c r="L98" i="18" s="1"/>
  <c r="B98" i="18"/>
  <c r="Z97" i="18"/>
  <c r="X97" i="18"/>
  <c r="P97" i="18"/>
  <c r="N97" i="18"/>
  <c r="D97" i="18"/>
  <c r="L97" i="18" s="1"/>
  <c r="B97" i="18"/>
  <c r="Z96" i="18"/>
  <c r="P96" i="18"/>
  <c r="X96" i="18" s="1"/>
  <c r="N96" i="18"/>
  <c r="L96" i="18"/>
  <c r="D96" i="18"/>
  <c r="B96" i="18"/>
  <c r="Z95" i="18"/>
  <c r="P95" i="18"/>
  <c r="X95" i="18" s="1"/>
  <c r="N95" i="18"/>
  <c r="D95" i="18"/>
  <c r="L95" i="18" s="1"/>
  <c r="B95" i="18"/>
  <c r="Z94" i="18"/>
  <c r="X94" i="18"/>
  <c r="P94" i="18"/>
  <c r="N94" i="18"/>
  <c r="L94" i="18"/>
  <c r="D94" i="18"/>
  <c r="B94" i="18"/>
  <c r="Z93" i="18"/>
  <c r="X93" i="18"/>
  <c r="P93" i="18"/>
  <c r="N93" i="18"/>
  <c r="D93" i="18"/>
  <c r="L93" i="18" s="1"/>
  <c r="B93" i="18"/>
  <c r="Z92" i="18"/>
  <c r="P92" i="18"/>
  <c r="X92" i="18" s="1"/>
  <c r="N92" i="18"/>
  <c r="D92" i="18"/>
  <c r="L92" i="18" s="1"/>
  <c r="B92" i="18"/>
  <c r="Z91" i="18"/>
  <c r="X91" i="18"/>
  <c r="P91" i="18"/>
  <c r="N91" i="18"/>
  <c r="L91" i="18"/>
  <c r="D91" i="18"/>
  <c r="B91" i="18"/>
  <c r="Z90" i="18"/>
  <c r="P90" i="18"/>
  <c r="X90" i="18" s="1"/>
  <c r="N90" i="18"/>
  <c r="L90" i="18"/>
  <c r="D90" i="18"/>
  <c r="B90" i="18"/>
  <c r="Z89" i="18"/>
  <c r="X89" i="18"/>
  <c r="P89" i="18"/>
  <c r="N89" i="18"/>
  <c r="D89" i="18"/>
  <c r="L89" i="18" s="1"/>
  <c r="B89" i="18"/>
  <c r="Z88" i="18"/>
  <c r="P88" i="18"/>
  <c r="X88" i="18" s="1"/>
  <c r="N88" i="18"/>
  <c r="L88" i="18"/>
  <c r="D88" i="18"/>
  <c r="B88" i="18"/>
  <c r="Z87" i="18"/>
  <c r="X87" i="18"/>
  <c r="P87" i="18"/>
  <c r="N87" i="18"/>
  <c r="L87" i="18"/>
  <c r="D87" i="18"/>
  <c r="B87" i="18"/>
  <c r="Z86" i="18"/>
  <c r="P86" i="18"/>
  <c r="X86" i="18" s="1"/>
  <c r="N86" i="18"/>
  <c r="L86" i="18"/>
  <c r="D86" i="18"/>
  <c r="B86" i="18"/>
  <c r="Z85" i="18"/>
  <c r="X85" i="18"/>
  <c r="P85" i="18"/>
  <c r="N85" i="18"/>
  <c r="D85" i="18"/>
  <c r="L85" i="18" s="1"/>
  <c r="B85" i="18"/>
  <c r="Z84" i="18"/>
  <c r="P84" i="18"/>
  <c r="X84" i="18" s="1"/>
  <c r="N84" i="18"/>
  <c r="L84" i="18"/>
  <c r="D84" i="18"/>
  <c r="B84" i="18"/>
  <c r="Z83" i="18"/>
  <c r="P83" i="18"/>
  <c r="X83" i="18" s="1"/>
  <c r="N83" i="18"/>
  <c r="D83" i="18"/>
  <c r="L83" i="18" s="1"/>
  <c r="B83" i="18"/>
  <c r="Z82" i="18"/>
  <c r="X82" i="18"/>
  <c r="P82" i="18"/>
  <c r="N82" i="18"/>
  <c r="L82" i="18"/>
  <c r="D82" i="18"/>
  <c r="B82" i="18"/>
  <c r="Z81" i="18"/>
  <c r="X81" i="18"/>
  <c r="P81" i="18"/>
  <c r="N81" i="18"/>
  <c r="D81" i="18"/>
  <c r="L81" i="18" s="1"/>
  <c r="B81" i="18"/>
  <c r="Z80" i="18"/>
  <c r="P80" i="18"/>
  <c r="X80" i="18" s="1"/>
  <c r="N80" i="18"/>
  <c r="D80" i="18"/>
  <c r="L80" i="18" s="1"/>
  <c r="B80" i="18"/>
  <c r="Z79" i="18"/>
  <c r="X79" i="18"/>
  <c r="P79" i="18"/>
  <c r="N79" i="18"/>
  <c r="L79" i="18"/>
  <c r="D79" i="18"/>
  <c r="B79" i="18"/>
  <c r="Z78" i="18"/>
  <c r="P78" i="18"/>
  <c r="X78" i="18" s="1"/>
  <c r="N78" i="18"/>
  <c r="L78" i="18"/>
  <c r="D78" i="18"/>
  <c r="B78" i="18"/>
  <c r="Z77" i="18"/>
  <c r="P77" i="18"/>
  <c r="X77" i="18" s="1"/>
  <c r="N77" i="18"/>
  <c r="D77" i="18"/>
  <c r="L77" i="18" s="1"/>
  <c r="B77" i="18"/>
  <c r="Z76" i="18"/>
  <c r="P76" i="18"/>
  <c r="X76" i="18" s="1"/>
  <c r="N76" i="18"/>
  <c r="L76" i="18"/>
  <c r="D76" i="18"/>
  <c r="B76" i="18"/>
  <c r="Z75" i="18"/>
  <c r="X75" i="18"/>
  <c r="P75" i="18"/>
  <c r="N75" i="18"/>
  <c r="D75" i="18"/>
  <c r="L75" i="18" s="1"/>
  <c r="B75" i="18"/>
  <c r="Z74" i="18"/>
  <c r="P74" i="18"/>
  <c r="X74" i="18" s="1"/>
  <c r="N74" i="18"/>
  <c r="L74" i="18"/>
  <c r="D74" i="18"/>
  <c r="B74" i="18"/>
  <c r="Z73" i="18"/>
  <c r="X73" i="18"/>
  <c r="P73" i="18"/>
  <c r="N73" i="18"/>
  <c r="D73" i="18"/>
  <c r="L73" i="18" s="1"/>
  <c r="B73" i="18"/>
  <c r="Z72" i="18"/>
  <c r="P72" i="18"/>
  <c r="X72" i="18" s="1"/>
  <c r="N72" i="18"/>
  <c r="L72" i="18"/>
  <c r="D72" i="18"/>
  <c r="B72" i="18"/>
  <c r="Z71" i="18"/>
  <c r="P71" i="18"/>
  <c r="X71" i="18" s="1"/>
  <c r="N71" i="18"/>
  <c r="D71" i="18"/>
  <c r="L71" i="18" s="1"/>
  <c r="B71" i="18"/>
  <c r="Z70" i="18"/>
  <c r="X70" i="18"/>
  <c r="P70" i="18"/>
  <c r="N70" i="18"/>
  <c r="L70" i="18"/>
  <c r="D70" i="18"/>
  <c r="B70" i="18"/>
  <c r="Z69" i="18"/>
  <c r="X69" i="18"/>
  <c r="P69" i="18"/>
  <c r="N69" i="18"/>
  <c r="D69" i="18"/>
  <c r="L69" i="18" s="1"/>
  <c r="B69" i="18"/>
  <c r="Z68" i="18"/>
  <c r="P68" i="18"/>
  <c r="X68" i="18" s="1"/>
  <c r="N68" i="18"/>
  <c r="D68" i="18"/>
  <c r="L68" i="18" s="1"/>
  <c r="B68" i="18"/>
  <c r="Z67" i="18"/>
  <c r="X67" i="18"/>
  <c r="P67" i="18"/>
  <c r="N67" i="18"/>
  <c r="L67" i="18"/>
  <c r="D67" i="18"/>
  <c r="B67" i="18"/>
  <c r="Z66" i="18"/>
  <c r="P66" i="18"/>
  <c r="X66" i="18" s="1"/>
  <c r="N66" i="18"/>
  <c r="L66" i="18"/>
  <c r="D66" i="18"/>
  <c r="B66" i="18"/>
  <c r="Z65" i="18"/>
  <c r="P65" i="18"/>
  <c r="X65" i="18" s="1"/>
  <c r="N65" i="18"/>
  <c r="D65" i="18"/>
  <c r="L65" i="18" s="1"/>
  <c r="B65" i="18"/>
  <c r="Z64" i="18"/>
  <c r="P64" i="18"/>
  <c r="X64" i="18" s="1"/>
  <c r="N64" i="18"/>
  <c r="L64" i="18"/>
  <c r="D64" i="18"/>
  <c r="B64" i="18"/>
  <c r="Z63" i="18"/>
  <c r="X63" i="18"/>
  <c r="P63" i="18"/>
  <c r="N63" i="18"/>
  <c r="L63" i="18"/>
  <c r="D63" i="18"/>
  <c r="B63" i="18"/>
  <c r="Z62" i="18"/>
  <c r="P62" i="18"/>
  <c r="X62" i="18" s="1"/>
  <c r="N62" i="18"/>
  <c r="L62" i="18"/>
  <c r="D62" i="18"/>
  <c r="B62" i="18"/>
  <c r="Z61" i="18"/>
  <c r="X61" i="18"/>
  <c r="P61" i="18"/>
  <c r="N61" i="18"/>
  <c r="D61" i="18"/>
  <c r="L61" i="18" s="1"/>
  <c r="B61" i="18"/>
  <c r="Z60" i="18"/>
  <c r="P60" i="18"/>
  <c r="X60" i="18" s="1"/>
  <c r="N60" i="18"/>
  <c r="L60" i="18"/>
  <c r="D60" i="18"/>
  <c r="B60" i="18"/>
  <c r="Z59" i="18"/>
  <c r="P59" i="18"/>
  <c r="X59" i="18" s="1"/>
  <c r="N59" i="18"/>
  <c r="D59" i="18"/>
  <c r="L59" i="18" s="1"/>
  <c r="B59" i="18"/>
  <c r="Z58" i="18"/>
  <c r="X58" i="18"/>
  <c r="P58" i="18"/>
  <c r="N58" i="18"/>
  <c r="L58" i="18"/>
  <c r="D58" i="18"/>
  <c r="B58" i="18"/>
  <c r="Z57" i="18"/>
  <c r="X57" i="18"/>
  <c r="P57" i="18"/>
  <c r="N57" i="18"/>
  <c r="D57" i="18"/>
  <c r="L57" i="18" s="1"/>
  <c r="B57" i="18"/>
  <c r="Z56" i="18"/>
  <c r="P56" i="18"/>
  <c r="X56" i="18" s="1"/>
  <c r="N56" i="18"/>
  <c r="D56" i="18"/>
  <c r="L56" i="18" s="1"/>
  <c r="B56" i="18"/>
  <c r="Z55" i="18"/>
  <c r="X55" i="18"/>
  <c r="P55" i="18"/>
  <c r="N55" i="18"/>
  <c r="L55" i="18"/>
  <c r="D55" i="18"/>
  <c r="B55" i="18"/>
  <c r="Z54" i="18"/>
  <c r="P54" i="18"/>
  <c r="X54" i="18" s="1"/>
  <c r="N54" i="18"/>
  <c r="L54" i="18"/>
  <c r="D54" i="18"/>
  <c r="B54" i="18"/>
  <c r="Z53" i="18"/>
  <c r="X53" i="18"/>
  <c r="P53" i="18"/>
  <c r="N53" i="18"/>
  <c r="D53" i="18"/>
  <c r="L53" i="18" s="1"/>
  <c r="B53" i="18"/>
  <c r="Z52" i="18"/>
  <c r="P52" i="18"/>
  <c r="X52" i="18" s="1"/>
  <c r="N52" i="18"/>
  <c r="L52" i="18"/>
  <c r="D52" i="18"/>
  <c r="B52" i="18"/>
  <c r="Z51" i="18"/>
  <c r="P51" i="18"/>
  <c r="X51" i="18" s="1"/>
  <c r="N51" i="18"/>
  <c r="D51" i="18"/>
  <c r="L51" i="18" s="1"/>
  <c r="B51" i="18"/>
  <c r="Z50" i="18"/>
  <c r="P50" i="18"/>
  <c r="X50" i="18" s="1"/>
  <c r="N50" i="18"/>
  <c r="L50" i="18"/>
  <c r="D50" i="18"/>
  <c r="B50" i="18"/>
  <c r="X49" i="18"/>
  <c r="Z49" i="18" s="1"/>
  <c r="P49" i="18"/>
  <c r="D49" i="18"/>
  <c r="L49" i="18" s="1"/>
  <c r="N49" i="18" s="1"/>
  <c r="B49" i="18"/>
  <c r="Z48" i="18"/>
  <c r="P48" i="18"/>
  <c r="X48" i="18" s="1"/>
  <c r="N48" i="18"/>
  <c r="L48" i="18"/>
  <c r="D48" i="18"/>
  <c r="B48" i="18"/>
  <c r="Z47" i="18"/>
  <c r="P47" i="18"/>
  <c r="X47" i="18" s="1"/>
  <c r="N47" i="18"/>
  <c r="D47" i="18"/>
  <c r="L47" i="18" s="1"/>
  <c r="B47" i="18"/>
  <c r="Z46" i="18"/>
  <c r="X46" i="18"/>
  <c r="P46" i="18"/>
  <c r="N46" i="18"/>
  <c r="L46" i="18"/>
  <c r="D46" i="18"/>
  <c r="B46" i="18"/>
  <c r="Z45" i="18"/>
  <c r="X45" i="18"/>
  <c r="P45" i="18"/>
  <c r="N45" i="18"/>
  <c r="D45" i="18"/>
  <c r="L45" i="18" s="1"/>
  <c r="B45" i="18"/>
  <c r="Z44" i="18"/>
  <c r="P44" i="18"/>
  <c r="X44" i="18" s="1"/>
  <c r="N44" i="18"/>
  <c r="L44" i="18"/>
  <c r="D44" i="18"/>
  <c r="B44" i="18"/>
  <c r="Z43" i="18"/>
  <c r="X43" i="18"/>
  <c r="P43" i="18"/>
  <c r="N43" i="18"/>
  <c r="L43" i="18"/>
  <c r="D43" i="18"/>
  <c r="B43" i="18"/>
  <c r="Z42" i="18"/>
  <c r="P42" i="18"/>
  <c r="X42" i="18" s="1"/>
  <c r="N42" i="18"/>
  <c r="L42" i="18"/>
  <c r="D42" i="18"/>
  <c r="B42" i="18"/>
  <c r="Z41" i="18"/>
  <c r="X41" i="18"/>
  <c r="P41" i="18"/>
  <c r="N41" i="18"/>
  <c r="D41" i="18"/>
  <c r="L41" i="18" s="1"/>
  <c r="B41" i="18"/>
  <c r="Z40" i="18"/>
  <c r="P40" i="18"/>
  <c r="X40" i="18" s="1"/>
  <c r="N40" i="18"/>
  <c r="L40" i="18"/>
  <c r="D40" i="18"/>
  <c r="B40" i="18"/>
  <c r="Z39" i="18"/>
  <c r="X39" i="18"/>
  <c r="P39" i="18"/>
  <c r="N39" i="18"/>
  <c r="L39" i="18"/>
  <c r="D39" i="18"/>
  <c r="B39" i="18"/>
  <c r="Z38" i="18"/>
  <c r="P38" i="18"/>
  <c r="X38" i="18" s="1"/>
  <c r="N38" i="18"/>
  <c r="L38" i="18"/>
  <c r="D38" i="18"/>
  <c r="B38" i="18"/>
  <c r="Z37" i="18"/>
  <c r="X37" i="18"/>
  <c r="P37" i="18"/>
  <c r="N37" i="18"/>
  <c r="D37" i="18"/>
  <c r="L37" i="18" s="1"/>
  <c r="B37" i="18"/>
  <c r="Z36" i="18"/>
  <c r="P36" i="18"/>
  <c r="X36" i="18" s="1"/>
  <c r="N36" i="18"/>
  <c r="L36" i="18"/>
  <c r="D36" i="18"/>
  <c r="B36" i="18"/>
  <c r="Z35" i="18"/>
  <c r="X35" i="18"/>
  <c r="P35" i="18"/>
  <c r="N35" i="18"/>
  <c r="D35" i="18"/>
  <c r="L35" i="18" s="1"/>
  <c r="B35" i="18"/>
  <c r="Z34" i="18"/>
  <c r="X34" i="18"/>
  <c r="P34" i="18"/>
  <c r="N34" i="18"/>
  <c r="L34" i="18"/>
  <c r="D34" i="18"/>
  <c r="B34" i="18"/>
  <c r="Z33" i="18"/>
  <c r="X33" i="18"/>
  <c r="P33" i="18"/>
  <c r="N33" i="18"/>
  <c r="D33" i="18"/>
  <c r="L33" i="18" s="1"/>
  <c r="B33" i="18"/>
  <c r="Z32" i="18"/>
  <c r="P32" i="18"/>
  <c r="X32" i="18" s="1"/>
  <c r="N32" i="18"/>
  <c r="L32" i="18"/>
  <c r="D32" i="18"/>
  <c r="B32" i="18"/>
  <c r="Z31" i="18"/>
  <c r="X31" i="18"/>
  <c r="P31" i="18"/>
  <c r="N31" i="18"/>
  <c r="L31" i="18"/>
  <c r="D31" i="18"/>
  <c r="B31" i="18"/>
  <c r="Z30" i="18"/>
  <c r="P30" i="18"/>
  <c r="X30" i="18" s="1"/>
  <c r="N30" i="18"/>
  <c r="L30" i="18"/>
  <c r="D30" i="18"/>
  <c r="B30" i="18"/>
  <c r="Z29" i="18"/>
  <c r="P29" i="18"/>
  <c r="X29" i="18" s="1"/>
  <c r="N29" i="18"/>
  <c r="D29" i="18"/>
  <c r="L29" i="18" s="1"/>
  <c r="B29" i="18"/>
  <c r="Z28" i="18"/>
  <c r="P28" i="18"/>
  <c r="X28" i="18" s="1"/>
  <c r="N28" i="18"/>
  <c r="L28" i="18"/>
  <c r="D28" i="18"/>
  <c r="B28" i="18"/>
  <c r="Z27" i="18"/>
  <c r="X27" i="18"/>
  <c r="P27" i="18"/>
  <c r="N27" i="18"/>
  <c r="D27" i="18"/>
  <c r="L27" i="18" s="1"/>
  <c r="B27" i="18"/>
  <c r="Z26" i="18"/>
  <c r="P26" i="18"/>
  <c r="X26" i="18" s="1"/>
  <c r="N26" i="18"/>
  <c r="D26" i="18"/>
  <c r="L26" i="18" s="1"/>
  <c r="B26" i="18"/>
  <c r="Z25" i="18"/>
  <c r="X25" i="18"/>
  <c r="P25" i="18"/>
  <c r="N25" i="18"/>
  <c r="D25" i="18"/>
  <c r="L25" i="18" s="1"/>
  <c r="B25" i="18"/>
  <c r="Z24" i="18"/>
  <c r="P24" i="18"/>
  <c r="N24" i="18"/>
  <c r="L24" i="18"/>
  <c r="D24" i="18"/>
  <c r="B24" i="18"/>
  <c r="Z23" i="18"/>
  <c r="P23" i="18"/>
  <c r="X23" i="18" s="1"/>
  <c r="N23" i="18"/>
  <c r="D23" i="18"/>
  <c r="L23" i="18" s="1"/>
  <c r="B23" i="18"/>
  <c r="Z22" i="18"/>
  <c r="X22" i="18"/>
  <c r="P22" i="18"/>
  <c r="N22" i="18"/>
  <c r="L22" i="18"/>
  <c r="D22" i="18"/>
  <c r="B22" i="18"/>
  <c r="Z21" i="18"/>
  <c r="X21" i="18"/>
  <c r="P21" i="18"/>
  <c r="N21" i="18"/>
  <c r="D21" i="18"/>
  <c r="L21" i="18" s="1"/>
  <c r="B21" i="18"/>
  <c r="Z20" i="18"/>
  <c r="P20" i="18"/>
  <c r="X20" i="18" s="1"/>
  <c r="N20" i="18"/>
  <c r="L20" i="18"/>
  <c r="D20" i="18"/>
  <c r="B20" i="18"/>
  <c r="Z19" i="18"/>
  <c r="X19" i="18"/>
  <c r="P19" i="18"/>
  <c r="N19" i="18"/>
  <c r="L19" i="18"/>
  <c r="D19" i="18"/>
  <c r="B19" i="18"/>
  <c r="Z18" i="18"/>
  <c r="P18" i="18"/>
  <c r="X18" i="18" s="1"/>
  <c r="N18" i="18"/>
  <c r="L18" i="18"/>
  <c r="D18" i="18"/>
  <c r="B18" i="18"/>
  <c r="Z17" i="18"/>
  <c r="X17" i="18"/>
  <c r="P17" i="18"/>
  <c r="N17" i="18"/>
  <c r="D17" i="18"/>
  <c r="L17" i="18" s="1"/>
  <c r="B17" i="18"/>
  <c r="Z16" i="18"/>
  <c r="P16" i="18"/>
  <c r="X16" i="18" s="1"/>
  <c r="N16" i="18"/>
  <c r="L16" i="18"/>
  <c r="D16" i="18"/>
  <c r="B16" i="18"/>
  <c r="Z15" i="18"/>
  <c r="X15" i="18"/>
  <c r="P15" i="18"/>
  <c r="N15" i="18"/>
  <c r="D15" i="18"/>
  <c r="L15" i="18" s="1"/>
  <c r="B15" i="18"/>
  <c r="Z14" i="18"/>
  <c r="P14" i="18"/>
  <c r="X14" i="18" s="1"/>
  <c r="N14" i="18"/>
  <c r="L14" i="18"/>
  <c r="D14" i="18"/>
  <c r="B14" i="18"/>
  <c r="X13" i="18"/>
  <c r="Z13" i="18" s="1"/>
  <c r="P13" i="18"/>
  <c r="D13" i="18"/>
  <c r="B13" i="18"/>
  <c r="T12" i="18"/>
  <c r="V257" i="18" s="1"/>
  <c r="H12" i="18"/>
  <c r="J264" i="18" s="1"/>
  <c r="D4" i="18"/>
  <c r="X251" i="15"/>
  <c r="Z251" i="15" s="1"/>
  <c r="N251" i="15"/>
  <c r="L251" i="15"/>
  <c r="P247" i="15"/>
  <c r="X247" i="15" s="1"/>
  <c r="Z247" i="15" s="1"/>
  <c r="D247" i="15"/>
  <c r="L247" i="15" s="1"/>
  <c r="N247" i="15" s="1"/>
  <c r="B247" i="15"/>
  <c r="Z246" i="15"/>
  <c r="P246" i="15"/>
  <c r="X246" i="15" s="1"/>
  <c r="N246" i="15"/>
  <c r="D246" i="15"/>
  <c r="L246" i="15" s="1"/>
  <c r="B246" i="15"/>
  <c r="X245" i="15"/>
  <c r="Z245" i="15" s="1"/>
  <c r="P245" i="15"/>
  <c r="D245" i="15"/>
  <c r="L245" i="15" s="1"/>
  <c r="N245" i="15" s="1"/>
  <c r="B245" i="15"/>
  <c r="Z244" i="15"/>
  <c r="X244" i="15"/>
  <c r="P244" i="15"/>
  <c r="L244" i="15"/>
  <c r="N244" i="15" s="1"/>
  <c r="D244" i="15"/>
  <c r="B244" i="15"/>
  <c r="Z243" i="15"/>
  <c r="X243" i="15"/>
  <c r="P243" i="15"/>
  <c r="N243" i="15"/>
  <c r="D243" i="15"/>
  <c r="L243" i="15" s="1"/>
  <c r="B243" i="15"/>
  <c r="Z242" i="15"/>
  <c r="X242" i="15"/>
  <c r="P242" i="15"/>
  <c r="P240" i="15" s="1"/>
  <c r="N242" i="15"/>
  <c r="D242" i="15"/>
  <c r="L242" i="15" s="1"/>
  <c r="B242" i="15"/>
  <c r="Z241" i="15"/>
  <c r="X241" i="15"/>
  <c r="P241" i="15"/>
  <c r="N241" i="15"/>
  <c r="D241" i="15"/>
  <c r="L241" i="15" s="1"/>
  <c r="B241" i="15"/>
  <c r="T240" i="15"/>
  <c r="H240" i="15"/>
  <c r="Z238" i="15"/>
  <c r="X238" i="15"/>
  <c r="L238" i="15"/>
  <c r="N238" i="15" s="1"/>
  <c r="B238" i="15"/>
  <c r="T237" i="15"/>
  <c r="Z237" i="15" s="1"/>
  <c r="P237" i="15"/>
  <c r="X237" i="15" s="1"/>
  <c r="N237" i="15"/>
  <c r="H237" i="15"/>
  <c r="D237" i="15"/>
  <c r="L237" i="15" s="1"/>
  <c r="B237" i="15"/>
  <c r="Z236" i="15"/>
  <c r="X236" i="15"/>
  <c r="N236" i="15"/>
  <c r="L236" i="15"/>
  <c r="B236" i="15"/>
  <c r="X235" i="15"/>
  <c r="Z235" i="15" s="1"/>
  <c r="L235" i="15"/>
  <c r="N235" i="15" s="1"/>
  <c r="B235" i="15"/>
  <c r="Z234" i="15"/>
  <c r="X234" i="15"/>
  <c r="N234" i="15"/>
  <c r="L234" i="15"/>
  <c r="B234" i="15"/>
  <c r="X233" i="15"/>
  <c r="T233" i="15"/>
  <c r="P233" i="15"/>
  <c r="H233" i="15"/>
  <c r="N233" i="15" s="1"/>
  <c r="D233" i="15"/>
  <c r="L233" i="15" s="1"/>
  <c r="B233" i="15"/>
  <c r="X232" i="15"/>
  <c r="Z232" i="15" s="1"/>
  <c r="N232" i="15"/>
  <c r="L232" i="15"/>
  <c r="B232" i="15"/>
  <c r="T231" i="15"/>
  <c r="P231" i="15"/>
  <c r="L231" i="15"/>
  <c r="H231" i="15"/>
  <c r="N231" i="15" s="1"/>
  <c r="D231" i="15"/>
  <c r="B231" i="15"/>
  <c r="Z230" i="15"/>
  <c r="X230" i="15"/>
  <c r="N230" i="15"/>
  <c r="L230" i="15"/>
  <c r="B230" i="15"/>
  <c r="X229" i="15"/>
  <c r="Z229" i="15" s="1"/>
  <c r="L229" i="15"/>
  <c r="N229" i="15" s="1"/>
  <c r="B229" i="15"/>
  <c r="T228" i="15"/>
  <c r="P228" i="15"/>
  <c r="X228" i="15" s="1"/>
  <c r="Z228" i="15" s="1"/>
  <c r="H228" i="15"/>
  <c r="D228" i="15"/>
  <c r="L228" i="15" s="1"/>
  <c r="B228" i="15"/>
  <c r="X227" i="15"/>
  <c r="Z227" i="15" s="1"/>
  <c r="L227" i="15"/>
  <c r="N227" i="15" s="1"/>
  <c r="B227" i="15"/>
  <c r="X226" i="15"/>
  <c r="Z226" i="15" s="1"/>
  <c r="N226" i="15"/>
  <c r="L226" i="15"/>
  <c r="B226" i="15"/>
  <c r="X225" i="15"/>
  <c r="Z225" i="15" s="1"/>
  <c r="L225" i="15"/>
  <c r="N225" i="15" s="1"/>
  <c r="B225" i="15"/>
  <c r="Z224" i="15"/>
  <c r="X224" i="15"/>
  <c r="L224" i="15"/>
  <c r="N224" i="15" s="1"/>
  <c r="B224" i="15"/>
  <c r="X223" i="15"/>
  <c r="Z223" i="15" s="1"/>
  <c r="L223" i="15"/>
  <c r="N223" i="15" s="1"/>
  <c r="B223" i="15"/>
  <c r="X222" i="15"/>
  <c r="Z222" i="15" s="1"/>
  <c r="N222" i="15"/>
  <c r="L222" i="15"/>
  <c r="B222" i="15"/>
  <c r="X221" i="15"/>
  <c r="Z221" i="15" s="1"/>
  <c r="L221" i="15"/>
  <c r="N221" i="15" s="1"/>
  <c r="B221" i="15"/>
  <c r="T220" i="15"/>
  <c r="P220" i="15"/>
  <c r="X220" i="15" s="1"/>
  <c r="Z220" i="15" s="1"/>
  <c r="H220" i="15"/>
  <c r="D220" i="15"/>
  <c r="L220" i="15" s="1"/>
  <c r="N220" i="15" s="1"/>
  <c r="B220" i="15"/>
  <c r="X219" i="15"/>
  <c r="Z219" i="15" s="1"/>
  <c r="N219" i="15"/>
  <c r="L219" i="15"/>
  <c r="B219" i="15"/>
  <c r="X218" i="15"/>
  <c r="Z218" i="15" s="1"/>
  <c r="N218" i="15"/>
  <c r="L218" i="15"/>
  <c r="B218" i="15"/>
  <c r="X217" i="15"/>
  <c r="T217" i="15"/>
  <c r="Z217" i="15" s="1"/>
  <c r="P217" i="15"/>
  <c r="H217" i="15"/>
  <c r="D217" i="15"/>
  <c r="B217" i="15"/>
  <c r="Z216" i="15"/>
  <c r="X216" i="15"/>
  <c r="N216" i="15"/>
  <c r="L216" i="15"/>
  <c r="B216" i="15"/>
  <c r="Z215" i="15"/>
  <c r="X215" i="15"/>
  <c r="L215" i="15"/>
  <c r="N215" i="15" s="1"/>
  <c r="B215" i="15"/>
  <c r="Z214" i="15"/>
  <c r="X214" i="15"/>
  <c r="L214" i="15"/>
  <c r="N214" i="15" s="1"/>
  <c r="B214" i="15"/>
  <c r="X213" i="15"/>
  <c r="Z213" i="15" s="1"/>
  <c r="L213" i="15"/>
  <c r="N213" i="15" s="1"/>
  <c r="B213" i="15"/>
  <c r="T212" i="15"/>
  <c r="P212" i="15"/>
  <c r="X212" i="15" s="1"/>
  <c r="Z212" i="15" s="1"/>
  <c r="H212" i="15"/>
  <c r="D212" i="15"/>
  <c r="L212" i="15" s="1"/>
  <c r="B212" i="15"/>
  <c r="Z211" i="15"/>
  <c r="X211" i="15"/>
  <c r="N211" i="15"/>
  <c r="L211" i="15"/>
  <c r="B211" i="15"/>
  <c r="X210" i="15"/>
  <c r="Z210" i="15" s="1"/>
  <c r="N210" i="15"/>
  <c r="L210" i="15"/>
  <c r="B210" i="15"/>
  <c r="X209" i="15"/>
  <c r="Z209" i="15" s="1"/>
  <c r="L209" i="15"/>
  <c r="N209" i="15" s="1"/>
  <c r="B209" i="15"/>
  <c r="Z208" i="15"/>
  <c r="X208" i="15"/>
  <c r="L208" i="15"/>
  <c r="N208" i="15" s="1"/>
  <c r="B208" i="15"/>
  <c r="T207" i="15"/>
  <c r="Z207" i="15" s="1"/>
  <c r="P207" i="15"/>
  <c r="X207" i="15" s="1"/>
  <c r="L207" i="15"/>
  <c r="H207" i="15"/>
  <c r="N207" i="15" s="1"/>
  <c r="D207" i="15"/>
  <c r="B207" i="15"/>
  <c r="Z206" i="15"/>
  <c r="X206" i="15"/>
  <c r="N206" i="15"/>
  <c r="L206" i="15"/>
  <c r="B206" i="15"/>
  <c r="X205" i="15"/>
  <c r="Z205" i="15" s="1"/>
  <c r="L205" i="15"/>
  <c r="N205" i="15" s="1"/>
  <c r="B205" i="15"/>
  <c r="Z204" i="15"/>
  <c r="X204" i="15"/>
  <c r="N204" i="15"/>
  <c r="L204" i="15"/>
  <c r="B204" i="15"/>
  <c r="T203" i="15"/>
  <c r="P203" i="15"/>
  <c r="L203" i="15"/>
  <c r="H203" i="15"/>
  <c r="N203" i="15" s="1"/>
  <c r="D203" i="15"/>
  <c r="B203" i="15"/>
  <c r="Z202" i="15"/>
  <c r="X202" i="15"/>
  <c r="L202" i="15"/>
  <c r="N202" i="15" s="1"/>
  <c r="B202" i="15"/>
  <c r="T201" i="15"/>
  <c r="Z201" i="15" s="1"/>
  <c r="P201" i="15"/>
  <c r="X201" i="15" s="1"/>
  <c r="H201" i="15"/>
  <c r="D201" i="15"/>
  <c r="L201" i="15" s="1"/>
  <c r="N201" i="15" s="1"/>
  <c r="B201" i="15"/>
  <c r="Z200" i="15"/>
  <c r="X200" i="15"/>
  <c r="L200" i="15"/>
  <c r="N200" i="15" s="1"/>
  <c r="B200" i="15"/>
  <c r="T199" i="15"/>
  <c r="Z199" i="15" s="1"/>
  <c r="P199" i="15"/>
  <c r="X199" i="15" s="1"/>
  <c r="L199" i="15"/>
  <c r="H199" i="15"/>
  <c r="N199" i="15" s="1"/>
  <c r="D199" i="15"/>
  <c r="B199" i="15"/>
  <c r="Z198" i="15"/>
  <c r="X198" i="15"/>
  <c r="N198" i="15"/>
  <c r="L198" i="15"/>
  <c r="B198" i="15"/>
  <c r="X197" i="15"/>
  <c r="T197" i="15"/>
  <c r="Z197" i="15" s="1"/>
  <c r="P197" i="15"/>
  <c r="H197" i="15"/>
  <c r="D197" i="15"/>
  <c r="B197" i="15"/>
  <c r="Z196" i="15"/>
  <c r="X196" i="15"/>
  <c r="N196" i="15"/>
  <c r="L196" i="15"/>
  <c r="B196" i="15"/>
  <c r="T195" i="15"/>
  <c r="P195" i="15"/>
  <c r="X195" i="15" s="1"/>
  <c r="Z195" i="15" s="1"/>
  <c r="H195" i="15"/>
  <c r="N195" i="15" s="1"/>
  <c r="D195" i="15"/>
  <c r="L195" i="15" s="1"/>
  <c r="B195" i="15"/>
  <c r="Z194" i="15"/>
  <c r="X194" i="15"/>
  <c r="N194" i="15"/>
  <c r="L194" i="15"/>
  <c r="B194" i="15"/>
  <c r="X193" i="15"/>
  <c r="T193" i="15"/>
  <c r="P193" i="15"/>
  <c r="H193" i="15"/>
  <c r="N193" i="15" s="1"/>
  <c r="D193" i="15"/>
  <c r="L193" i="15" s="1"/>
  <c r="B193" i="15"/>
  <c r="X192" i="15"/>
  <c r="Z192" i="15" s="1"/>
  <c r="N192" i="15"/>
  <c r="L192" i="15"/>
  <c r="B192" i="15"/>
  <c r="X191" i="15"/>
  <c r="Z191" i="15" s="1"/>
  <c r="N191" i="15"/>
  <c r="L191" i="15"/>
  <c r="B191" i="15"/>
  <c r="T190" i="15"/>
  <c r="P190" i="15"/>
  <c r="X190" i="15" s="1"/>
  <c r="L190" i="15"/>
  <c r="N190" i="15" s="1"/>
  <c r="H190" i="15"/>
  <c r="D190" i="15"/>
  <c r="B190" i="15"/>
  <c r="X189" i="15"/>
  <c r="Z189" i="15" s="1"/>
  <c r="L189" i="15"/>
  <c r="N189" i="15" s="1"/>
  <c r="B189" i="15"/>
  <c r="T188" i="15"/>
  <c r="P188" i="15"/>
  <c r="X188" i="15" s="1"/>
  <c r="Z188" i="15" s="1"/>
  <c r="H188" i="15"/>
  <c r="D188" i="15"/>
  <c r="L188" i="15" s="1"/>
  <c r="B188" i="15"/>
  <c r="X187" i="15"/>
  <c r="Z187" i="15" s="1"/>
  <c r="L187" i="15"/>
  <c r="N187" i="15" s="1"/>
  <c r="B187" i="15"/>
  <c r="X186" i="15"/>
  <c r="Z186" i="15" s="1"/>
  <c r="T186" i="15"/>
  <c r="P186" i="15"/>
  <c r="H186" i="15"/>
  <c r="D186" i="15"/>
  <c r="L186" i="15" s="1"/>
  <c r="N186" i="15" s="1"/>
  <c r="B186" i="15"/>
  <c r="Z185" i="15"/>
  <c r="X185" i="15"/>
  <c r="N185" i="15"/>
  <c r="L185" i="15"/>
  <c r="B185" i="15"/>
  <c r="X184" i="15"/>
  <c r="Z184" i="15" s="1"/>
  <c r="N184" i="15"/>
  <c r="L184" i="15"/>
  <c r="B184" i="15"/>
  <c r="T183" i="15"/>
  <c r="P183" i="15"/>
  <c r="L183" i="15"/>
  <c r="H183" i="15"/>
  <c r="N183" i="15" s="1"/>
  <c r="D183" i="15"/>
  <c r="B183" i="15"/>
  <c r="Z182" i="15"/>
  <c r="X182" i="15"/>
  <c r="N182" i="15"/>
  <c r="L182" i="15"/>
  <c r="B182" i="15"/>
  <c r="X181" i="15"/>
  <c r="Z181" i="15" s="1"/>
  <c r="L181" i="15"/>
  <c r="N181" i="15" s="1"/>
  <c r="J181" i="15"/>
  <c r="B181" i="15"/>
  <c r="T180" i="15"/>
  <c r="P180" i="15"/>
  <c r="X180" i="15" s="1"/>
  <c r="Z180" i="15" s="1"/>
  <c r="H180" i="15"/>
  <c r="D180" i="15"/>
  <c r="B180" i="15"/>
  <c r="X179" i="15"/>
  <c r="Z179" i="15" s="1"/>
  <c r="L179" i="15"/>
  <c r="N179" i="15" s="1"/>
  <c r="B179" i="15"/>
  <c r="X178" i="15"/>
  <c r="Z178" i="15" s="1"/>
  <c r="N178" i="15"/>
  <c r="L178" i="15"/>
  <c r="B178" i="15"/>
  <c r="X177" i="15"/>
  <c r="Z177" i="15" s="1"/>
  <c r="L177" i="15"/>
  <c r="N177" i="15" s="1"/>
  <c r="B177" i="15"/>
  <c r="T176" i="15"/>
  <c r="P176" i="15"/>
  <c r="X176" i="15" s="1"/>
  <c r="Z176" i="15" s="1"/>
  <c r="L176" i="15"/>
  <c r="N176" i="15" s="1"/>
  <c r="H176" i="15"/>
  <c r="D176" i="15"/>
  <c r="B176" i="15"/>
  <c r="X175" i="15"/>
  <c r="Z175" i="15" s="1"/>
  <c r="N175" i="15"/>
  <c r="L175" i="15"/>
  <c r="B175" i="15"/>
  <c r="T174" i="15"/>
  <c r="P174" i="15"/>
  <c r="X174" i="15" s="1"/>
  <c r="L174" i="15"/>
  <c r="N174" i="15" s="1"/>
  <c r="H174" i="15"/>
  <c r="D174" i="15"/>
  <c r="B174" i="15"/>
  <c r="X173" i="15"/>
  <c r="Z173" i="15" s="1"/>
  <c r="L173" i="15"/>
  <c r="N173" i="15" s="1"/>
  <c r="B173" i="15"/>
  <c r="Z172" i="15"/>
  <c r="X172" i="15"/>
  <c r="N172" i="15"/>
  <c r="L172" i="15"/>
  <c r="B172" i="15"/>
  <c r="Z171" i="15"/>
  <c r="T171" i="15"/>
  <c r="P171" i="15"/>
  <c r="X171" i="15" s="1"/>
  <c r="H171" i="15"/>
  <c r="D171" i="15"/>
  <c r="L171" i="15" s="1"/>
  <c r="B171" i="15"/>
  <c r="X170" i="15"/>
  <c r="Z170" i="15" s="1"/>
  <c r="N170" i="15"/>
  <c r="L170" i="15"/>
  <c r="B170" i="15"/>
  <c r="X169" i="15"/>
  <c r="V169" i="15"/>
  <c r="T169" i="15"/>
  <c r="Z169" i="15" s="1"/>
  <c r="P169" i="15"/>
  <c r="H169" i="15"/>
  <c r="N169" i="15" s="1"/>
  <c r="D169" i="15"/>
  <c r="L169" i="15" s="1"/>
  <c r="B169" i="15"/>
  <c r="Z168" i="15"/>
  <c r="X168" i="15"/>
  <c r="N168" i="15"/>
  <c r="L168" i="15"/>
  <c r="B168" i="15"/>
  <c r="Z167" i="15"/>
  <c r="X167" i="15"/>
  <c r="N167" i="15"/>
  <c r="L167" i="15"/>
  <c r="B167" i="15"/>
  <c r="Z166" i="15"/>
  <c r="X166" i="15"/>
  <c r="N166" i="15"/>
  <c r="L166" i="15"/>
  <c r="B166" i="15"/>
  <c r="X165" i="15"/>
  <c r="Z165" i="15" s="1"/>
  <c r="L165" i="15"/>
  <c r="N165" i="15" s="1"/>
  <c r="B165" i="15"/>
  <c r="Z164" i="15"/>
  <c r="X164" i="15"/>
  <c r="N164" i="15"/>
  <c r="L164" i="15"/>
  <c r="B164" i="15"/>
  <c r="X163" i="15"/>
  <c r="Z163" i="15" s="1"/>
  <c r="N163" i="15"/>
  <c r="L163" i="15"/>
  <c r="B163" i="15"/>
  <c r="Z162" i="15"/>
  <c r="X162" i="15"/>
  <c r="N162" i="15"/>
  <c r="L162" i="15"/>
  <c r="B162" i="15"/>
  <c r="Z161" i="15"/>
  <c r="X161" i="15"/>
  <c r="N161" i="15"/>
  <c r="L161" i="15"/>
  <c r="B161" i="15"/>
  <c r="Z160" i="15"/>
  <c r="X160" i="15"/>
  <c r="N160" i="15"/>
  <c r="L160" i="15"/>
  <c r="B160" i="15"/>
  <c r="X159" i="15"/>
  <c r="Z159" i="15" s="1"/>
  <c r="N159" i="15"/>
  <c r="L159" i="15"/>
  <c r="B159" i="15"/>
  <c r="T158" i="15"/>
  <c r="P158" i="15"/>
  <c r="X158" i="15" s="1"/>
  <c r="Z158" i="15" s="1"/>
  <c r="N158" i="15"/>
  <c r="L158" i="15"/>
  <c r="H158" i="15"/>
  <c r="D158" i="15"/>
  <c r="B158" i="15"/>
  <c r="X157" i="15"/>
  <c r="Z157" i="15" s="1"/>
  <c r="L157" i="15"/>
  <c r="N157" i="15" s="1"/>
  <c r="B157" i="15"/>
  <c r="Z156" i="15"/>
  <c r="X156" i="15"/>
  <c r="N156" i="15"/>
  <c r="L156" i="15"/>
  <c r="B156" i="15"/>
  <c r="Z155" i="15"/>
  <c r="X155" i="15"/>
  <c r="L155" i="15"/>
  <c r="N155" i="15" s="1"/>
  <c r="B155" i="15"/>
  <c r="Z154" i="15"/>
  <c r="X154" i="15"/>
  <c r="N154" i="15"/>
  <c r="L154" i="15"/>
  <c r="B154" i="15"/>
  <c r="Z153" i="15"/>
  <c r="X153" i="15"/>
  <c r="N153" i="15"/>
  <c r="L153" i="15"/>
  <c r="B153" i="15"/>
  <c r="Z152" i="15"/>
  <c r="X152" i="15"/>
  <c r="N152" i="15"/>
  <c r="L152" i="15"/>
  <c r="B152" i="15"/>
  <c r="Z151" i="15"/>
  <c r="X151" i="15"/>
  <c r="L151" i="15"/>
  <c r="N151" i="15" s="1"/>
  <c r="B151" i="15"/>
  <c r="Z150" i="15"/>
  <c r="X150" i="15"/>
  <c r="L150" i="15"/>
  <c r="N150" i="15" s="1"/>
  <c r="B150" i="15"/>
  <c r="X149" i="15"/>
  <c r="Z149" i="15" s="1"/>
  <c r="L149" i="15"/>
  <c r="N149" i="15" s="1"/>
  <c r="J149" i="15"/>
  <c r="B149" i="15"/>
  <c r="Z148" i="15"/>
  <c r="X148" i="15"/>
  <c r="N148" i="15"/>
  <c r="L148" i="15"/>
  <c r="B148" i="15"/>
  <c r="Z147" i="15"/>
  <c r="T147" i="15"/>
  <c r="P147" i="15"/>
  <c r="X147" i="15" s="1"/>
  <c r="H147" i="15"/>
  <c r="D147" i="15"/>
  <c r="L147" i="15" s="1"/>
  <c r="B147" i="15"/>
  <c r="T146" i="15"/>
  <c r="Z146" i="15" s="1"/>
  <c r="P146" i="15"/>
  <c r="X146" i="15" s="1"/>
  <c r="H146" i="15"/>
  <c r="D146" i="15"/>
  <c r="L146" i="15" s="1"/>
  <c r="N146" i="15" s="1"/>
  <c r="Z142" i="15"/>
  <c r="X142" i="15"/>
  <c r="N142" i="15"/>
  <c r="L142" i="15"/>
  <c r="B142" i="15"/>
  <c r="Z141" i="15"/>
  <c r="X141" i="15"/>
  <c r="N141" i="15"/>
  <c r="L141" i="15"/>
  <c r="B141" i="15"/>
  <c r="Z140" i="15"/>
  <c r="X140" i="15"/>
  <c r="N140" i="15"/>
  <c r="L140" i="15"/>
  <c r="B140" i="15"/>
  <c r="Z139" i="15"/>
  <c r="X139" i="15"/>
  <c r="N139" i="15"/>
  <c r="L139" i="15"/>
  <c r="B139" i="15"/>
  <c r="Z138" i="15"/>
  <c r="X138" i="15"/>
  <c r="N138" i="15"/>
  <c r="L138" i="15"/>
  <c r="B138" i="15"/>
  <c r="Z137" i="15"/>
  <c r="X137" i="15"/>
  <c r="N137" i="15"/>
  <c r="L137" i="15"/>
  <c r="B137" i="15"/>
  <c r="Z136" i="15"/>
  <c r="X136" i="15"/>
  <c r="N136" i="15"/>
  <c r="L136" i="15"/>
  <c r="B136" i="15"/>
  <c r="Z135" i="15"/>
  <c r="X135" i="15"/>
  <c r="N135" i="15"/>
  <c r="L135" i="15"/>
  <c r="B135" i="15"/>
  <c r="Z134" i="15"/>
  <c r="X134" i="15"/>
  <c r="N134" i="15"/>
  <c r="L134" i="15"/>
  <c r="B134" i="15"/>
  <c r="Z133" i="15"/>
  <c r="X133" i="15"/>
  <c r="V133" i="15"/>
  <c r="N133" i="15"/>
  <c r="L133" i="15"/>
  <c r="B133" i="15"/>
  <c r="Z132" i="15"/>
  <c r="X132" i="15"/>
  <c r="N132" i="15"/>
  <c r="L132" i="15"/>
  <c r="B132" i="15"/>
  <c r="Z131" i="15"/>
  <c r="X131" i="15"/>
  <c r="N131" i="15"/>
  <c r="L131" i="15"/>
  <c r="B131" i="15"/>
  <c r="Z130" i="15"/>
  <c r="X130" i="15"/>
  <c r="N130" i="15"/>
  <c r="L130" i="15"/>
  <c r="B130" i="15"/>
  <c r="Z129" i="15"/>
  <c r="X129" i="15"/>
  <c r="N129" i="15"/>
  <c r="L129" i="15"/>
  <c r="B129" i="15"/>
  <c r="Z128" i="15"/>
  <c r="X128" i="15"/>
  <c r="N128" i="15"/>
  <c r="L128" i="15"/>
  <c r="B128" i="15"/>
  <c r="Z127" i="15"/>
  <c r="X127" i="15"/>
  <c r="N127" i="15"/>
  <c r="L127" i="15"/>
  <c r="B127" i="15"/>
  <c r="Z126" i="15"/>
  <c r="X126" i="15"/>
  <c r="N126" i="15"/>
  <c r="L126" i="15"/>
  <c r="B126" i="15"/>
  <c r="Z125" i="15"/>
  <c r="X125" i="15"/>
  <c r="N125" i="15"/>
  <c r="L125" i="15"/>
  <c r="B125" i="15"/>
  <c r="Z124" i="15"/>
  <c r="X124" i="15"/>
  <c r="N124" i="15"/>
  <c r="L124" i="15"/>
  <c r="B124" i="15"/>
  <c r="Z123" i="15"/>
  <c r="X123" i="15"/>
  <c r="N123" i="15"/>
  <c r="L123" i="15"/>
  <c r="B123" i="15"/>
  <c r="Z122" i="15"/>
  <c r="X122" i="15"/>
  <c r="N122" i="15"/>
  <c r="L122" i="15"/>
  <c r="B122" i="15"/>
  <c r="Z121" i="15"/>
  <c r="X121" i="15"/>
  <c r="V121" i="15"/>
  <c r="N121" i="15"/>
  <c r="L121" i="15"/>
  <c r="B121" i="15"/>
  <c r="Z120" i="15"/>
  <c r="X120" i="15"/>
  <c r="N120" i="15"/>
  <c r="L120" i="15"/>
  <c r="B120" i="15"/>
  <c r="Z119" i="15"/>
  <c r="X119" i="15"/>
  <c r="N119" i="15"/>
  <c r="L119" i="15"/>
  <c r="B119" i="15"/>
  <c r="Z118" i="15"/>
  <c r="X118" i="15"/>
  <c r="N118" i="15"/>
  <c r="L118" i="15"/>
  <c r="B118" i="15"/>
  <c r="Z117" i="15"/>
  <c r="X117" i="15"/>
  <c r="N117" i="15"/>
  <c r="L117" i="15"/>
  <c r="B117" i="15"/>
  <c r="Z116" i="15"/>
  <c r="X116" i="15"/>
  <c r="N116" i="15"/>
  <c r="L116" i="15"/>
  <c r="B116" i="15"/>
  <c r="Z115" i="15"/>
  <c r="X115" i="15"/>
  <c r="N115" i="15"/>
  <c r="L115" i="15"/>
  <c r="B115" i="15"/>
  <c r="Z114" i="15"/>
  <c r="X114" i="15"/>
  <c r="N114" i="15"/>
  <c r="L114" i="15"/>
  <c r="B114" i="15"/>
  <c r="Z113" i="15"/>
  <c r="X113" i="15"/>
  <c r="N113" i="15"/>
  <c r="L113" i="15"/>
  <c r="B113" i="15"/>
  <c r="Z112" i="15"/>
  <c r="X112" i="15"/>
  <c r="N112" i="15"/>
  <c r="L112" i="15"/>
  <c r="B112" i="15"/>
  <c r="Z111" i="15"/>
  <c r="X111" i="15"/>
  <c r="N111" i="15"/>
  <c r="L111" i="15"/>
  <c r="B111" i="15"/>
  <c r="Z110" i="15"/>
  <c r="X110" i="15"/>
  <c r="N110" i="15"/>
  <c r="L110" i="15"/>
  <c r="B110" i="15"/>
  <c r="Z109" i="15"/>
  <c r="X109" i="15"/>
  <c r="N109" i="15"/>
  <c r="L109" i="15"/>
  <c r="B109" i="15"/>
  <c r="Z108" i="15"/>
  <c r="X108" i="15"/>
  <c r="N108" i="15"/>
  <c r="L108" i="15"/>
  <c r="B108" i="15"/>
  <c r="Z107" i="15"/>
  <c r="X107" i="15"/>
  <c r="N107" i="15"/>
  <c r="L107" i="15"/>
  <c r="B107" i="15"/>
  <c r="Z106" i="15"/>
  <c r="X106" i="15"/>
  <c r="N106" i="15"/>
  <c r="L106" i="15"/>
  <c r="B106" i="15"/>
  <c r="Z105" i="15"/>
  <c r="X105" i="15"/>
  <c r="N105" i="15"/>
  <c r="L105" i="15"/>
  <c r="B105" i="15"/>
  <c r="Z104" i="15"/>
  <c r="X104" i="15"/>
  <c r="N104" i="15"/>
  <c r="L104" i="15"/>
  <c r="B104" i="15"/>
  <c r="Z103" i="15"/>
  <c r="X103" i="15"/>
  <c r="N103" i="15"/>
  <c r="L103" i="15"/>
  <c r="B103" i="15"/>
  <c r="Z102" i="15"/>
  <c r="X102" i="15"/>
  <c r="V102" i="15"/>
  <c r="N102" i="15"/>
  <c r="L102" i="15"/>
  <c r="B102" i="15"/>
  <c r="Z101" i="15"/>
  <c r="X101" i="15"/>
  <c r="N101" i="15"/>
  <c r="L101" i="15"/>
  <c r="B101" i="15"/>
  <c r="Z100" i="15"/>
  <c r="X100" i="15"/>
  <c r="V100" i="15"/>
  <c r="N100" i="15"/>
  <c r="L100" i="15"/>
  <c r="B100" i="15"/>
  <c r="Z99" i="15"/>
  <c r="X99" i="15"/>
  <c r="N99" i="15"/>
  <c r="L99" i="15"/>
  <c r="B99" i="15"/>
  <c r="Z98" i="15"/>
  <c r="X98" i="15"/>
  <c r="V98" i="15"/>
  <c r="N98" i="15"/>
  <c r="L98" i="15"/>
  <c r="B98" i="15"/>
  <c r="Z97" i="15"/>
  <c r="X97" i="15"/>
  <c r="N97" i="15"/>
  <c r="L97" i="15"/>
  <c r="B97" i="15"/>
  <c r="Z96" i="15"/>
  <c r="X96" i="15"/>
  <c r="V96" i="15"/>
  <c r="N96" i="15"/>
  <c r="L96" i="15"/>
  <c r="B96" i="15"/>
  <c r="Z95" i="15"/>
  <c r="X95" i="15"/>
  <c r="L95" i="15"/>
  <c r="N95" i="15" s="1"/>
  <c r="B95" i="15"/>
  <c r="T94" i="15"/>
  <c r="Z94" i="15" s="1"/>
  <c r="P94" i="15"/>
  <c r="X94" i="15" s="1"/>
  <c r="H94" i="15"/>
  <c r="D94" i="15"/>
  <c r="L94" i="15" s="1"/>
  <c r="N94" i="15" s="1"/>
  <c r="Z92" i="15"/>
  <c r="P92" i="15"/>
  <c r="X92" i="15" s="1"/>
  <c r="N92" i="15"/>
  <c r="D92" i="15"/>
  <c r="L92" i="15" s="1"/>
  <c r="B92" i="15"/>
  <c r="Z91" i="15"/>
  <c r="X91" i="15"/>
  <c r="P91" i="15"/>
  <c r="N91" i="15"/>
  <c r="L91" i="15"/>
  <c r="D91" i="15"/>
  <c r="B91" i="15"/>
  <c r="Z90" i="15"/>
  <c r="X90" i="15"/>
  <c r="P90" i="15"/>
  <c r="N90" i="15"/>
  <c r="L90" i="15"/>
  <c r="D90" i="15"/>
  <c r="B90" i="15"/>
  <c r="Z89" i="15"/>
  <c r="X89" i="15"/>
  <c r="P89" i="15"/>
  <c r="N89" i="15"/>
  <c r="D89" i="15"/>
  <c r="L89" i="15" s="1"/>
  <c r="B89" i="15"/>
  <c r="Z88" i="15"/>
  <c r="X88" i="15"/>
  <c r="P88" i="15"/>
  <c r="N88" i="15"/>
  <c r="L88" i="15"/>
  <c r="D88" i="15"/>
  <c r="B88" i="15"/>
  <c r="Z87" i="15"/>
  <c r="P87" i="15"/>
  <c r="X87" i="15" s="1"/>
  <c r="N87" i="15"/>
  <c r="L87" i="15"/>
  <c r="D87" i="15"/>
  <c r="B87" i="15"/>
  <c r="Z86" i="15"/>
  <c r="P86" i="15"/>
  <c r="X86" i="15" s="1"/>
  <c r="N86" i="15"/>
  <c r="D86" i="15"/>
  <c r="L86" i="15" s="1"/>
  <c r="B86" i="15"/>
  <c r="Z85" i="15"/>
  <c r="X85" i="15"/>
  <c r="P85" i="15"/>
  <c r="N85" i="15"/>
  <c r="L85" i="15"/>
  <c r="D85" i="15"/>
  <c r="B85" i="15"/>
  <c r="Z84" i="15"/>
  <c r="P84" i="15"/>
  <c r="X84" i="15" s="1"/>
  <c r="N84" i="15"/>
  <c r="D84" i="15"/>
  <c r="L84" i="15" s="1"/>
  <c r="B84" i="15"/>
  <c r="Z83" i="15"/>
  <c r="P83" i="15"/>
  <c r="X83" i="15" s="1"/>
  <c r="N83" i="15"/>
  <c r="D83" i="15"/>
  <c r="L83" i="15" s="1"/>
  <c r="B83" i="15"/>
  <c r="Z82" i="15"/>
  <c r="X82" i="15"/>
  <c r="P82" i="15"/>
  <c r="N82" i="15"/>
  <c r="L82" i="15"/>
  <c r="D82" i="15"/>
  <c r="B82" i="15"/>
  <c r="Z81" i="15"/>
  <c r="X81" i="15"/>
  <c r="P81" i="15"/>
  <c r="N81" i="15"/>
  <c r="D81" i="15"/>
  <c r="L81" i="15" s="1"/>
  <c r="B81" i="15"/>
  <c r="Z80" i="15"/>
  <c r="P80" i="15"/>
  <c r="X80" i="15" s="1"/>
  <c r="N80" i="15"/>
  <c r="D80" i="15"/>
  <c r="L80" i="15" s="1"/>
  <c r="B80" i="15"/>
  <c r="Z79" i="15"/>
  <c r="X79" i="15"/>
  <c r="P79" i="15"/>
  <c r="N79" i="15"/>
  <c r="L79" i="15"/>
  <c r="D79" i="15"/>
  <c r="B79" i="15"/>
  <c r="Z78" i="15"/>
  <c r="X78" i="15"/>
  <c r="P78" i="15"/>
  <c r="N78" i="15"/>
  <c r="L78" i="15"/>
  <c r="D78" i="15"/>
  <c r="B78" i="15"/>
  <c r="Z77" i="15"/>
  <c r="P77" i="15"/>
  <c r="X77" i="15" s="1"/>
  <c r="N77" i="15"/>
  <c r="D77" i="15"/>
  <c r="L77" i="15" s="1"/>
  <c r="B77" i="15"/>
  <c r="Z76" i="15"/>
  <c r="X76" i="15"/>
  <c r="P76" i="15"/>
  <c r="N76" i="15"/>
  <c r="L76" i="15"/>
  <c r="D76" i="15"/>
  <c r="B76" i="15"/>
  <c r="Z75" i="15"/>
  <c r="P75" i="15"/>
  <c r="X75" i="15" s="1"/>
  <c r="N75" i="15"/>
  <c r="L75" i="15"/>
  <c r="D75" i="15"/>
  <c r="B75" i="15"/>
  <c r="Z74" i="15"/>
  <c r="P74" i="15"/>
  <c r="X74" i="15" s="1"/>
  <c r="N74" i="15"/>
  <c r="D74" i="15"/>
  <c r="L74" i="15" s="1"/>
  <c r="B74" i="15"/>
  <c r="Z73" i="15"/>
  <c r="X73" i="15"/>
  <c r="P73" i="15"/>
  <c r="N73" i="15"/>
  <c r="L73" i="15"/>
  <c r="D73" i="15"/>
  <c r="B73" i="15"/>
  <c r="Z72" i="15"/>
  <c r="P72" i="15"/>
  <c r="X72" i="15" s="1"/>
  <c r="N72" i="15"/>
  <c r="D72" i="15"/>
  <c r="L72" i="15" s="1"/>
  <c r="B72" i="15"/>
  <c r="Z71" i="15"/>
  <c r="P71" i="15"/>
  <c r="X71" i="15" s="1"/>
  <c r="N71" i="15"/>
  <c r="D71" i="15"/>
  <c r="L71" i="15" s="1"/>
  <c r="B71" i="15"/>
  <c r="Z70" i="15"/>
  <c r="X70" i="15"/>
  <c r="P70" i="15"/>
  <c r="N70" i="15"/>
  <c r="L70" i="15"/>
  <c r="D70" i="15"/>
  <c r="B70" i="15"/>
  <c r="Z69" i="15"/>
  <c r="X69" i="15"/>
  <c r="P69" i="15"/>
  <c r="N69" i="15"/>
  <c r="D69" i="15"/>
  <c r="L69" i="15" s="1"/>
  <c r="B69" i="15"/>
  <c r="Z68" i="15"/>
  <c r="P68" i="15"/>
  <c r="X68" i="15" s="1"/>
  <c r="N68" i="15"/>
  <c r="D68" i="15"/>
  <c r="L68" i="15" s="1"/>
  <c r="B68" i="15"/>
  <c r="Z67" i="15"/>
  <c r="X67" i="15"/>
  <c r="P67" i="15"/>
  <c r="N67" i="15"/>
  <c r="L67" i="15"/>
  <c r="D67" i="15"/>
  <c r="B67" i="15"/>
  <c r="Z66" i="15"/>
  <c r="X66" i="15"/>
  <c r="P66" i="15"/>
  <c r="N66" i="15"/>
  <c r="L66" i="15"/>
  <c r="D66" i="15"/>
  <c r="B66" i="15"/>
  <c r="Z65" i="15"/>
  <c r="P65" i="15"/>
  <c r="X65" i="15" s="1"/>
  <c r="N65" i="15"/>
  <c r="D65" i="15"/>
  <c r="L65" i="15" s="1"/>
  <c r="B65" i="15"/>
  <c r="Z64" i="15"/>
  <c r="X64" i="15"/>
  <c r="P64" i="15"/>
  <c r="N64" i="15"/>
  <c r="L64" i="15"/>
  <c r="D64" i="15"/>
  <c r="B64" i="15"/>
  <c r="Z63" i="15"/>
  <c r="P63" i="15"/>
  <c r="X63" i="15" s="1"/>
  <c r="N63" i="15"/>
  <c r="L63" i="15"/>
  <c r="D63" i="15"/>
  <c r="B63" i="15"/>
  <c r="Z62" i="15"/>
  <c r="P62" i="15"/>
  <c r="X62" i="15" s="1"/>
  <c r="N62" i="15"/>
  <c r="D62" i="15"/>
  <c r="L62" i="15" s="1"/>
  <c r="B62" i="15"/>
  <c r="Z61" i="15"/>
  <c r="X61" i="15"/>
  <c r="P61" i="15"/>
  <c r="N61" i="15"/>
  <c r="L61" i="15"/>
  <c r="D61" i="15"/>
  <c r="B61" i="15"/>
  <c r="Z60" i="15"/>
  <c r="P60" i="15"/>
  <c r="X60" i="15" s="1"/>
  <c r="N60" i="15"/>
  <c r="D60" i="15"/>
  <c r="L60" i="15" s="1"/>
  <c r="B60" i="15"/>
  <c r="Z59" i="15"/>
  <c r="P59" i="15"/>
  <c r="X59" i="15" s="1"/>
  <c r="N59" i="15"/>
  <c r="D59" i="15"/>
  <c r="L59" i="15" s="1"/>
  <c r="B59" i="15"/>
  <c r="Z58" i="15"/>
  <c r="X58" i="15"/>
  <c r="P58" i="15"/>
  <c r="N58" i="15"/>
  <c r="L58" i="15"/>
  <c r="D58" i="15"/>
  <c r="B58" i="15"/>
  <c r="Z57" i="15"/>
  <c r="X57" i="15"/>
  <c r="P57" i="15"/>
  <c r="N57" i="15"/>
  <c r="D57" i="15"/>
  <c r="L57" i="15" s="1"/>
  <c r="B57" i="15"/>
  <c r="Z56" i="15"/>
  <c r="P56" i="15"/>
  <c r="X56" i="15" s="1"/>
  <c r="N56" i="15"/>
  <c r="D56" i="15"/>
  <c r="L56" i="15" s="1"/>
  <c r="B56" i="15"/>
  <c r="Z55" i="15"/>
  <c r="X55" i="15"/>
  <c r="P55" i="15"/>
  <c r="N55" i="15"/>
  <c r="L55" i="15"/>
  <c r="D55" i="15"/>
  <c r="B55" i="15"/>
  <c r="Z54" i="15"/>
  <c r="X54" i="15"/>
  <c r="P54" i="15"/>
  <c r="N54" i="15"/>
  <c r="L54" i="15"/>
  <c r="D54" i="15"/>
  <c r="B54" i="15"/>
  <c r="Z53" i="15"/>
  <c r="P53" i="15"/>
  <c r="X53" i="15" s="1"/>
  <c r="N53" i="15"/>
  <c r="D53" i="15"/>
  <c r="L53" i="15" s="1"/>
  <c r="B53" i="15"/>
  <c r="Z52" i="15"/>
  <c r="P52" i="15"/>
  <c r="X52" i="15" s="1"/>
  <c r="N52" i="15"/>
  <c r="L52" i="15"/>
  <c r="D52" i="15"/>
  <c r="B52" i="15"/>
  <c r="Z51" i="15"/>
  <c r="P51" i="15"/>
  <c r="X51" i="15" s="1"/>
  <c r="N51" i="15"/>
  <c r="L51" i="15"/>
  <c r="D51" i="15"/>
  <c r="B51" i="15"/>
  <c r="Z50" i="15"/>
  <c r="P50" i="15"/>
  <c r="X50" i="15" s="1"/>
  <c r="N50" i="15"/>
  <c r="D50" i="15"/>
  <c r="L50" i="15" s="1"/>
  <c r="B50" i="15"/>
  <c r="Z49" i="15"/>
  <c r="X49" i="15"/>
  <c r="P49" i="15"/>
  <c r="N49" i="15"/>
  <c r="L49" i="15"/>
  <c r="D49" i="15"/>
  <c r="B49" i="15"/>
  <c r="Z48" i="15"/>
  <c r="P48" i="15"/>
  <c r="X48" i="15" s="1"/>
  <c r="N48" i="15"/>
  <c r="D48" i="15"/>
  <c r="L48" i="15" s="1"/>
  <c r="B48" i="15"/>
  <c r="Z47" i="15"/>
  <c r="P47" i="15"/>
  <c r="X47" i="15" s="1"/>
  <c r="N47" i="15"/>
  <c r="D47" i="15"/>
  <c r="L47" i="15" s="1"/>
  <c r="B47" i="15"/>
  <c r="Z46" i="15"/>
  <c r="X46" i="15"/>
  <c r="P46" i="15"/>
  <c r="L46" i="15"/>
  <c r="N46" i="15" s="1"/>
  <c r="D46" i="15"/>
  <c r="B46" i="15"/>
  <c r="Z45" i="15"/>
  <c r="X45" i="15"/>
  <c r="P45" i="15"/>
  <c r="N45" i="15"/>
  <c r="D45" i="15"/>
  <c r="L45" i="15" s="1"/>
  <c r="B45" i="15"/>
  <c r="Z44" i="15"/>
  <c r="P44" i="15"/>
  <c r="X44" i="15" s="1"/>
  <c r="N44" i="15"/>
  <c r="D44" i="15"/>
  <c r="L44" i="15" s="1"/>
  <c r="B44" i="15"/>
  <c r="Z43" i="15"/>
  <c r="X43" i="15"/>
  <c r="P43" i="15"/>
  <c r="N43" i="15"/>
  <c r="L43" i="15"/>
  <c r="D43" i="15"/>
  <c r="B43" i="15"/>
  <c r="Z42" i="15"/>
  <c r="X42" i="15"/>
  <c r="P42" i="15"/>
  <c r="N42" i="15"/>
  <c r="L42" i="15"/>
  <c r="D42" i="15"/>
  <c r="B42" i="15"/>
  <c r="Z41" i="15"/>
  <c r="P41" i="15"/>
  <c r="X41" i="15" s="1"/>
  <c r="N41" i="15"/>
  <c r="D41" i="15"/>
  <c r="L41" i="15" s="1"/>
  <c r="B41" i="15"/>
  <c r="Z40" i="15"/>
  <c r="P40" i="15"/>
  <c r="X40" i="15" s="1"/>
  <c r="N40" i="15"/>
  <c r="L40" i="15"/>
  <c r="D40" i="15"/>
  <c r="B40" i="15"/>
  <c r="Z39" i="15"/>
  <c r="P39" i="15"/>
  <c r="X39" i="15" s="1"/>
  <c r="N39" i="15"/>
  <c r="L39" i="15"/>
  <c r="D39" i="15"/>
  <c r="B39" i="15"/>
  <c r="Z38" i="15"/>
  <c r="P38" i="15"/>
  <c r="X38" i="15" s="1"/>
  <c r="N38" i="15"/>
  <c r="D38" i="15"/>
  <c r="L38" i="15" s="1"/>
  <c r="B38" i="15"/>
  <c r="Z37" i="15"/>
  <c r="X37" i="15"/>
  <c r="P37" i="15"/>
  <c r="N37" i="15"/>
  <c r="D37" i="15"/>
  <c r="L37" i="15" s="1"/>
  <c r="B37" i="15"/>
  <c r="Z36" i="15"/>
  <c r="P36" i="15"/>
  <c r="X36" i="15" s="1"/>
  <c r="N36" i="15"/>
  <c r="L36" i="15"/>
  <c r="D36" i="15"/>
  <c r="B36" i="15"/>
  <c r="Z35" i="15"/>
  <c r="P35" i="15"/>
  <c r="X35" i="15" s="1"/>
  <c r="N35" i="15"/>
  <c r="D35" i="15"/>
  <c r="L35" i="15" s="1"/>
  <c r="B35" i="15"/>
  <c r="Z34" i="15"/>
  <c r="X34" i="15"/>
  <c r="P34" i="15"/>
  <c r="N34" i="15"/>
  <c r="L34" i="15"/>
  <c r="D34" i="15"/>
  <c r="B34" i="15"/>
  <c r="Z33" i="15"/>
  <c r="X33" i="15"/>
  <c r="P33" i="15"/>
  <c r="N33" i="15"/>
  <c r="D33" i="15"/>
  <c r="L33" i="15" s="1"/>
  <c r="B33" i="15"/>
  <c r="Z32" i="15"/>
  <c r="P32" i="15"/>
  <c r="X32" i="15" s="1"/>
  <c r="N32" i="15"/>
  <c r="D32" i="15"/>
  <c r="L32" i="15" s="1"/>
  <c r="B32" i="15"/>
  <c r="Z31" i="15"/>
  <c r="X31" i="15"/>
  <c r="P31" i="15"/>
  <c r="N31" i="15"/>
  <c r="L31" i="15"/>
  <c r="D31" i="15"/>
  <c r="B31" i="15"/>
  <c r="Z30" i="15"/>
  <c r="X30" i="15"/>
  <c r="P30" i="15"/>
  <c r="N30" i="15"/>
  <c r="L30" i="15"/>
  <c r="D30" i="15"/>
  <c r="B30" i="15"/>
  <c r="Z29" i="15"/>
  <c r="P29" i="15"/>
  <c r="X29" i="15" s="1"/>
  <c r="N29" i="15"/>
  <c r="D29" i="15"/>
  <c r="L29" i="15" s="1"/>
  <c r="B29" i="15"/>
  <c r="Z28" i="15"/>
  <c r="P28" i="15"/>
  <c r="X28" i="15" s="1"/>
  <c r="N28" i="15"/>
  <c r="L28" i="15"/>
  <c r="D28" i="15"/>
  <c r="B28" i="15"/>
  <c r="Z27" i="15"/>
  <c r="P27" i="15"/>
  <c r="X27" i="15" s="1"/>
  <c r="N27" i="15"/>
  <c r="L27" i="15"/>
  <c r="D27" i="15"/>
  <c r="B27" i="15"/>
  <c r="Z26" i="15"/>
  <c r="P26" i="15"/>
  <c r="X26" i="15" s="1"/>
  <c r="N26" i="15"/>
  <c r="D26" i="15"/>
  <c r="L26" i="15" s="1"/>
  <c r="B26" i="15"/>
  <c r="Z25" i="15"/>
  <c r="X25" i="15"/>
  <c r="P25" i="15"/>
  <c r="N25" i="15"/>
  <c r="D25" i="15"/>
  <c r="L25" i="15" s="1"/>
  <c r="B25" i="15"/>
  <c r="Z24" i="15"/>
  <c r="P24" i="15"/>
  <c r="X24" i="15" s="1"/>
  <c r="N24" i="15"/>
  <c r="L24" i="15"/>
  <c r="D24" i="15"/>
  <c r="B24" i="15"/>
  <c r="Z23" i="15"/>
  <c r="P23" i="15"/>
  <c r="X23" i="15" s="1"/>
  <c r="N23" i="15"/>
  <c r="D23" i="15"/>
  <c r="L23" i="15" s="1"/>
  <c r="B23" i="15"/>
  <c r="Z22" i="15"/>
  <c r="X22" i="15"/>
  <c r="P22" i="15"/>
  <c r="N22" i="15"/>
  <c r="L22" i="15"/>
  <c r="D22" i="15"/>
  <c r="B22" i="15"/>
  <c r="Z21" i="15"/>
  <c r="X21" i="15"/>
  <c r="P21" i="15"/>
  <c r="N21" i="15"/>
  <c r="D21" i="15"/>
  <c r="L21" i="15" s="1"/>
  <c r="B21" i="15"/>
  <c r="Z20" i="15"/>
  <c r="P20" i="15"/>
  <c r="X20" i="15" s="1"/>
  <c r="N20" i="15"/>
  <c r="D20" i="15"/>
  <c r="L20" i="15" s="1"/>
  <c r="B20" i="15"/>
  <c r="Z19" i="15"/>
  <c r="X19" i="15"/>
  <c r="P19" i="15"/>
  <c r="N19" i="15"/>
  <c r="L19" i="15"/>
  <c r="D19" i="15"/>
  <c r="B19" i="15"/>
  <c r="Z18" i="15"/>
  <c r="X18" i="15"/>
  <c r="P18" i="15"/>
  <c r="N18" i="15"/>
  <c r="L18" i="15"/>
  <c r="D18" i="15"/>
  <c r="B18" i="15"/>
  <c r="Z17" i="15"/>
  <c r="X17" i="15"/>
  <c r="P17" i="15"/>
  <c r="N17" i="15"/>
  <c r="D17" i="15"/>
  <c r="L17" i="15" s="1"/>
  <c r="B17" i="15"/>
  <c r="Z16" i="15"/>
  <c r="P16" i="15"/>
  <c r="X16" i="15" s="1"/>
  <c r="N16" i="15"/>
  <c r="L16" i="15"/>
  <c r="D16" i="15"/>
  <c r="B16" i="15"/>
  <c r="Z15" i="15"/>
  <c r="P15" i="15"/>
  <c r="X15" i="15" s="1"/>
  <c r="N15" i="15"/>
  <c r="L15" i="15"/>
  <c r="D15" i="15"/>
  <c r="B15" i="15"/>
  <c r="Z14" i="15"/>
  <c r="P14" i="15"/>
  <c r="X14" i="15" s="1"/>
  <c r="N14" i="15"/>
  <c r="L14" i="15"/>
  <c r="D14" i="15"/>
  <c r="B14" i="15"/>
  <c r="X13" i="15"/>
  <c r="Z13" i="15" s="1"/>
  <c r="P13" i="15"/>
  <c r="L13" i="15"/>
  <c r="N13" i="15" s="1"/>
  <c r="D13" i="15"/>
  <c r="B13" i="15"/>
  <c r="T12" i="15"/>
  <c r="V230" i="15" s="1"/>
  <c r="H12" i="15"/>
  <c r="J206" i="15" s="1"/>
  <c r="D4" i="15"/>
  <c r="X264" i="12"/>
  <c r="Z264" i="12" s="1"/>
  <c r="L264" i="12"/>
  <c r="N264" i="12" s="1"/>
  <c r="Z260" i="12"/>
  <c r="P260" i="12"/>
  <c r="X260" i="12" s="1"/>
  <c r="N260" i="12"/>
  <c r="L260" i="12"/>
  <c r="D260" i="12"/>
  <c r="B260" i="12"/>
  <c r="Z259" i="12"/>
  <c r="X259" i="12"/>
  <c r="P259" i="12"/>
  <c r="N259" i="12"/>
  <c r="L259" i="12"/>
  <c r="D259" i="12"/>
  <c r="B259" i="12"/>
  <c r="X258" i="12"/>
  <c r="Z258" i="12" s="1"/>
  <c r="V258" i="12"/>
  <c r="P258" i="12"/>
  <c r="D258" i="12"/>
  <c r="L258" i="12" s="1"/>
  <c r="N258" i="12" s="1"/>
  <c r="B258" i="12"/>
  <c r="X257" i="12"/>
  <c r="Z257" i="12" s="1"/>
  <c r="P257" i="12"/>
  <c r="L257" i="12"/>
  <c r="N257" i="12" s="1"/>
  <c r="D257" i="12"/>
  <c r="B257" i="12"/>
  <c r="Z256" i="12"/>
  <c r="P256" i="12"/>
  <c r="X256" i="12" s="1"/>
  <c r="N256" i="12"/>
  <c r="D256" i="12"/>
  <c r="L256" i="12" s="1"/>
  <c r="B256" i="12"/>
  <c r="Z255" i="12"/>
  <c r="P255" i="12"/>
  <c r="X255" i="12" s="1"/>
  <c r="N255" i="12"/>
  <c r="D255" i="12"/>
  <c r="L255" i="12" s="1"/>
  <c r="B255" i="12"/>
  <c r="Z254" i="12"/>
  <c r="P254" i="12"/>
  <c r="X254" i="12" s="1"/>
  <c r="N254" i="12"/>
  <c r="L254" i="12"/>
  <c r="D254" i="12"/>
  <c r="D253" i="12" s="1"/>
  <c r="B254" i="12"/>
  <c r="T253" i="12"/>
  <c r="L253" i="12"/>
  <c r="N253" i="12" s="1"/>
  <c r="H253" i="12"/>
  <c r="Z251" i="12"/>
  <c r="X251" i="12"/>
  <c r="L251" i="12"/>
  <c r="N251" i="12" s="1"/>
  <c r="B251" i="12"/>
  <c r="X250" i="12"/>
  <c r="T250" i="12"/>
  <c r="Z250" i="12" s="1"/>
  <c r="P250" i="12"/>
  <c r="H250" i="12"/>
  <c r="D250" i="12"/>
  <c r="B250" i="12"/>
  <c r="Z249" i="12"/>
  <c r="X249" i="12"/>
  <c r="N249" i="12"/>
  <c r="L249" i="12"/>
  <c r="B249" i="12"/>
  <c r="Z248" i="12"/>
  <c r="X248" i="12"/>
  <c r="L248" i="12"/>
  <c r="N248" i="12" s="1"/>
  <c r="B248" i="12"/>
  <c r="Z247" i="12"/>
  <c r="X247" i="12"/>
  <c r="N247" i="12"/>
  <c r="L247" i="12"/>
  <c r="B247" i="12"/>
  <c r="T246" i="12"/>
  <c r="P246" i="12"/>
  <c r="X246" i="12" s="1"/>
  <c r="Z246" i="12" s="1"/>
  <c r="N246" i="12"/>
  <c r="H246" i="12"/>
  <c r="D246" i="12"/>
  <c r="L246" i="12" s="1"/>
  <c r="B246" i="12"/>
  <c r="Z245" i="12"/>
  <c r="X245" i="12"/>
  <c r="L245" i="12"/>
  <c r="N245" i="12" s="1"/>
  <c r="B245" i="12"/>
  <c r="X244" i="12"/>
  <c r="T244" i="12"/>
  <c r="Z244" i="12" s="1"/>
  <c r="P244" i="12"/>
  <c r="J244" i="12"/>
  <c r="H244" i="12"/>
  <c r="D244" i="12"/>
  <c r="L244" i="12" s="1"/>
  <c r="N244" i="12" s="1"/>
  <c r="B244" i="12"/>
  <c r="Z243" i="12"/>
  <c r="X243" i="12"/>
  <c r="L243" i="12"/>
  <c r="N243" i="12" s="1"/>
  <c r="B243" i="12"/>
  <c r="X242" i="12"/>
  <c r="Z242" i="12" s="1"/>
  <c r="L242" i="12"/>
  <c r="N242" i="12" s="1"/>
  <c r="B242" i="12"/>
  <c r="X241" i="12"/>
  <c r="Z241" i="12" s="1"/>
  <c r="T241" i="12"/>
  <c r="P241" i="12"/>
  <c r="H241" i="12"/>
  <c r="D241" i="12"/>
  <c r="L241" i="12" s="1"/>
  <c r="N241" i="12" s="1"/>
  <c r="B241" i="12"/>
  <c r="Z240" i="12"/>
  <c r="X240" i="12"/>
  <c r="L240" i="12"/>
  <c r="N240" i="12" s="1"/>
  <c r="B240" i="12"/>
  <c r="X239" i="12"/>
  <c r="Z239" i="12" s="1"/>
  <c r="L239" i="12"/>
  <c r="N239" i="12" s="1"/>
  <c r="B239" i="12"/>
  <c r="X238" i="12"/>
  <c r="Z238" i="12" s="1"/>
  <c r="L238" i="12"/>
  <c r="N238" i="12" s="1"/>
  <c r="J238" i="12"/>
  <c r="B238" i="12"/>
  <c r="Z237" i="12"/>
  <c r="X237" i="12"/>
  <c r="N237" i="12"/>
  <c r="L237" i="12"/>
  <c r="B237" i="12"/>
  <c r="Z236" i="12"/>
  <c r="X236" i="12"/>
  <c r="L236" i="12"/>
  <c r="N236" i="12" s="1"/>
  <c r="B236" i="12"/>
  <c r="X235" i="12"/>
  <c r="Z235" i="12" s="1"/>
  <c r="L235" i="12"/>
  <c r="N235" i="12" s="1"/>
  <c r="B235" i="12"/>
  <c r="X234" i="12"/>
  <c r="Z234" i="12" s="1"/>
  <c r="L234" i="12"/>
  <c r="N234" i="12" s="1"/>
  <c r="J234" i="12"/>
  <c r="B234" i="12"/>
  <c r="Z233" i="12"/>
  <c r="X233" i="12"/>
  <c r="N233" i="12"/>
  <c r="L233" i="12"/>
  <c r="B233" i="12"/>
  <c r="T232" i="12"/>
  <c r="P232" i="12"/>
  <c r="X232" i="12" s="1"/>
  <c r="Z232" i="12" s="1"/>
  <c r="H232" i="12"/>
  <c r="D232" i="12"/>
  <c r="L232" i="12" s="1"/>
  <c r="N232" i="12" s="1"/>
  <c r="B232" i="12"/>
  <c r="X231" i="12"/>
  <c r="Z231" i="12" s="1"/>
  <c r="N231" i="12"/>
  <c r="L231" i="12"/>
  <c r="B231" i="12"/>
  <c r="X230" i="12"/>
  <c r="Z230" i="12" s="1"/>
  <c r="V230" i="12"/>
  <c r="L230" i="12"/>
  <c r="N230" i="12" s="1"/>
  <c r="B230" i="12"/>
  <c r="T229" i="12"/>
  <c r="Z229" i="12" s="1"/>
  <c r="P229" i="12"/>
  <c r="X229" i="12" s="1"/>
  <c r="H229" i="12"/>
  <c r="D229" i="12"/>
  <c r="L229" i="12" s="1"/>
  <c r="B229" i="12"/>
  <c r="X228" i="12"/>
  <c r="Z228" i="12" s="1"/>
  <c r="N228" i="12"/>
  <c r="L228" i="12"/>
  <c r="B228" i="12"/>
  <c r="Z227" i="12"/>
  <c r="X227" i="12"/>
  <c r="L227" i="12"/>
  <c r="N227" i="12" s="1"/>
  <c r="B227" i="12"/>
  <c r="X226" i="12"/>
  <c r="Z226" i="12" s="1"/>
  <c r="L226" i="12"/>
  <c r="N226" i="12" s="1"/>
  <c r="B226" i="12"/>
  <c r="X225" i="12"/>
  <c r="Z225" i="12" s="1"/>
  <c r="N225" i="12"/>
  <c r="L225" i="12"/>
  <c r="B225" i="12"/>
  <c r="X224" i="12"/>
  <c r="Z224" i="12" s="1"/>
  <c r="N224" i="12"/>
  <c r="L224" i="12"/>
  <c r="B224" i="12"/>
  <c r="Z223" i="12"/>
  <c r="X223" i="12"/>
  <c r="N223" i="12"/>
  <c r="L223" i="12"/>
  <c r="B223" i="12"/>
  <c r="X222" i="12"/>
  <c r="T222" i="12"/>
  <c r="Z222" i="12" s="1"/>
  <c r="P222" i="12"/>
  <c r="H222" i="12"/>
  <c r="D222" i="12"/>
  <c r="B222" i="12"/>
  <c r="Z221" i="12"/>
  <c r="X221" i="12"/>
  <c r="N221" i="12"/>
  <c r="L221" i="12"/>
  <c r="B221" i="12"/>
  <c r="Z220" i="12"/>
  <c r="X220" i="12"/>
  <c r="L220" i="12"/>
  <c r="N220" i="12" s="1"/>
  <c r="B220" i="12"/>
  <c r="X219" i="12"/>
  <c r="Z219" i="12" s="1"/>
  <c r="L219" i="12"/>
  <c r="N219" i="12" s="1"/>
  <c r="B219" i="12"/>
  <c r="X218" i="12"/>
  <c r="Z218" i="12" s="1"/>
  <c r="L218" i="12"/>
  <c r="N218" i="12" s="1"/>
  <c r="J218" i="12"/>
  <c r="B218" i="12"/>
  <c r="T217" i="12"/>
  <c r="X217" i="12" s="1"/>
  <c r="Z217" i="12" s="1"/>
  <c r="P217" i="12"/>
  <c r="H217" i="12"/>
  <c r="D217" i="12"/>
  <c r="B217" i="12"/>
  <c r="X216" i="12"/>
  <c r="Z216" i="12" s="1"/>
  <c r="L216" i="12"/>
  <c r="N216" i="12" s="1"/>
  <c r="B216" i="12"/>
  <c r="X215" i="12"/>
  <c r="Z215" i="12" s="1"/>
  <c r="N215" i="12"/>
  <c r="L215" i="12"/>
  <c r="B215" i="12"/>
  <c r="X214" i="12"/>
  <c r="Z214" i="12" s="1"/>
  <c r="V214" i="12"/>
  <c r="N214" i="12"/>
  <c r="L214" i="12"/>
  <c r="B214" i="12"/>
  <c r="T213" i="12"/>
  <c r="Z213" i="12" s="1"/>
  <c r="P213" i="12"/>
  <c r="X213" i="12" s="1"/>
  <c r="H213" i="12"/>
  <c r="D213" i="12"/>
  <c r="L213" i="12" s="1"/>
  <c r="B213" i="12"/>
  <c r="X212" i="12"/>
  <c r="Z212" i="12" s="1"/>
  <c r="N212" i="12"/>
  <c r="L212" i="12"/>
  <c r="B212" i="12"/>
  <c r="T211" i="12"/>
  <c r="P211" i="12"/>
  <c r="X211" i="12" s="1"/>
  <c r="Z211" i="12" s="1"/>
  <c r="L211" i="12"/>
  <c r="N211" i="12" s="1"/>
  <c r="H211" i="12"/>
  <c r="D211" i="12"/>
  <c r="B211" i="12"/>
  <c r="Z210" i="12"/>
  <c r="X210" i="12"/>
  <c r="N210" i="12"/>
  <c r="L210" i="12"/>
  <c r="J210" i="12"/>
  <c r="B210" i="12"/>
  <c r="Z209" i="12"/>
  <c r="T209" i="12"/>
  <c r="X209" i="12" s="1"/>
  <c r="P209" i="12"/>
  <c r="H209" i="12"/>
  <c r="D209" i="12"/>
  <c r="B209" i="12"/>
  <c r="X208" i="12"/>
  <c r="Z208" i="12" s="1"/>
  <c r="L208" i="12"/>
  <c r="N208" i="12" s="1"/>
  <c r="B208" i="12"/>
  <c r="T207" i="12"/>
  <c r="Z207" i="12" s="1"/>
  <c r="P207" i="12"/>
  <c r="X207" i="12" s="1"/>
  <c r="H207" i="12"/>
  <c r="D207" i="12"/>
  <c r="L207" i="12" s="1"/>
  <c r="B207" i="12"/>
  <c r="X206" i="12"/>
  <c r="Z206" i="12" s="1"/>
  <c r="L206" i="12"/>
  <c r="N206" i="12" s="1"/>
  <c r="B206" i="12"/>
  <c r="X205" i="12"/>
  <c r="Z205" i="12" s="1"/>
  <c r="T205" i="12"/>
  <c r="P205" i="12"/>
  <c r="H205" i="12"/>
  <c r="D205" i="12"/>
  <c r="L205" i="12" s="1"/>
  <c r="N205" i="12" s="1"/>
  <c r="B205" i="12"/>
  <c r="Z204" i="12"/>
  <c r="X204" i="12"/>
  <c r="L204" i="12"/>
  <c r="N204" i="12" s="1"/>
  <c r="B204" i="12"/>
  <c r="T203" i="12"/>
  <c r="P203" i="12"/>
  <c r="H203" i="12"/>
  <c r="L203" i="12" s="1"/>
  <c r="N203" i="12" s="1"/>
  <c r="D203" i="12"/>
  <c r="B203" i="12"/>
  <c r="X202" i="12"/>
  <c r="Z202" i="12" s="1"/>
  <c r="V202" i="12"/>
  <c r="L202" i="12"/>
  <c r="N202" i="12" s="1"/>
  <c r="B202" i="12"/>
  <c r="T201" i="12"/>
  <c r="P201" i="12"/>
  <c r="X201" i="12" s="1"/>
  <c r="H201" i="12"/>
  <c r="D201" i="12"/>
  <c r="L201" i="12" s="1"/>
  <c r="B201" i="12"/>
  <c r="X200" i="12"/>
  <c r="Z200" i="12" s="1"/>
  <c r="N200" i="12"/>
  <c r="L200" i="12"/>
  <c r="B200" i="12"/>
  <c r="T199" i="12"/>
  <c r="P199" i="12"/>
  <c r="X199" i="12" s="1"/>
  <c r="Z199" i="12" s="1"/>
  <c r="L199" i="12"/>
  <c r="N199" i="12" s="1"/>
  <c r="H199" i="12"/>
  <c r="D199" i="12"/>
  <c r="B199" i="12"/>
  <c r="X198" i="12"/>
  <c r="Z198" i="12" s="1"/>
  <c r="L198" i="12"/>
  <c r="N198" i="12" s="1"/>
  <c r="J198" i="12"/>
  <c r="B198" i="12"/>
  <c r="Z197" i="12"/>
  <c r="X197" i="12"/>
  <c r="N197" i="12"/>
  <c r="L197" i="12"/>
  <c r="B197" i="12"/>
  <c r="T196" i="12"/>
  <c r="P196" i="12"/>
  <c r="X196" i="12" s="1"/>
  <c r="Z196" i="12" s="1"/>
  <c r="H196" i="12"/>
  <c r="D196" i="12"/>
  <c r="L196" i="12" s="1"/>
  <c r="N196" i="12" s="1"/>
  <c r="B196" i="12"/>
  <c r="X195" i="12"/>
  <c r="Z195" i="12" s="1"/>
  <c r="N195" i="12"/>
  <c r="L195" i="12"/>
  <c r="B195" i="12"/>
  <c r="V194" i="12"/>
  <c r="T194" i="12"/>
  <c r="P194" i="12"/>
  <c r="X194" i="12" s="1"/>
  <c r="Z194" i="12" s="1"/>
  <c r="L194" i="12"/>
  <c r="H194" i="12"/>
  <c r="N194" i="12" s="1"/>
  <c r="D194" i="12"/>
  <c r="B194" i="12"/>
  <c r="X193" i="12"/>
  <c r="Z193" i="12" s="1"/>
  <c r="N193" i="12"/>
  <c r="L193" i="12"/>
  <c r="B193" i="12"/>
  <c r="T192" i="12"/>
  <c r="P192" i="12"/>
  <c r="L192" i="12"/>
  <c r="H192" i="12"/>
  <c r="N192" i="12" s="1"/>
  <c r="D192" i="12"/>
  <c r="B192" i="12"/>
  <c r="Z191" i="12"/>
  <c r="X191" i="12"/>
  <c r="N191" i="12"/>
  <c r="L191" i="12"/>
  <c r="B191" i="12"/>
  <c r="X190" i="12"/>
  <c r="Z190" i="12" s="1"/>
  <c r="L190" i="12"/>
  <c r="N190" i="12" s="1"/>
  <c r="J190" i="12"/>
  <c r="B190" i="12"/>
  <c r="T189" i="12"/>
  <c r="X189" i="12" s="1"/>
  <c r="Z189" i="12" s="1"/>
  <c r="P189" i="12"/>
  <c r="H189" i="12"/>
  <c r="D189" i="12"/>
  <c r="B189" i="12"/>
  <c r="Z188" i="12"/>
  <c r="X188" i="12"/>
  <c r="N188" i="12"/>
  <c r="L188" i="12"/>
  <c r="B188" i="12"/>
  <c r="X187" i="12"/>
  <c r="Z187" i="12" s="1"/>
  <c r="N187" i="12"/>
  <c r="L187" i="12"/>
  <c r="B187" i="12"/>
  <c r="V186" i="12"/>
  <c r="T186" i="12"/>
  <c r="P186" i="12"/>
  <c r="X186" i="12" s="1"/>
  <c r="Z186" i="12" s="1"/>
  <c r="L186" i="12"/>
  <c r="H186" i="12"/>
  <c r="N186" i="12" s="1"/>
  <c r="D186" i="12"/>
  <c r="B186" i="12"/>
  <c r="X185" i="12"/>
  <c r="Z185" i="12" s="1"/>
  <c r="N185" i="12"/>
  <c r="L185" i="12"/>
  <c r="B185" i="12"/>
  <c r="X184" i="12"/>
  <c r="Z184" i="12" s="1"/>
  <c r="N184" i="12"/>
  <c r="L184" i="12"/>
  <c r="B184" i="12"/>
  <c r="Z183" i="12"/>
  <c r="X183" i="12"/>
  <c r="L183" i="12"/>
  <c r="N183" i="12" s="1"/>
  <c r="B183" i="12"/>
  <c r="X182" i="12"/>
  <c r="T182" i="12"/>
  <c r="Z182" i="12" s="1"/>
  <c r="P182" i="12"/>
  <c r="H182" i="12"/>
  <c r="D182" i="12"/>
  <c r="B182" i="12"/>
  <c r="Z181" i="12"/>
  <c r="X181" i="12"/>
  <c r="N181" i="12"/>
  <c r="L181" i="12"/>
  <c r="B181" i="12"/>
  <c r="T180" i="12"/>
  <c r="P180" i="12"/>
  <c r="X180" i="12" s="1"/>
  <c r="Z180" i="12" s="1"/>
  <c r="H180" i="12"/>
  <c r="D180" i="12"/>
  <c r="L180" i="12" s="1"/>
  <c r="N180" i="12" s="1"/>
  <c r="B180" i="12"/>
  <c r="X179" i="12"/>
  <c r="Z179" i="12" s="1"/>
  <c r="N179" i="12"/>
  <c r="L179" i="12"/>
  <c r="B179" i="12"/>
  <c r="X178" i="12"/>
  <c r="Z178" i="12" s="1"/>
  <c r="V178" i="12"/>
  <c r="L178" i="12"/>
  <c r="N178" i="12" s="1"/>
  <c r="B178" i="12"/>
  <c r="T177" i="12"/>
  <c r="P177" i="12"/>
  <c r="X177" i="12" s="1"/>
  <c r="J177" i="12"/>
  <c r="H177" i="12"/>
  <c r="D177" i="12"/>
  <c r="L177" i="12" s="1"/>
  <c r="B177" i="12"/>
  <c r="X176" i="12"/>
  <c r="Z176" i="12" s="1"/>
  <c r="N176" i="12"/>
  <c r="L176" i="12"/>
  <c r="B176" i="12"/>
  <c r="T175" i="12"/>
  <c r="P175" i="12"/>
  <c r="X175" i="12" s="1"/>
  <c r="Z175" i="12" s="1"/>
  <c r="L175" i="12"/>
  <c r="N175" i="12" s="1"/>
  <c r="H175" i="12"/>
  <c r="D175" i="12"/>
  <c r="B175" i="12"/>
  <c r="Z174" i="12"/>
  <c r="X174" i="12"/>
  <c r="N174" i="12"/>
  <c r="L174" i="12"/>
  <c r="J174" i="12"/>
  <c r="B174" i="12"/>
  <c r="Z173" i="12"/>
  <c r="X173" i="12"/>
  <c r="N173" i="12"/>
  <c r="L173" i="12"/>
  <c r="B173" i="12"/>
  <c r="Z172" i="12"/>
  <c r="X172" i="12"/>
  <c r="L172" i="12"/>
  <c r="N172" i="12" s="1"/>
  <c r="B172" i="12"/>
  <c r="X171" i="12"/>
  <c r="Z171" i="12" s="1"/>
  <c r="L171" i="12"/>
  <c r="N171" i="12" s="1"/>
  <c r="J171" i="12"/>
  <c r="B171" i="12"/>
  <c r="Z170" i="12"/>
  <c r="X170" i="12"/>
  <c r="N170" i="12"/>
  <c r="L170" i="12"/>
  <c r="J170" i="12"/>
  <c r="B170" i="12"/>
  <c r="Z169" i="12"/>
  <c r="X169" i="12"/>
  <c r="N169" i="12"/>
  <c r="L169" i="12"/>
  <c r="B169" i="12"/>
  <c r="Z168" i="12"/>
  <c r="X168" i="12"/>
  <c r="L168" i="12"/>
  <c r="N168" i="12" s="1"/>
  <c r="B168" i="12"/>
  <c r="Z167" i="12"/>
  <c r="X167" i="12"/>
  <c r="N167" i="12"/>
  <c r="L167" i="12"/>
  <c r="J167" i="12"/>
  <c r="B167" i="12"/>
  <c r="X166" i="12"/>
  <c r="Z166" i="12" s="1"/>
  <c r="L166" i="12"/>
  <c r="N166" i="12" s="1"/>
  <c r="J166" i="12"/>
  <c r="B166" i="12"/>
  <c r="Z165" i="12"/>
  <c r="X165" i="12"/>
  <c r="N165" i="12"/>
  <c r="L165" i="12"/>
  <c r="B165" i="12"/>
  <c r="Z164" i="12"/>
  <c r="T164" i="12"/>
  <c r="P164" i="12"/>
  <c r="X164" i="12" s="1"/>
  <c r="H164" i="12"/>
  <c r="D164" i="12"/>
  <c r="L164" i="12" s="1"/>
  <c r="N164" i="12" s="1"/>
  <c r="B164" i="12"/>
  <c r="X163" i="12"/>
  <c r="Z163" i="12" s="1"/>
  <c r="N163" i="12"/>
  <c r="L163" i="12"/>
  <c r="B163" i="12"/>
  <c r="X162" i="12"/>
  <c r="Z162" i="12" s="1"/>
  <c r="V162" i="12"/>
  <c r="L162" i="12"/>
  <c r="N162" i="12" s="1"/>
  <c r="B162" i="12"/>
  <c r="Z161" i="12"/>
  <c r="X161" i="12"/>
  <c r="L161" i="12"/>
  <c r="N161" i="12" s="1"/>
  <c r="B161" i="12"/>
  <c r="Z160" i="12"/>
  <c r="X160" i="12"/>
  <c r="N160" i="12"/>
  <c r="L160" i="12"/>
  <c r="B160" i="12"/>
  <c r="Z159" i="12"/>
  <c r="X159" i="12"/>
  <c r="N159" i="12"/>
  <c r="L159" i="12"/>
  <c r="B159" i="12"/>
  <c r="X158" i="12"/>
  <c r="Z158" i="12" s="1"/>
  <c r="V158" i="12"/>
  <c r="L158" i="12"/>
  <c r="N158" i="12" s="1"/>
  <c r="B158" i="12"/>
  <c r="Z157" i="12"/>
  <c r="X157" i="12"/>
  <c r="L157" i="12"/>
  <c r="N157" i="12" s="1"/>
  <c r="B157" i="12"/>
  <c r="X156" i="12"/>
  <c r="Z156" i="12" s="1"/>
  <c r="L156" i="12"/>
  <c r="N156" i="12" s="1"/>
  <c r="B156" i="12"/>
  <c r="X155" i="12"/>
  <c r="Z155" i="12" s="1"/>
  <c r="N155" i="12"/>
  <c r="L155" i="12"/>
  <c r="B155" i="12"/>
  <c r="X154" i="12"/>
  <c r="Z154" i="12" s="1"/>
  <c r="V154" i="12"/>
  <c r="L154" i="12"/>
  <c r="N154" i="12" s="1"/>
  <c r="B154" i="12"/>
  <c r="T153" i="12"/>
  <c r="P153" i="12"/>
  <c r="X153" i="12" s="1"/>
  <c r="J153" i="12"/>
  <c r="H153" i="12"/>
  <c r="D153" i="12"/>
  <c r="L153" i="12" s="1"/>
  <c r="B153" i="12"/>
  <c r="T152" i="12"/>
  <c r="P152" i="12"/>
  <c r="H152" i="12"/>
  <c r="D152" i="12"/>
  <c r="L152" i="12" s="1"/>
  <c r="Z148" i="12"/>
  <c r="X148" i="12"/>
  <c r="N148" i="12"/>
  <c r="L148" i="12"/>
  <c r="B148" i="12"/>
  <c r="Z147" i="12"/>
  <c r="X147" i="12"/>
  <c r="N147" i="12"/>
  <c r="L147" i="12"/>
  <c r="J147" i="12"/>
  <c r="B147" i="12"/>
  <c r="Z146" i="12"/>
  <c r="X146" i="12"/>
  <c r="N146" i="12"/>
  <c r="L146" i="12"/>
  <c r="B146" i="12"/>
  <c r="Z145" i="12"/>
  <c r="X145" i="12"/>
  <c r="N145" i="12"/>
  <c r="L145" i="12"/>
  <c r="J145" i="12"/>
  <c r="B145" i="12"/>
  <c r="Z144" i="12"/>
  <c r="X144" i="12"/>
  <c r="N144" i="12"/>
  <c r="L144" i="12"/>
  <c r="B144" i="12"/>
  <c r="Z143" i="12"/>
  <c r="X143" i="12"/>
  <c r="N143" i="12"/>
  <c r="L143" i="12"/>
  <c r="J143" i="12"/>
  <c r="B143" i="12"/>
  <c r="Z142" i="12"/>
  <c r="X142" i="12"/>
  <c r="N142" i="12"/>
  <c r="L142" i="12"/>
  <c r="B142" i="12"/>
  <c r="Z141" i="12"/>
  <c r="X141" i="12"/>
  <c r="N141" i="12"/>
  <c r="L141" i="12"/>
  <c r="J141" i="12"/>
  <c r="B141" i="12"/>
  <c r="Z140" i="12"/>
  <c r="X140" i="12"/>
  <c r="N140" i="12"/>
  <c r="L140" i="12"/>
  <c r="B140" i="12"/>
  <c r="Z139" i="12"/>
  <c r="X139" i="12"/>
  <c r="N139" i="12"/>
  <c r="L139" i="12"/>
  <c r="J139" i="12"/>
  <c r="B139" i="12"/>
  <c r="Z138" i="12"/>
  <c r="X138" i="12"/>
  <c r="N138" i="12"/>
  <c r="L138" i="12"/>
  <c r="B138" i="12"/>
  <c r="Z137" i="12"/>
  <c r="X137" i="12"/>
  <c r="N137" i="12"/>
  <c r="L137" i="12"/>
  <c r="J137" i="12"/>
  <c r="B137" i="12"/>
  <c r="Z136" i="12"/>
  <c r="X136" i="12"/>
  <c r="N136" i="12"/>
  <c r="L136" i="12"/>
  <c r="B136" i="12"/>
  <c r="Z135" i="12"/>
  <c r="X135" i="12"/>
  <c r="N135" i="12"/>
  <c r="L135" i="12"/>
  <c r="J135" i="12"/>
  <c r="B135" i="12"/>
  <c r="Z134" i="12"/>
  <c r="X134" i="12"/>
  <c r="N134" i="12"/>
  <c r="L134" i="12"/>
  <c r="B134" i="12"/>
  <c r="Z133" i="12"/>
  <c r="X133" i="12"/>
  <c r="N133" i="12"/>
  <c r="L133" i="12"/>
  <c r="J133" i="12"/>
  <c r="B133" i="12"/>
  <c r="Z132" i="12"/>
  <c r="X132" i="12"/>
  <c r="N132" i="12"/>
  <c r="L132" i="12"/>
  <c r="B132" i="12"/>
  <c r="Z131" i="12"/>
  <c r="X131" i="12"/>
  <c r="N131" i="12"/>
  <c r="L131" i="12"/>
  <c r="J131" i="12"/>
  <c r="B131" i="12"/>
  <c r="Z130" i="12"/>
  <c r="X130" i="12"/>
  <c r="N130" i="12"/>
  <c r="L130" i="12"/>
  <c r="B130" i="12"/>
  <c r="Z129" i="12"/>
  <c r="X129" i="12"/>
  <c r="N129" i="12"/>
  <c r="L129" i="12"/>
  <c r="J129" i="12"/>
  <c r="B129" i="12"/>
  <c r="Z128" i="12"/>
  <c r="X128" i="12"/>
  <c r="N128" i="12"/>
  <c r="L128" i="12"/>
  <c r="B128" i="12"/>
  <c r="Z127" i="12"/>
  <c r="X127" i="12"/>
  <c r="V127" i="12"/>
  <c r="N127" i="12"/>
  <c r="L127" i="12"/>
  <c r="J127" i="12"/>
  <c r="B127" i="12"/>
  <c r="Z126" i="12"/>
  <c r="X126" i="12"/>
  <c r="N126" i="12"/>
  <c r="L126" i="12"/>
  <c r="B126" i="12"/>
  <c r="Z125" i="12"/>
  <c r="X125" i="12"/>
  <c r="N125" i="12"/>
  <c r="L125" i="12"/>
  <c r="J125" i="12"/>
  <c r="B125" i="12"/>
  <c r="Z124" i="12"/>
  <c r="X124" i="12"/>
  <c r="N124" i="12"/>
  <c r="L124" i="12"/>
  <c r="B124" i="12"/>
  <c r="Z123" i="12"/>
  <c r="X123" i="12"/>
  <c r="V123" i="12"/>
  <c r="N123" i="12"/>
  <c r="L123" i="12"/>
  <c r="J123" i="12"/>
  <c r="B123" i="12"/>
  <c r="Z122" i="12"/>
  <c r="X122" i="12"/>
  <c r="N122" i="12"/>
  <c r="L122" i="12"/>
  <c r="B122" i="12"/>
  <c r="Z121" i="12"/>
  <c r="X121" i="12"/>
  <c r="N121" i="12"/>
  <c r="L121" i="12"/>
  <c r="J121" i="12"/>
  <c r="B121" i="12"/>
  <c r="Z120" i="12"/>
  <c r="X120" i="12"/>
  <c r="N120" i="12"/>
  <c r="L120" i="12"/>
  <c r="B120" i="12"/>
  <c r="Z119" i="12"/>
  <c r="X119" i="12"/>
  <c r="V119" i="12"/>
  <c r="N119" i="12"/>
  <c r="L119" i="12"/>
  <c r="J119" i="12"/>
  <c r="B119" i="12"/>
  <c r="Z118" i="12"/>
  <c r="X118" i="12"/>
  <c r="N118" i="12"/>
  <c r="L118" i="12"/>
  <c r="B118" i="12"/>
  <c r="Z117" i="12"/>
  <c r="X117" i="12"/>
  <c r="N117" i="12"/>
  <c r="L117" i="12"/>
  <c r="J117" i="12"/>
  <c r="B117" i="12"/>
  <c r="Z116" i="12"/>
  <c r="X116" i="12"/>
  <c r="N116" i="12"/>
  <c r="L116" i="12"/>
  <c r="B116" i="12"/>
  <c r="Z115" i="12"/>
  <c r="X115" i="12"/>
  <c r="V115" i="12"/>
  <c r="N115" i="12"/>
  <c r="L115" i="12"/>
  <c r="J115" i="12"/>
  <c r="B115" i="12"/>
  <c r="Z114" i="12"/>
  <c r="X114" i="12"/>
  <c r="N114" i="12"/>
  <c r="L114" i="12"/>
  <c r="B114" i="12"/>
  <c r="Z113" i="12"/>
  <c r="X113" i="12"/>
  <c r="N113" i="12"/>
  <c r="L113" i="12"/>
  <c r="J113" i="12"/>
  <c r="B113" i="12"/>
  <c r="Z112" i="12"/>
  <c r="X112" i="12"/>
  <c r="N112" i="12"/>
  <c r="L112" i="12"/>
  <c r="B112" i="12"/>
  <c r="Z111" i="12"/>
  <c r="X111" i="12"/>
  <c r="V111" i="12"/>
  <c r="N111" i="12"/>
  <c r="L111" i="12"/>
  <c r="J111" i="12"/>
  <c r="B111" i="12"/>
  <c r="Z110" i="12"/>
  <c r="X110" i="12"/>
  <c r="N110" i="12"/>
  <c r="L110" i="12"/>
  <c r="B110" i="12"/>
  <c r="Z109" i="12"/>
  <c r="X109" i="12"/>
  <c r="N109" i="12"/>
  <c r="L109" i="12"/>
  <c r="J109" i="12"/>
  <c r="B109" i="12"/>
  <c r="Z108" i="12"/>
  <c r="X108" i="12"/>
  <c r="N108" i="12"/>
  <c r="L108" i="12"/>
  <c r="B108" i="12"/>
  <c r="Z107" i="12"/>
  <c r="X107" i="12"/>
  <c r="V107" i="12"/>
  <c r="N107" i="12"/>
  <c r="L107" i="12"/>
  <c r="J107" i="12"/>
  <c r="B107" i="12"/>
  <c r="Z106" i="12"/>
  <c r="X106" i="12"/>
  <c r="N106" i="12"/>
  <c r="L106" i="12"/>
  <c r="B106" i="12"/>
  <c r="Z105" i="12"/>
  <c r="X105" i="12"/>
  <c r="N105" i="12"/>
  <c r="L105" i="12"/>
  <c r="J105" i="12"/>
  <c r="B105" i="12"/>
  <c r="Z104" i="12"/>
  <c r="X104" i="12"/>
  <c r="N104" i="12"/>
  <c r="L104" i="12"/>
  <c r="B104" i="12"/>
  <c r="Z103" i="12"/>
  <c r="X103" i="12"/>
  <c r="V103" i="12"/>
  <c r="N103" i="12"/>
  <c r="L103" i="12"/>
  <c r="J103" i="12"/>
  <c r="B103" i="12"/>
  <c r="Z102" i="12"/>
  <c r="X102" i="12"/>
  <c r="N102" i="12"/>
  <c r="L102" i="12"/>
  <c r="B102" i="12"/>
  <c r="Z101" i="12"/>
  <c r="X101" i="12"/>
  <c r="N101" i="12"/>
  <c r="L101" i="12"/>
  <c r="J101" i="12"/>
  <c r="B101" i="12"/>
  <c r="Z100" i="12"/>
  <c r="X100" i="12"/>
  <c r="V100" i="12"/>
  <c r="N100" i="12"/>
  <c r="L100" i="12"/>
  <c r="B100" i="12"/>
  <c r="Z99" i="12"/>
  <c r="X99" i="12"/>
  <c r="V99" i="12"/>
  <c r="L99" i="12"/>
  <c r="N99" i="12" s="1"/>
  <c r="J99" i="12"/>
  <c r="B99" i="12"/>
  <c r="T98" i="12"/>
  <c r="P98" i="12"/>
  <c r="X98" i="12" s="1"/>
  <c r="H98" i="12"/>
  <c r="H150" i="12" s="1"/>
  <c r="D98" i="12"/>
  <c r="L98" i="12" s="1"/>
  <c r="Z96" i="12"/>
  <c r="X96" i="12"/>
  <c r="P96" i="12"/>
  <c r="N96" i="12"/>
  <c r="D96" i="12"/>
  <c r="L96" i="12" s="1"/>
  <c r="B96" i="12"/>
  <c r="Z95" i="12"/>
  <c r="P95" i="12"/>
  <c r="X95" i="12" s="1"/>
  <c r="N95" i="12"/>
  <c r="L95" i="12"/>
  <c r="D95" i="12"/>
  <c r="B95" i="12"/>
  <c r="Z94" i="12"/>
  <c r="X94" i="12"/>
  <c r="P94" i="12"/>
  <c r="N94" i="12"/>
  <c r="D94" i="12"/>
  <c r="L94" i="12" s="1"/>
  <c r="B94" i="12"/>
  <c r="Z93" i="12"/>
  <c r="X93" i="12"/>
  <c r="P93" i="12"/>
  <c r="N93" i="12"/>
  <c r="L93" i="12"/>
  <c r="D93" i="12"/>
  <c r="B93" i="12"/>
  <c r="Z92" i="12"/>
  <c r="X92" i="12"/>
  <c r="P92" i="12"/>
  <c r="N92" i="12"/>
  <c r="D92" i="12"/>
  <c r="L92" i="12" s="1"/>
  <c r="B92" i="12"/>
  <c r="Z91" i="12"/>
  <c r="P91" i="12"/>
  <c r="X91" i="12" s="1"/>
  <c r="N91" i="12"/>
  <c r="L91" i="12"/>
  <c r="D91" i="12"/>
  <c r="B91" i="12"/>
  <c r="Z90" i="12"/>
  <c r="P90" i="12"/>
  <c r="X90" i="12" s="1"/>
  <c r="N90" i="12"/>
  <c r="L90" i="12"/>
  <c r="D90" i="12"/>
  <c r="B90" i="12"/>
  <c r="Z89" i="12"/>
  <c r="P89" i="12"/>
  <c r="X89" i="12" s="1"/>
  <c r="N89" i="12"/>
  <c r="L89" i="12"/>
  <c r="D89" i="12"/>
  <c r="B89" i="12"/>
  <c r="Z88" i="12"/>
  <c r="P88" i="12"/>
  <c r="X88" i="12" s="1"/>
  <c r="N88" i="12"/>
  <c r="D88" i="12"/>
  <c r="L88" i="12" s="1"/>
  <c r="B88" i="12"/>
  <c r="Z87" i="12"/>
  <c r="P87" i="12"/>
  <c r="X87" i="12" s="1"/>
  <c r="N87" i="12"/>
  <c r="D87" i="12"/>
  <c r="L87" i="12" s="1"/>
  <c r="B87" i="12"/>
  <c r="Z86" i="12"/>
  <c r="X86" i="12"/>
  <c r="P86" i="12"/>
  <c r="N86" i="12"/>
  <c r="D86" i="12"/>
  <c r="L86" i="12" s="1"/>
  <c r="B86" i="12"/>
  <c r="Z85" i="12"/>
  <c r="P85" i="12"/>
  <c r="X85" i="12" s="1"/>
  <c r="N85" i="12"/>
  <c r="D85" i="12"/>
  <c r="L85" i="12" s="1"/>
  <c r="B85" i="12"/>
  <c r="Z84" i="12"/>
  <c r="X84" i="12"/>
  <c r="P84" i="12"/>
  <c r="N84" i="12"/>
  <c r="D84" i="12"/>
  <c r="L84" i="12" s="1"/>
  <c r="B84" i="12"/>
  <c r="Z83" i="12"/>
  <c r="P83" i="12"/>
  <c r="X83" i="12" s="1"/>
  <c r="N83" i="12"/>
  <c r="L83" i="12"/>
  <c r="D83" i="12"/>
  <c r="B83" i="12"/>
  <c r="Z82" i="12"/>
  <c r="X82" i="12"/>
  <c r="P82" i="12"/>
  <c r="N82" i="12"/>
  <c r="D82" i="12"/>
  <c r="L82" i="12" s="1"/>
  <c r="B82" i="12"/>
  <c r="Z81" i="12"/>
  <c r="X81" i="12"/>
  <c r="P81" i="12"/>
  <c r="N81" i="12"/>
  <c r="L81" i="12"/>
  <c r="D81" i="12"/>
  <c r="B81" i="12"/>
  <c r="Z80" i="12"/>
  <c r="X80" i="12"/>
  <c r="P80" i="12"/>
  <c r="N80" i="12"/>
  <c r="D80" i="12"/>
  <c r="L80" i="12" s="1"/>
  <c r="B80" i="12"/>
  <c r="Z79" i="12"/>
  <c r="P79" i="12"/>
  <c r="X79" i="12" s="1"/>
  <c r="N79" i="12"/>
  <c r="L79" i="12"/>
  <c r="D79" i="12"/>
  <c r="B79" i="12"/>
  <c r="Z78" i="12"/>
  <c r="P78" i="12"/>
  <c r="X78" i="12" s="1"/>
  <c r="N78" i="12"/>
  <c r="L78" i="12"/>
  <c r="D78" i="12"/>
  <c r="B78" i="12"/>
  <c r="Z77" i="12"/>
  <c r="P77" i="12"/>
  <c r="X77" i="12" s="1"/>
  <c r="N77" i="12"/>
  <c r="L77" i="12"/>
  <c r="D77" i="12"/>
  <c r="B77" i="12"/>
  <c r="Z76" i="12"/>
  <c r="P76" i="12"/>
  <c r="X76" i="12" s="1"/>
  <c r="N76" i="12"/>
  <c r="D76" i="12"/>
  <c r="L76" i="12" s="1"/>
  <c r="B76" i="12"/>
  <c r="Z75" i="12"/>
  <c r="P75" i="12"/>
  <c r="X75" i="12" s="1"/>
  <c r="N75" i="12"/>
  <c r="D75" i="12"/>
  <c r="L75" i="12" s="1"/>
  <c r="B75" i="12"/>
  <c r="Z74" i="12"/>
  <c r="X74" i="12"/>
  <c r="P74" i="12"/>
  <c r="N74" i="12"/>
  <c r="D74" i="12"/>
  <c r="L74" i="12" s="1"/>
  <c r="B74" i="12"/>
  <c r="Z73" i="12"/>
  <c r="P73" i="12"/>
  <c r="X73" i="12" s="1"/>
  <c r="N73" i="12"/>
  <c r="D73" i="12"/>
  <c r="L73" i="12" s="1"/>
  <c r="B73" i="12"/>
  <c r="Z72" i="12"/>
  <c r="X72" i="12"/>
  <c r="P72" i="12"/>
  <c r="N72" i="12"/>
  <c r="D72" i="12"/>
  <c r="L72" i="12" s="1"/>
  <c r="B72" i="12"/>
  <c r="Z71" i="12"/>
  <c r="P71" i="12"/>
  <c r="X71" i="12" s="1"/>
  <c r="N71" i="12"/>
  <c r="L71" i="12"/>
  <c r="D71" i="12"/>
  <c r="B71" i="12"/>
  <c r="Z70" i="12"/>
  <c r="X70" i="12"/>
  <c r="P70" i="12"/>
  <c r="N70" i="12"/>
  <c r="D70" i="12"/>
  <c r="L70" i="12" s="1"/>
  <c r="B70" i="12"/>
  <c r="Z69" i="12"/>
  <c r="X69" i="12"/>
  <c r="P69" i="12"/>
  <c r="N69" i="12"/>
  <c r="L69" i="12"/>
  <c r="D69" i="12"/>
  <c r="B69" i="12"/>
  <c r="Z68" i="12"/>
  <c r="X68" i="12"/>
  <c r="P68" i="12"/>
  <c r="N68" i="12"/>
  <c r="D68" i="12"/>
  <c r="L68" i="12" s="1"/>
  <c r="B68" i="12"/>
  <c r="Z67" i="12"/>
  <c r="P67" i="12"/>
  <c r="X67" i="12" s="1"/>
  <c r="N67" i="12"/>
  <c r="L67" i="12"/>
  <c r="D67" i="12"/>
  <c r="B67" i="12"/>
  <c r="Z66" i="12"/>
  <c r="P66" i="12"/>
  <c r="X66" i="12" s="1"/>
  <c r="N66" i="12"/>
  <c r="L66" i="12"/>
  <c r="D66" i="12"/>
  <c r="B66" i="12"/>
  <c r="Z65" i="12"/>
  <c r="P65" i="12"/>
  <c r="X65" i="12" s="1"/>
  <c r="N65" i="12"/>
  <c r="L65" i="12"/>
  <c r="D65" i="12"/>
  <c r="B65" i="12"/>
  <c r="Z64" i="12"/>
  <c r="P64" i="12"/>
  <c r="X64" i="12" s="1"/>
  <c r="N64" i="12"/>
  <c r="D64" i="12"/>
  <c r="L64" i="12" s="1"/>
  <c r="B64" i="12"/>
  <c r="Z63" i="12"/>
  <c r="P63" i="12"/>
  <c r="X63" i="12" s="1"/>
  <c r="N63" i="12"/>
  <c r="D63" i="12"/>
  <c r="L63" i="12" s="1"/>
  <c r="B63" i="12"/>
  <c r="Z62" i="12"/>
  <c r="X62" i="12"/>
  <c r="P62" i="12"/>
  <c r="N62" i="12"/>
  <c r="D62" i="12"/>
  <c r="L62" i="12" s="1"/>
  <c r="B62" i="12"/>
  <c r="Z61" i="12"/>
  <c r="P61" i="12"/>
  <c r="X61" i="12" s="1"/>
  <c r="N61" i="12"/>
  <c r="D61" i="12"/>
  <c r="L61" i="12" s="1"/>
  <c r="B61" i="12"/>
  <c r="Z60" i="12"/>
  <c r="X60" i="12"/>
  <c r="P60" i="12"/>
  <c r="N60" i="12"/>
  <c r="D60" i="12"/>
  <c r="L60" i="12" s="1"/>
  <c r="B60" i="12"/>
  <c r="Z59" i="12"/>
  <c r="P59" i="12"/>
  <c r="X59" i="12" s="1"/>
  <c r="N59" i="12"/>
  <c r="L59" i="12"/>
  <c r="D59" i="12"/>
  <c r="B59" i="12"/>
  <c r="Z58" i="12"/>
  <c r="X58" i="12"/>
  <c r="P58" i="12"/>
  <c r="N58" i="12"/>
  <c r="D58" i="12"/>
  <c r="L58" i="12" s="1"/>
  <c r="B58" i="12"/>
  <c r="Z57" i="12"/>
  <c r="X57" i="12"/>
  <c r="P57" i="12"/>
  <c r="N57" i="12"/>
  <c r="L57" i="12"/>
  <c r="D57" i="12"/>
  <c r="B57" i="12"/>
  <c r="Z56" i="12"/>
  <c r="X56" i="12"/>
  <c r="P56" i="12"/>
  <c r="N56" i="12"/>
  <c r="D56" i="12"/>
  <c r="L56" i="12" s="1"/>
  <c r="B56" i="12"/>
  <c r="Z55" i="12"/>
  <c r="P55" i="12"/>
  <c r="X55" i="12" s="1"/>
  <c r="N55" i="12"/>
  <c r="L55" i="12"/>
  <c r="D55" i="12"/>
  <c r="B55" i="12"/>
  <c r="Z54" i="12"/>
  <c r="P54" i="12"/>
  <c r="X54" i="12" s="1"/>
  <c r="N54" i="12"/>
  <c r="L54" i="12"/>
  <c r="D54" i="12"/>
  <c r="B54" i="12"/>
  <c r="Z53" i="12"/>
  <c r="P53" i="12"/>
  <c r="X53" i="12" s="1"/>
  <c r="N53" i="12"/>
  <c r="L53" i="12"/>
  <c r="D53" i="12"/>
  <c r="B53" i="12"/>
  <c r="Z52" i="12"/>
  <c r="P52" i="12"/>
  <c r="X52" i="12" s="1"/>
  <c r="N52" i="12"/>
  <c r="D52" i="12"/>
  <c r="L52" i="12" s="1"/>
  <c r="B52" i="12"/>
  <c r="Z51" i="12"/>
  <c r="P51" i="12"/>
  <c r="X51" i="12" s="1"/>
  <c r="N51" i="12"/>
  <c r="D51" i="12"/>
  <c r="L51" i="12" s="1"/>
  <c r="B51" i="12"/>
  <c r="Z50" i="12"/>
  <c r="X50" i="12"/>
  <c r="P50" i="12"/>
  <c r="N50" i="12"/>
  <c r="D50" i="12"/>
  <c r="L50" i="12" s="1"/>
  <c r="B50" i="12"/>
  <c r="Z49" i="12"/>
  <c r="P49" i="12"/>
  <c r="X49" i="12" s="1"/>
  <c r="N49" i="12"/>
  <c r="D49" i="12"/>
  <c r="L49" i="12" s="1"/>
  <c r="B49" i="12"/>
  <c r="Z48" i="12"/>
  <c r="X48" i="12"/>
  <c r="P48" i="12"/>
  <c r="N48" i="12"/>
  <c r="D48" i="12"/>
  <c r="L48" i="12" s="1"/>
  <c r="B48" i="12"/>
  <c r="P47" i="12"/>
  <c r="X47" i="12" s="1"/>
  <c r="Z47" i="12" s="1"/>
  <c r="N47" i="12"/>
  <c r="L47" i="12"/>
  <c r="D47" i="12"/>
  <c r="B47" i="12"/>
  <c r="Z46" i="12"/>
  <c r="X46" i="12"/>
  <c r="P46" i="12"/>
  <c r="N46" i="12"/>
  <c r="D46" i="12"/>
  <c r="L46" i="12" s="1"/>
  <c r="B46" i="12"/>
  <c r="Z45" i="12"/>
  <c r="X45" i="12"/>
  <c r="P45" i="12"/>
  <c r="N45" i="12"/>
  <c r="L45" i="12"/>
  <c r="D45" i="12"/>
  <c r="B45" i="12"/>
  <c r="Z44" i="12"/>
  <c r="X44" i="12"/>
  <c r="P44" i="12"/>
  <c r="N44" i="12"/>
  <c r="D44" i="12"/>
  <c r="L44" i="12" s="1"/>
  <c r="B44" i="12"/>
  <c r="Z43" i="12"/>
  <c r="P43" i="12"/>
  <c r="X43" i="12" s="1"/>
  <c r="N43" i="12"/>
  <c r="L43" i="12"/>
  <c r="D43" i="12"/>
  <c r="B43" i="12"/>
  <c r="Z42" i="12"/>
  <c r="P42" i="12"/>
  <c r="X42" i="12" s="1"/>
  <c r="N42" i="12"/>
  <c r="L42" i="12"/>
  <c r="D42" i="12"/>
  <c r="B42" i="12"/>
  <c r="Z41" i="12"/>
  <c r="P41" i="12"/>
  <c r="X41" i="12" s="1"/>
  <c r="N41" i="12"/>
  <c r="L41" i="12"/>
  <c r="D41" i="12"/>
  <c r="B41" i="12"/>
  <c r="Z40" i="12"/>
  <c r="P40" i="12"/>
  <c r="X40" i="12" s="1"/>
  <c r="N40" i="12"/>
  <c r="D40" i="12"/>
  <c r="L40" i="12" s="1"/>
  <c r="B40" i="12"/>
  <c r="Z39" i="12"/>
  <c r="P39" i="12"/>
  <c r="X39" i="12" s="1"/>
  <c r="N39" i="12"/>
  <c r="D39" i="12"/>
  <c r="L39" i="12" s="1"/>
  <c r="B39" i="12"/>
  <c r="Z38" i="12"/>
  <c r="X38" i="12"/>
  <c r="P38" i="12"/>
  <c r="N38" i="12"/>
  <c r="D38" i="12"/>
  <c r="L38" i="12" s="1"/>
  <c r="B38" i="12"/>
  <c r="Z37" i="12"/>
  <c r="P37" i="12"/>
  <c r="X37" i="12" s="1"/>
  <c r="N37" i="12"/>
  <c r="D37" i="12"/>
  <c r="L37" i="12" s="1"/>
  <c r="B37" i="12"/>
  <c r="Z36" i="12"/>
  <c r="X36" i="12"/>
  <c r="P36" i="12"/>
  <c r="N36" i="12"/>
  <c r="D36" i="12"/>
  <c r="L36" i="12" s="1"/>
  <c r="B36" i="12"/>
  <c r="Z35" i="12"/>
  <c r="P35" i="12"/>
  <c r="X35" i="12" s="1"/>
  <c r="N35" i="12"/>
  <c r="L35" i="12"/>
  <c r="D35" i="12"/>
  <c r="B35" i="12"/>
  <c r="Z34" i="12"/>
  <c r="X34" i="12"/>
  <c r="P34" i="12"/>
  <c r="N34" i="12"/>
  <c r="D34" i="12"/>
  <c r="L34" i="12" s="1"/>
  <c r="B34" i="12"/>
  <c r="Z33" i="12"/>
  <c r="X33" i="12"/>
  <c r="P33" i="12"/>
  <c r="N33" i="12"/>
  <c r="L33" i="12"/>
  <c r="D33" i="12"/>
  <c r="B33" i="12"/>
  <c r="Z32" i="12"/>
  <c r="X32" i="12"/>
  <c r="P32" i="12"/>
  <c r="N32" i="12"/>
  <c r="D32" i="12"/>
  <c r="L32" i="12" s="1"/>
  <c r="B32" i="12"/>
  <c r="Z31" i="12"/>
  <c r="P31" i="12"/>
  <c r="X31" i="12" s="1"/>
  <c r="N31" i="12"/>
  <c r="L31" i="12"/>
  <c r="D31" i="12"/>
  <c r="B31" i="12"/>
  <c r="Z30" i="12"/>
  <c r="P30" i="12"/>
  <c r="X30" i="12" s="1"/>
  <c r="N30" i="12"/>
  <c r="L30" i="12"/>
  <c r="D30" i="12"/>
  <c r="B30" i="12"/>
  <c r="Z29" i="12"/>
  <c r="P29" i="12"/>
  <c r="X29" i="12" s="1"/>
  <c r="N29" i="12"/>
  <c r="L29" i="12"/>
  <c r="D29" i="12"/>
  <c r="B29" i="12"/>
  <c r="Z28" i="12"/>
  <c r="P28" i="12"/>
  <c r="X28" i="12" s="1"/>
  <c r="N28" i="12"/>
  <c r="D28" i="12"/>
  <c r="L28" i="12" s="1"/>
  <c r="B28" i="12"/>
  <c r="Z27" i="12"/>
  <c r="P27" i="12"/>
  <c r="X27" i="12" s="1"/>
  <c r="N27" i="12"/>
  <c r="D27" i="12"/>
  <c r="L27" i="12" s="1"/>
  <c r="B27" i="12"/>
  <c r="Z26" i="12"/>
  <c r="X26" i="12"/>
  <c r="P26" i="12"/>
  <c r="N26" i="12"/>
  <c r="D26" i="12"/>
  <c r="L26" i="12" s="1"/>
  <c r="B26" i="12"/>
  <c r="Z25" i="12"/>
  <c r="P25" i="12"/>
  <c r="X25" i="12" s="1"/>
  <c r="N25" i="12"/>
  <c r="D25" i="12"/>
  <c r="L25" i="12" s="1"/>
  <c r="B25" i="12"/>
  <c r="Z24" i="12"/>
  <c r="X24" i="12"/>
  <c r="P24" i="12"/>
  <c r="N24" i="12"/>
  <c r="D24" i="12"/>
  <c r="L24" i="12" s="1"/>
  <c r="B24" i="12"/>
  <c r="Z23" i="12"/>
  <c r="P23" i="12"/>
  <c r="X23" i="12" s="1"/>
  <c r="N23" i="12"/>
  <c r="L23" i="12"/>
  <c r="D23" i="12"/>
  <c r="B23" i="12"/>
  <c r="Z22" i="12"/>
  <c r="X22" i="12"/>
  <c r="P22" i="12"/>
  <c r="N22" i="12"/>
  <c r="D22" i="12"/>
  <c r="L22" i="12" s="1"/>
  <c r="B22" i="12"/>
  <c r="Z21" i="12"/>
  <c r="X21" i="12"/>
  <c r="P21" i="12"/>
  <c r="N21" i="12"/>
  <c r="L21" i="12"/>
  <c r="D21" i="12"/>
  <c r="B21" i="12"/>
  <c r="Z20" i="12"/>
  <c r="X20" i="12"/>
  <c r="P20" i="12"/>
  <c r="N20" i="12"/>
  <c r="D20" i="12"/>
  <c r="L20" i="12" s="1"/>
  <c r="B20" i="12"/>
  <c r="Z19" i="12"/>
  <c r="P19" i="12"/>
  <c r="X19" i="12" s="1"/>
  <c r="N19" i="12"/>
  <c r="L19" i="12"/>
  <c r="D19" i="12"/>
  <c r="B19" i="12"/>
  <c r="Z18" i="12"/>
  <c r="P18" i="12"/>
  <c r="X18" i="12" s="1"/>
  <c r="N18" i="12"/>
  <c r="L18" i="12"/>
  <c r="D18" i="12"/>
  <c r="B18" i="12"/>
  <c r="Z17" i="12"/>
  <c r="P17" i="12"/>
  <c r="X17" i="12" s="1"/>
  <c r="N17" i="12"/>
  <c r="L17" i="12"/>
  <c r="D17" i="12"/>
  <c r="B17" i="12"/>
  <c r="Z16" i="12"/>
  <c r="P16" i="12"/>
  <c r="X16" i="12" s="1"/>
  <c r="N16" i="12"/>
  <c r="D16" i="12"/>
  <c r="L16" i="12" s="1"/>
  <c r="B16" i="12"/>
  <c r="Z15" i="12"/>
  <c r="P15" i="12"/>
  <c r="N15" i="12"/>
  <c r="D15" i="12"/>
  <c r="L15" i="12" s="1"/>
  <c r="B15" i="12"/>
  <c r="Z14" i="12"/>
  <c r="X14" i="12"/>
  <c r="P14" i="12"/>
  <c r="N14" i="12"/>
  <c r="D14" i="12"/>
  <c r="L14" i="12" s="1"/>
  <c r="B14" i="12"/>
  <c r="P13" i="12"/>
  <c r="X13" i="12" s="1"/>
  <c r="Z13" i="12" s="1"/>
  <c r="D13" i="12"/>
  <c r="B13" i="12"/>
  <c r="T12" i="12"/>
  <c r="H12" i="12"/>
  <c r="J255" i="12" s="1"/>
  <c r="D4" i="12"/>
  <c r="Z100" i="9"/>
  <c r="X100" i="9"/>
  <c r="N100" i="9"/>
  <c r="L100" i="9"/>
  <c r="F98" i="9"/>
  <c r="T96" i="9"/>
  <c r="P96" i="9"/>
  <c r="N96" i="9"/>
  <c r="L96" i="9"/>
  <c r="H96" i="9"/>
  <c r="F96" i="9"/>
  <c r="D96" i="9"/>
  <c r="Z94" i="9"/>
  <c r="X94" i="9"/>
  <c r="N94" i="9"/>
  <c r="L94" i="9"/>
  <c r="B94" i="9"/>
  <c r="X93" i="9"/>
  <c r="Z93" i="9" s="1"/>
  <c r="N93" i="9"/>
  <c r="L93" i="9"/>
  <c r="J93" i="9"/>
  <c r="B93" i="9"/>
  <c r="Z92" i="9"/>
  <c r="X92" i="9"/>
  <c r="T92" i="9"/>
  <c r="P92" i="9"/>
  <c r="H92" i="9"/>
  <c r="D92" i="9"/>
  <c r="B92" i="9"/>
  <c r="X91" i="9"/>
  <c r="Z91" i="9" s="1"/>
  <c r="L91" i="9"/>
  <c r="N91" i="9" s="1"/>
  <c r="B91" i="9"/>
  <c r="T90" i="9"/>
  <c r="P90" i="9"/>
  <c r="X90" i="9" s="1"/>
  <c r="H90" i="9"/>
  <c r="D90" i="9"/>
  <c r="L90" i="9" s="1"/>
  <c r="N90" i="9" s="1"/>
  <c r="B90" i="9"/>
  <c r="X89" i="9"/>
  <c r="Z89" i="9" s="1"/>
  <c r="L89" i="9"/>
  <c r="N89" i="9" s="1"/>
  <c r="B89" i="9"/>
  <c r="X88" i="9"/>
  <c r="Z88" i="9" s="1"/>
  <c r="N88" i="9"/>
  <c r="L88" i="9"/>
  <c r="B88" i="9"/>
  <c r="T87" i="9"/>
  <c r="Z87" i="9" s="1"/>
  <c r="P87" i="9"/>
  <c r="X87" i="9" s="1"/>
  <c r="H87" i="9"/>
  <c r="D87" i="9"/>
  <c r="L87" i="9" s="1"/>
  <c r="B87" i="9"/>
  <c r="Z86" i="9"/>
  <c r="X86" i="9"/>
  <c r="N86" i="9"/>
  <c r="L86" i="9"/>
  <c r="B86" i="9"/>
  <c r="X85" i="9"/>
  <c r="Z85" i="9" s="1"/>
  <c r="N85" i="9"/>
  <c r="L85" i="9"/>
  <c r="J85" i="9"/>
  <c r="B85" i="9"/>
  <c r="Z84" i="9"/>
  <c r="X84" i="9"/>
  <c r="N84" i="9"/>
  <c r="L84" i="9"/>
  <c r="F84" i="9"/>
  <c r="B84" i="9"/>
  <c r="Z83" i="9"/>
  <c r="X83" i="9"/>
  <c r="L83" i="9"/>
  <c r="N83" i="9" s="1"/>
  <c r="F83" i="9"/>
  <c r="B83" i="9"/>
  <c r="T82" i="9"/>
  <c r="P82" i="9"/>
  <c r="N82" i="9"/>
  <c r="L82" i="9"/>
  <c r="H82" i="9"/>
  <c r="F82" i="9"/>
  <c r="D82" i="9"/>
  <c r="B82" i="9"/>
  <c r="Z81" i="9"/>
  <c r="X81" i="9"/>
  <c r="V81" i="9"/>
  <c r="L81" i="9"/>
  <c r="N81" i="9" s="1"/>
  <c r="F81" i="9"/>
  <c r="B81" i="9"/>
  <c r="Z80" i="9"/>
  <c r="X80" i="9"/>
  <c r="L80" i="9"/>
  <c r="N80" i="9" s="1"/>
  <c r="B80" i="9"/>
  <c r="T79" i="9"/>
  <c r="P79" i="9"/>
  <c r="J79" i="9"/>
  <c r="H79" i="9"/>
  <c r="D79" i="9"/>
  <c r="L79" i="9" s="1"/>
  <c r="N79" i="9" s="1"/>
  <c r="B79" i="9"/>
  <c r="Z78" i="9"/>
  <c r="X78" i="9"/>
  <c r="V78" i="9"/>
  <c r="L78" i="9"/>
  <c r="N78" i="9" s="1"/>
  <c r="F78" i="9"/>
  <c r="B78" i="9"/>
  <c r="X77" i="9"/>
  <c r="Z77" i="9" s="1"/>
  <c r="L77" i="9"/>
  <c r="N77" i="9" s="1"/>
  <c r="B77" i="9"/>
  <c r="X76" i="9"/>
  <c r="Z76" i="9" s="1"/>
  <c r="T76" i="9"/>
  <c r="P76" i="9"/>
  <c r="J76" i="9"/>
  <c r="H76" i="9"/>
  <c r="D76" i="9"/>
  <c r="L76" i="9" s="1"/>
  <c r="N76" i="9" s="1"/>
  <c r="B76" i="9"/>
  <c r="Z75" i="9"/>
  <c r="X75" i="9"/>
  <c r="N75" i="9"/>
  <c r="L75" i="9"/>
  <c r="F75" i="9"/>
  <c r="B75" i="9"/>
  <c r="X74" i="9"/>
  <c r="Z74" i="9" s="1"/>
  <c r="N74" i="9"/>
  <c r="L74" i="9"/>
  <c r="B74" i="9"/>
  <c r="X73" i="9"/>
  <c r="Z73" i="9" s="1"/>
  <c r="N73" i="9"/>
  <c r="L73" i="9"/>
  <c r="J73" i="9"/>
  <c r="B73" i="9"/>
  <c r="Z72" i="9"/>
  <c r="X72" i="9"/>
  <c r="N72" i="9"/>
  <c r="L72" i="9"/>
  <c r="F72" i="9"/>
  <c r="B72" i="9"/>
  <c r="Z71" i="9"/>
  <c r="T71" i="9"/>
  <c r="P71" i="9"/>
  <c r="X71" i="9" s="1"/>
  <c r="L71" i="9"/>
  <c r="N71" i="9" s="1"/>
  <c r="H71" i="9"/>
  <c r="F71" i="9"/>
  <c r="D71" i="9"/>
  <c r="B71" i="9"/>
  <c r="Z70" i="9"/>
  <c r="X70" i="9"/>
  <c r="N70" i="9"/>
  <c r="L70" i="9"/>
  <c r="J70" i="9"/>
  <c r="B70" i="9"/>
  <c r="Z69" i="9"/>
  <c r="X69" i="9"/>
  <c r="V69" i="9"/>
  <c r="L69" i="9"/>
  <c r="N69" i="9" s="1"/>
  <c r="F69" i="9"/>
  <c r="B69" i="9"/>
  <c r="Z68" i="9"/>
  <c r="X68" i="9"/>
  <c r="L68" i="9"/>
  <c r="N68" i="9" s="1"/>
  <c r="B68" i="9"/>
  <c r="X67" i="9"/>
  <c r="Z67" i="9" s="1"/>
  <c r="N67" i="9"/>
  <c r="L67" i="9"/>
  <c r="F67" i="9"/>
  <c r="B67" i="9"/>
  <c r="T66" i="9"/>
  <c r="Z66" i="9" s="1"/>
  <c r="P66" i="9"/>
  <c r="X66" i="9" s="1"/>
  <c r="H66" i="9"/>
  <c r="F66" i="9"/>
  <c r="D66" i="9"/>
  <c r="L66" i="9" s="1"/>
  <c r="N66" i="9" s="1"/>
  <c r="B66" i="9"/>
  <c r="Z65" i="9"/>
  <c r="X65" i="9"/>
  <c r="N65" i="9"/>
  <c r="L65" i="9"/>
  <c r="B65" i="9"/>
  <c r="Z64" i="9"/>
  <c r="X64" i="9"/>
  <c r="N64" i="9"/>
  <c r="L64" i="9"/>
  <c r="B64" i="9"/>
  <c r="Z63" i="9"/>
  <c r="X63" i="9"/>
  <c r="N63" i="9"/>
  <c r="L63" i="9"/>
  <c r="F63" i="9"/>
  <c r="B63" i="9"/>
  <c r="Z62" i="9"/>
  <c r="V62" i="9"/>
  <c r="T62" i="9"/>
  <c r="P62" i="9"/>
  <c r="X62" i="9" s="1"/>
  <c r="N62" i="9"/>
  <c r="L62" i="9"/>
  <c r="H62" i="9"/>
  <c r="F62" i="9"/>
  <c r="D62" i="9"/>
  <c r="B62" i="9"/>
  <c r="X61" i="9"/>
  <c r="Z61" i="9" s="1"/>
  <c r="N61" i="9"/>
  <c r="L61" i="9"/>
  <c r="J61" i="9"/>
  <c r="B61" i="9"/>
  <c r="Z60" i="9"/>
  <c r="X60" i="9"/>
  <c r="T60" i="9"/>
  <c r="P60" i="9"/>
  <c r="H60" i="9"/>
  <c r="D60" i="9"/>
  <c r="B60" i="9"/>
  <c r="X59" i="9"/>
  <c r="Z59" i="9" s="1"/>
  <c r="N59" i="9"/>
  <c r="L59" i="9"/>
  <c r="F59" i="9"/>
  <c r="B59" i="9"/>
  <c r="T58" i="9"/>
  <c r="P58" i="9"/>
  <c r="X58" i="9" s="1"/>
  <c r="H58" i="9"/>
  <c r="F58" i="9"/>
  <c r="D58" i="9"/>
  <c r="L58" i="9" s="1"/>
  <c r="N58" i="9" s="1"/>
  <c r="B58" i="9"/>
  <c r="X57" i="9"/>
  <c r="Z57" i="9" s="1"/>
  <c r="L57" i="9"/>
  <c r="N57" i="9" s="1"/>
  <c r="B57" i="9"/>
  <c r="X56" i="9"/>
  <c r="Z56" i="9" s="1"/>
  <c r="T56" i="9"/>
  <c r="P56" i="9"/>
  <c r="J56" i="9"/>
  <c r="H56" i="9"/>
  <c r="D56" i="9"/>
  <c r="L56" i="9" s="1"/>
  <c r="N56" i="9" s="1"/>
  <c r="B56" i="9"/>
  <c r="Z55" i="9"/>
  <c r="X55" i="9"/>
  <c r="L55" i="9"/>
  <c r="N55" i="9" s="1"/>
  <c r="F55" i="9"/>
  <c r="B55" i="9"/>
  <c r="T54" i="9"/>
  <c r="P54" i="9"/>
  <c r="N54" i="9"/>
  <c r="L54" i="9"/>
  <c r="H54" i="9"/>
  <c r="F54" i="9"/>
  <c r="D54" i="9"/>
  <c r="B54" i="9"/>
  <c r="Z53" i="9"/>
  <c r="X53" i="9"/>
  <c r="V53" i="9"/>
  <c r="L53" i="9"/>
  <c r="N53" i="9" s="1"/>
  <c r="F53" i="9"/>
  <c r="B53" i="9"/>
  <c r="T52" i="9"/>
  <c r="P52" i="9"/>
  <c r="X52" i="9" s="1"/>
  <c r="Z52" i="9" s="1"/>
  <c r="H52" i="9"/>
  <c r="N52" i="9" s="1"/>
  <c r="F52" i="9"/>
  <c r="D52" i="9"/>
  <c r="L52" i="9" s="1"/>
  <c r="B52" i="9"/>
  <c r="X51" i="9"/>
  <c r="Z51" i="9" s="1"/>
  <c r="N51" i="9"/>
  <c r="L51" i="9"/>
  <c r="F51" i="9"/>
  <c r="B51" i="9"/>
  <c r="V50" i="9"/>
  <c r="T50" i="9"/>
  <c r="P50" i="9"/>
  <c r="X50" i="9" s="1"/>
  <c r="Z50" i="9" s="1"/>
  <c r="L50" i="9"/>
  <c r="N50" i="9" s="1"/>
  <c r="H50" i="9"/>
  <c r="F50" i="9"/>
  <c r="D50" i="9"/>
  <c r="B50" i="9"/>
  <c r="X49" i="9"/>
  <c r="Z49" i="9" s="1"/>
  <c r="N49" i="9"/>
  <c r="L49" i="9"/>
  <c r="J49" i="9"/>
  <c r="B49" i="9"/>
  <c r="Z48" i="9"/>
  <c r="X48" i="9"/>
  <c r="T48" i="9"/>
  <c r="P48" i="9"/>
  <c r="H48" i="9"/>
  <c r="D48" i="9"/>
  <c r="B48" i="9"/>
  <c r="X47" i="9"/>
  <c r="Z47" i="9" s="1"/>
  <c r="L47" i="9"/>
  <c r="N47" i="9" s="1"/>
  <c r="F47" i="9"/>
  <c r="B47" i="9"/>
  <c r="T46" i="9"/>
  <c r="Z46" i="9" s="1"/>
  <c r="P46" i="9"/>
  <c r="X46" i="9" s="1"/>
  <c r="H46" i="9"/>
  <c r="F46" i="9"/>
  <c r="D46" i="9"/>
  <c r="L46" i="9" s="1"/>
  <c r="N46" i="9" s="1"/>
  <c r="B46" i="9"/>
  <c r="X45" i="9"/>
  <c r="Z45" i="9" s="1"/>
  <c r="L45" i="9"/>
  <c r="N45" i="9" s="1"/>
  <c r="B45" i="9"/>
  <c r="X44" i="9"/>
  <c r="Z44" i="9" s="1"/>
  <c r="T44" i="9"/>
  <c r="P44" i="9"/>
  <c r="J44" i="9"/>
  <c r="H44" i="9"/>
  <c r="D44" i="9"/>
  <c r="L44" i="9" s="1"/>
  <c r="N44" i="9" s="1"/>
  <c r="B44" i="9"/>
  <c r="Z43" i="9"/>
  <c r="X43" i="9"/>
  <c r="L43" i="9"/>
  <c r="N43" i="9" s="1"/>
  <c r="F43" i="9"/>
  <c r="B43" i="9"/>
  <c r="T42" i="9"/>
  <c r="P42" i="9"/>
  <c r="N42" i="9"/>
  <c r="L42" i="9"/>
  <c r="H42" i="9"/>
  <c r="F42" i="9"/>
  <c r="D42" i="9"/>
  <c r="B42" i="9"/>
  <c r="Z41" i="9"/>
  <c r="X41" i="9"/>
  <c r="V41" i="9"/>
  <c r="N41" i="9"/>
  <c r="L41" i="9"/>
  <c r="F41" i="9"/>
  <c r="B41" i="9"/>
  <c r="Z40" i="9"/>
  <c r="X40" i="9"/>
  <c r="N40" i="9"/>
  <c r="L40" i="9"/>
  <c r="B40" i="9"/>
  <c r="X39" i="9"/>
  <c r="Z39" i="9" s="1"/>
  <c r="N39" i="9"/>
  <c r="L39" i="9"/>
  <c r="F39" i="9"/>
  <c r="B39" i="9"/>
  <c r="X38" i="9"/>
  <c r="Z38" i="9" s="1"/>
  <c r="N38" i="9"/>
  <c r="L38" i="9"/>
  <c r="J38" i="9"/>
  <c r="B38" i="9"/>
  <c r="Z37" i="9"/>
  <c r="X37" i="9"/>
  <c r="V37" i="9"/>
  <c r="N37" i="9"/>
  <c r="L37" i="9"/>
  <c r="F37" i="9"/>
  <c r="B37" i="9"/>
  <c r="Z36" i="9"/>
  <c r="X36" i="9"/>
  <c r="L36" i="9"/>
  <c r="N36" i="9" s="1"/>
  <c r="B36" i="9"/>
  <c r="X35" i="9"/>
  <c r="Z35" i="9" s="1"/>
  <c r="L35" i="9"/>
  <c r="N35" i="9" s="1"/>
  <c r="F35" i="9"/>
  <c r="B35" i="9"/>
  <c r="Z34" i="9"/>
  <c r="X34" i="9"/>
  <c r="N34" i="9"/>
  <c r="L34" i="9"/>
  <c r="J34" i="9"/>
  <c r="B34" i="9"/>
  <c r="Z33" i="9"/>
  <c r="X33" i="9"/>
  <c r="V33" i="9"/>
  <c r="L33" i="9"/>
  <c r="N33" i="9" s="1"/>
  <c r="F33" i="9"/>
  <c r="B33" i="9"/>
  <c r="Z32" i="9"/>
  <c r="X32" i="9"/>
  <c r="L32" i="9"/>
  <c r="N32" i="9" s="1"/>
  <c r="B32" i="9"/>
  <c r="T31" i="9"/>
  <c r="P31" i="9"/>
  <c r="J31" i="9"/>
  <c r="H31" i="9"/>
  <c r="D31" i="9"/>
  <c r="L31" i="9" s="1"/>
  <c r="N31" i="9" s="1"/>
  <c r="B31" i="9"/>
  <c r="Z30" i="9"/>
  <c r="X30" i="9"/>
  <c r="V30" i="9"/>
  <c r="L30" i="9"/>
  <c r="N30" i="9" s="1"/>
  <c r="F30" i="9"/>
  <c r="B30" i="9"/>
  <c r="X29" i="9"/>
  <c r="Z29" i="9" s="1"/>
  <c r="L29" i="9"/>
  <c r="N29" i="9" s="1"/>
  <c r="B29" i="9"/>
  <c r="X28" i="9"/>
  <c r="Z28" i="9" s="1"/>
  <c r="N28" i="9"/>
  <c r="L28" i="9"/>
  <c r="B28" i="9"/>
  <c r="X27" i="9"/>
  <c r="Z27" i="9" s="1"/>
  <c r="V27" i="9"/>
  <c r="N27" i="9"/>
  <c r="L27" i="9"/>
  <c r="F27" i="9"/>
  <c r="B27" i="9"/>
  <c r="Z26" i="9"/>
  <c r="X26" i="9"/>
  <c r="V26" i="9"/>
  <c r="N26" i="9"/>
  <c r="L26" i="9"/>
  <c r="F26" i="9"/>
  <c r="B26" i="9"/>
  <c r="X25" i="9"/>
  <c r="Z25" i="9" s="1"/>
  <c r="L25" i="9"/>
  <c r="N25" i="9" s="1"/>
  <c r="B25" i="9"/>
  <c r="X24" i="9"/>
  <c r="Z24" i="9" s="1"/>
  <c r="N24" i="9"/>
  <c r="L24" i="9"/>
  <c r="B24" i="9"/>
  <c r="X23" i="9"/>
  <c r="Z23" i="9" s="1"/>
  <c r="V23" i="9"/>
  <c r="N23" i="9"/>
  <c r="L23" i="9"/>
  <c r="F23" i="9"/>
  <c r="B23" i="9"/>
  <c r="Z22" i="9"/>
  <c r="X22" i="9"/>
  <c r="V22" i="9"/>
  <c r="L22" i="9"/>
  <c r="N22" i="9" s="1"/>
  <c r="F22" i="9"/>
  <c r="B22" i="9"/>
  <c r="X21" i="9"/>
  <c r="Z21" i="9" s="1"/>
  <c r="L21" i="9"/>
  <c r="N21" i="9" s="1"/>
  <c r="B21" i="9"/>
  <c r="X20" i="9"/>
  <c r="Z20" i="9" s="1"/>
  <c r="N20" i="9"/>
  <c r="L20" i="9"/>
  <c r="J20" i="9"/>
  <c r="B20" i="9"/>
  <c r="V19" i="9"/>
  <c r="T19" i="9"/>
  <c r="Z19" i="9" s="1"/>
  <c r="P19" i="9"/>
  <c r="X19" i="9" s="1"/>
  <c r="H19" i="9"/>
  <c r="N19" i="9" s="1"/>
  <c r="D19" i="9"/>
  <c r="L19" i="9" s="1"/>
  <c r="B19" i="9"/>
  <c r="T18" i="9"/>
  <c r="P18" i="9"/>
  <c r="J18" i="9"/>
  <c r="H18" i="9"/>
  <c r="F18" i="9"/>
  <c r="D18" i="9"/>
  <c r="L18" i="9" s="1"/>
  <c r="N18" i="9" s="1"/>
  <c r="T16" i="9"/>
  <c r="Z16" i="9" s="1"/>
  <c r="J16" i="9"/>
  <c r="F16" i="9"/>
  <c r="T14" i="9"/>
  <c r="P14" i="9"/>
  <c r="N14" i="9"/>
  <c r="J14" i="9"/>
  <c r="H14" i="9"/>
  <c r="F14" i="9"/>
  <c r="D14" i="9"/>
  <c r="L14" i="9" s="1"/>
  <c r="T12" i="9"/>
  <c r="V83" i="9" s="1"/>
  <c r="P12" i="9"/>
  <c r="R35" i="9" s="1"/>
  <c r="H12" i="9"/>
  <c r="J63" i="9" s="1"/>
  <c r="D12" i="9"/>
  <c r="F80" i="9" s="1"/>
  <c r="D4" i="9"/>
  <c r="V31" i="6"/>
  <c r="V29" i="6"/>
  <c r="T29" i="6"/>
  <c r="R29" i="6"/>
  <c r="P29" i="6"/>
  <c r="H29" i="6"/>
  <c r="N29" i="6" s="1"/>
  <c r="D29" i="6"/>
  <c r="L29" i="6" s="1"/>
  <c r="V28" i="6"/>
  <c r="T28" i="6"/>
  <c r="P28" i="6"/>
  <c r="H28" i="6"/>
  <c r="D28" i="6"/>
  <c r="L28" i="6" s="1"/>
  <c r="V26" i="6"/>
  <c r="R26" i="6"/>
  <c r="Z24" i="6"/>
  <c r="X24" i="6"/>
  <c r="V24" i="6"/>
  <c r="N24" i="6"/>
  <c r="L24" i="6"/>
  <c r="F24" i="6"/>
  <c r="J22" i="6"/>
  <c r="T20" i="6"/>
  <c r="P20" i="6"/>
  <c r="N20" i="6"/>
  <c r="J20" i="6"/>
  <c r="H20" i="6"/>
  <c r="D20" i="6"/>
  <c r="L20" i="6" s="1"/>
  <c r="T18" i="6"/>
  <c r="P18" i="6"/>
  <c r="N18" i="6"/>
  <c r="J18" i="6"/>
  <c r="H18" i="6"/>
  <c r="D18" i="6"/>
  <c r="L18" i="6" s="1"/>
  <c r="J16" i="6"/>
  <c r="T14" i="6"/>
  <c r="P14" i="6"/>
  <c r="N14" i="6"/>
  <c r="J14" i="6"/>
  <c r="H14" i="6"/>
  <c r="D14" i="6"/>
  <c r="D16" i="6" s="1"/>
  <c r="T12" i="6"/>
  <c r="Z12" i="6" s="1"/>
  <c r="P12" i="6"/>
  <c r="R31" i="6" s="1"/>
  <c r="H12" i="6"/>
  <c r="J24" i="6" s="1"/>
  <c r="D12" i="6"/>
  <c r="F22" i="6" s="1"/>
  <c r="D4" i="6"/>
  <c r="Z308" i="3"/>
  <c r="T308" i="3"/>
  <c r="X308" i="3" s="1"/>
  <c r="P308" i="3"/>
  <c r="L308" i="3"/>
  <c r="H308" i="3"/>
  <c r="D308" i="3"/>
  <c r="Z307" i="3"/>
  <c r="V307" i="3"/>
  <c r="T307" i="3"/>
  <c r="X307" i="3" s="1"/>
  <c r="P307" i="3"/>
  <c r="L307" i="3"/>
  <c r="H307" i="3"/>
  <c r="D307" i="3"/>
  <c r="Z303" i="3"/>
  <c r="X303" i="3"/>
  <c r="N303" i="3"/>
  <c r="L303" i="3"/>
  <c r="Z299" i="3"/>
  <c r="X299" i="3"/>
  <c r="P299" i="3"/>
  <c r="N299" i="3"/>
  <c r="L299" i="3"/>
  <c r="D299" i="3"/>
  <c r="B299" i="3"/>
  <c r="Z298" i="3"/>
  <c r="X298" i="3"/>
  <c r="P298" i="3"/>
  <c r="N298" i="3"/>
  <c r="J298" i="3"/>
  <c r="D298" i="3"/>
  <c r="L298" i="3" s="1"/>
  <c r="B298" i="3"/>
  <c r="Z297" i="3"/>
  <c r="X297" i="3"/>
  <c r="P297" i="3"/>
  <c r="N297" i="3"/>
  <c r="L297" i="3"/>
  <c r="D297" i="3"/>
  <c r="B297" i="3"/>
  <c r="V296" i="3"/>
  <c r="P296" i="3"/>
  <c r="X296" i="3" s="1"/>
  <c r="Z296" i="3" s="1"/>
  <c r="D296" i="3"/>
  <c r="L296" i="3" s="1"/>
  <c r="N296" i="3" s="1"/>
  <c r="B296" i="3"/>
  <c r="P295" i="3"/>
  <c r="X295" i="3" s="1"/>
  <c r="Z295" i="3" s="1"/>
  <c r="D295" i="3"/>
  <c r="L295" i="3" s="1"/>
  <c r="N295" i="3" s="1"/>
  <c r="B295" i="3"/>
  <c r="Z294" i="3"/>
  <c r="X294" i="3"/>
  <c r="P294" i="3"/>
  <c r="N294" i="3"/>
  <c r="L294" i="3"/>
  <c r="D294" i="3"/>
  <c r="B294" i="3"/>
  <c r="Z293" i="3"/>
  <c r="X293" i="3"/>
  <c r="P293" i="3"/>
  <c r="N293" i="3"/>
  <c r="L293" i="3"/>
  <c r="D293" i="3"/>
  <c r="B293" i="3"/>
  <c r="Z292" i="3"/>
  <c r="X292" i="3"/>
  <c r="P292" i="3"/>
  <c r="N292" i="3"/>
  <c r="L292" i="3"/>
  <c r="D292" i="3"/>
  <c r="B292" i="3"/>
  <c r="Z291" i="3"/>
  <c r="P291" i="3"/>
  <c r="N291" i="3"/>
  <c r="D291" i="3"/>
  <c r="L291" i="3" s="1"/>
  <c r="B291" i="3"/>
  <c r="Z290" i="3"/>
  <c r="X290" i="3"/>
  <c r="P290" i="3"/>
  <c r="N290" i="3"/>
  <c r="D290" i="3"/>
  <c r="L290" i="3" s="1"/>
  <c r="B290" i="3"/>
  <c r="T289" i="3"/>
  <c r="H289" i="3"/>
  <c r="D289" i="3"/>
  <c r="L289" i="3" s="1"/>
  <c r="N289" i="3" s="1"/>
  <c r="X287" i="3"/>
  <c r="Z287" i="3" s="1"/>
  <c r="N287" i="3"/>
  <c r="L287" i="3"/>
  <c r="B287" i="3"/>
  <c r="Z286" i="3"/>
  <c r="X286" i="3"/>
  <c r="T286" i="3"/>
  <c r="P286" i="3"/>
  <c r="H286" i="3"/>
  <c r="D286" i="3"/>
  <c r="B286" i="3"/>
  <c r="Z285" i="3"/>
  <c r="X285" i="3"/>
  <c r="N285" i="3"/>
  <c r="L285" i="3"/>
  <c r="B285" i="3"/>
  <c r="X284" i="3"/>
  <c r="Z284" i="3" s="1"/>
  <c r="N284" i="3"/>
  <c r="L284" i="3"/>
  <c r="B284" i="3"/>
  <c r="Z283" i="3"/>
  <c r="X283" i="3"/>
  <c r="L283" i="3"/>
  <c r="N283" i="3" s="1"/>
  <c r="B283" i="3"/>
  <c r="T282" i="3"/>
  <c r="P282" i="3"/>
  <c r="H282" i="3"/>
  <c r="D282" i="3"/>
  <c r="B282" i="3"/>
  <c r="Z281" i="3"/>
  <c r="X281" i="3"/>
  <c r="N281" i="3"/>
  <c r="L281" i="3"/>
  <c r="B281" i="3"/>
  <c r="T280" i="3"/>
  <c r="P280" i="3"/>
  <c r="H280" i="3"/>
  <c r="D280" i="3"/>
  <c r="L280" i="3" s="1"/>
  <c r="N280" i="3" s="1"/>
  <c r="B280" i="3"/>
  <c r="X279" i="3"/>
  <c r="Z279" i="3" s="1"/>
  <c r="V279" i="3"/>
  <c r="N279" i="3"/>
  <c r="L279" i="3"/>
  <c r="B279" i="3"/>
  <c r="Z278" i="3"/>
  <c r="X278" i="3"/>
  <c r="L278" i="3"/>
  <c r="N278" i="3" s="1"/>
  <c r="B278" i="3"/>
  <c r="T277" i="3"/>
  <c r="P277" i="3"/>
  <c r="H277" i="3"/>
  <c r="N277" i="3" s="1"/>
  <c r="D277" i="3"/>
  <c r="L277" i="3" s="1"/>
  <c r="B277" i="3"/>
  <c r="X276" i="3"/>
  <c r="Z276" i="3" s="1"/>
  <c r="N276" i="3"/>
  <c r="L276" i="3"/>
  <c r="B276" i="3"/>
  <c r="Z275" i="3"/>
  <c r="X275" i="3"/>
  <c r="L275" i="3"/>
  <c r="N275" i="3" s="1"/>
  <c r="B275" i="3"/>
  <c r="X274" i="3"/>
  <c r="Z274" i="3" s="1"/>
  <c r="N274" i="3"/>
  <c r="L274" i="3"/>
  <c r="B274" i="3"/>
  <c r="X273" i="3"/>
  <c r="Z273" i="3" s="1"/>
  <c r="N273" i="3"/>
  <c r="L273" i="3"/>
  <c r="B273" i="3"/>
  <c r="X272" i="3"/>
  <c r="Z272" i="3" s="1"/>
  <c r="N272" i="3"/>
  <c r="L272" i="3"/>
  <c r="B272" i="3"/>
  <c r="Z271" i="3"/>
  <c r="X271" i="3"/>
  <c r="L271" i="3"/>
  <c r="N271" i="3" s="1"/>
  <c r="B271" i="3"/>
  <c r="X270" i="3"/>
  <c r="Z270" i="3" s="1"/>
  <c r="L270" i="3"/>
  <c r="N270" i="3" s="1"/>
  <c r="B270" i="3"/>
  <c r="X269" i="3"/>
  <c r="Z269" i="3" s="1"/>
  <c r="N269" i="3"/>
  <c r="L269" i="3"/>
  <c r="B269" i="3"/>
  <c r="X268" i="3"/>
  <c r="Z268" i="3" s="1"/>
  <c r="N268" i="3"/>
  <c r="L268" i="3"/>
  <c r="B268" i="3"/>
  <c r="Z267" i="3"/>
  <c r="X267" i="3"/>
  <c r="L267" i="3"/>
  <c r="N267" i="3" s="1"/>
  <c r="B267" i="3"/>
  <c r="T266" i="3"/>
  <c r="P266" i="3"/>
  <c r="X266" i="3" s="1"/>
  <c r="H266" i="3"/>
  <c r="D266" i="3"/>
  <c r="L266" i="3" s="1"/>
  <c r="B266" i="3"/>
  <c r="Z265" i="3"/>
  <c r="X265" i="3"/>
  <c r="N265" i="3"/>
  <c r="L265" i="3"/>
  <c r="B265" i="3"/>
  <c r="Z264" i="3"/>
  <c r="X264" i="3"/>
  <c r="L264" i="3"/>
  <c r="N264" i="3" s="1"/>
  <c r="B264" i="3"/>
  <c r="X263" i="3"/>
  <c r="T263" i="3"/>
  <c r="P263" i="3"/>
  <c r="N263" i="3"/>
  <c r="J263" i="3"/>
  <c r="H263" i="3"/>
  <c r="L263" i="3" s="1"/>
  <c r="D263" i="3"/>
  <c r="B263" i="3"/>
  <c r="X262" i="3"/>
  <c r="Z262" i="3" s="1"/>
  <c r="L262" i="3"/>
  <c r="N262" i="3" s="1"/>
  <c r="B262" i="3"/>
  <c r="Z261" i="3"/>
  <c r="X261" i="3"/>
  <c r="L261" i="3"/>
  <c r="N261" i="3" s="1"/>
  <c r="B261" i="3"/>
  <c r="X260" i="3"/>
  <c r="Z260" i="3" s="1"/>
  <c r="L260" i="3"/>
  <c r="N260" i="3" s="1"/>
  <c r="B260" i="3"/>
  <c r="Z259" i="3"/>
  <c r="X259" i="3"/>
  <c r="N259" i="3"/>
  <c r="L259" i="3"/>
  <c r="B259" i="3"/>
  <c r="Z258" i="3"/>
  <c r="X258" i="3"/>
  <c r="L258" i="3"/>
  <c r="N258" i="3" s="1"/>
  <c r="B258" i="3"/>
  <c r="Z257" i="3"/>
  <c r="X257" i="3"/>
  <c r="N257" i="3"/>
  <c r="L257" i="3"/>
  <c r="B257" i="3"/>
  <c r="X256" i="3"/>
  <c r="T256" i="3"/>
  <c r="P256" i="3"/>
  <c r="J256" i="3"/>
  <c r="H256" i="3"/>
  <c r="D256" i="3"/>
  <c r="L256" i="3" s="1"/>
  <c r="N256" i="3" s="1"/>
  <c r="B256" i="3"/>
  <c r="Z255" i="3"/>
  <c r="X255" i="3"/>
  <c r="L255" i="3"/>
  <c r="N255" i="3" s="1"/>
  <c r="B255" i="3"/>
  <c r="X254" i="3"/>
  <c r="Z254" i="3" s="1"/>
  <c r="L254" i="3"/>
  <c r="N254" i="3" s="1"/>
  <c r="B254" i="3"/>
  <c r="X253" i="3"/>
  <c r="Z253" i="3" s="1"/>
  <c r="N253" i="3"/>
  <c r="L253" i="3"/>
  <c r="B253" i="3"/>
  <c r="X252" i="3"/>
  <c r="Z252" i="3" s="1"/>
  <c r="N252" i="3"/>
  <c r="L252" i="3"/>
  <c r="B252" i="3"/>
  <c r="T251" i="3"/>
  <c r="P251" i="3"/>
  <c r="X251" i="3" s="1"/>
  <c r="Z251" i="3" s="1"/>
  <c r="H251" i="3"/>
  <c r="D251" i="3"/>
  <c r="L251" i="3" s="1"/>
  <c r="N251" i="3" s="1"/>
  <c r="B251" i="3"/>
  <c r="X250" i="3"/>
  <c r="Z250" i="3" s="1"/>
  <c r="N250" i="3"/>
  <c r="L250" i="3"/>
  <c r="B250" i="3"/>
  <c r="Z249" i="3"/>
  <c r="X249" i="3"/>
  <c r="N249" i="3"/>
  <c r="L249" i="3"/>
  <c r="B249" i="3"/>
  <c r="Z248" i="3"/>
  <c r="X248" i="3"/>
  <c r="N248" i="3"/>
  <c r="L248" i="3"/>
  <c r="B248" i="3"/>
  <c r="X247" i="3"/>
  <c r="Z247" i="3" s="1"/>
  <c r="L247" i="3"/>
  <c r="N247" i="3" s="1"/>
  <c r="B247" i="3"/>
  <c r="T246" i="3"/>
  <c r="P246" i="3"/>
  <c r="X246" i="3" s="1"/>
  <c r="Z246" i="3" s="1"/>
  <c r="H246" i="3"/>
  <c r="D246" i="3"/>
  <c r="B246" i="3"/>
  <c r="Z245" i="3"/>
  <c r="X245" i="3"/>
  <c r="N245" i="3"/>
  <c r="L245" i="3"/>
  <c r="B245" i="3"/>
  <c r="X244" i="3"/>
  <c r="Z244" i="3" s="1"/>
  <c r="T244" i="3"/>
  <c r="P244" i="3"/>
  <c r="H244" i="3"/>
  <c r="D244" i="3"/>
  <c r="L244" i="3" s="1"/>
  <c r="N244" i="3" s="1"/>
  <c r="B244" i="3"/>
  <c r="X243" i="3"/>
  <c r="Z243" i="3" s="1"/>
  <c r="V243" i="3"/>
  <c r="N243" i="3"/>
  <c r="L243" i="3"/>
  <c r="B243" i="3"/>
  <c r="T242" i="3"/>
  <c r="P242" i="3"/>
  <c r="X242" i="3" s="1"/>
  <c r="Z242" i="3" s="1"/>
  <c r="N242" i="3"/>
  <c r="L242" i="3"/>
  <c r="H242" i="3"/>
  <c r="D242" i="3"/>
  <c r="B242" i="3"/>
  <c r="Z241" i="3"/>
  <c r="X241" i="3"/>
  <c r="L241" i="3"/>
  <c r="N241" i="3" s="1"/>
  <c r="B241" i="3"/>
  <c r="T240" i="3"/>
  <c r="P240" i="3"/>
  <c r="L240" i="3"/>
  <c r="J240" i="3"/>
  <c r="H240" i="3"/>
  <c r="N240" i="3" s="1"/>
  <c r="D240" i="3"/>
  <c r="B240" i="3"/>
  <c r="X239" i="3"/>
  <c r="Z239" i="3" s="1"/>
  <c r="L239" i="3"/>
  <c r="N239" i="3" s="1"/>
  <c r="J239" i="3"/>
  <c r="B239" i="3"/>
  <c r="X238" i="3"/>
  <c r="T238" i="3"/>
  <c r="Z238" i="3" s="1"/>
  <c r="P238" i="3"/>
  <c r="H238" i="3"/>
  <c r="N238" i="3" s="1"/>
  <c r="D238" i="3"/>
  <c r="L238" i="3" s="1"/>
  <c r="B238" i="3"/>
  <c r="Z237" i="3"/>
  <c r="X237" i="3"/>
  <c r="N237" i="3"/>
  <c r="L237" i="3"/>
  <c r="B237" i="3"/>
  <c r="Z236" i="3"/>
  <c r="X236" i="3"/>
  <c r="T236" i="3"/>
  <c r="P236" i="3"/>
  <c r="H236" i="3"/>
  <c r="D236" i="3"/>
  <c r="L236" i="3" s="1"/>
  <c r="N236" i="3" s="1"/>
  <c r="B236" i="3"/>
  <c r="Z235" i="3"/>
  <c r="X235" i="3"/>
  <c r="L235" i="3"/>
  <c r="N235" i="3" s="1"/>
  <c r="B235" i="3"/>
  <c r="X234" i="3"/>
  <c r="V234" i="3"/>
  <c r="T234" i="3"/>
  <c r="Z234" i="3" s="1"/>
  <c r="P234" i="3"/>
  <c r="H234" i="3"/>
  <c r="N234" i="3" s="1"/>
  <c r="D234" i="3"/>
  <c r="L234" i="3" s="1"/>
  <c r="B234" i="3"/>
  <c r="X233" i="3"/>
  <c r="Z233" i="3" s="1"/>
  <c r="N233" i="3"/>
  <c r="L233" i="3"/>
  <c r="B233" i="3"/>
  <c r="X232" i="3"/>
  <c r="Z232" i="3" s="1"/>
  <c r="N232" i="3"/>
  <c r="L232" i="3"/>
  <c r="B232" i="3"/>
  <c r="X231" i="3"/>
  <c r="T231" i="3"/>
  <c r="Z231" i="3" s="1"/>
  <c r="P231" i="3"/>
  <c r="L231" i="3"/>
  <c r="N231" i="3" s="1"/>
  <c r="H231" i="3"/>
  <c r="D231" i="3"/>
  <c r="B231" i="3"/>
  <c r="Z230" i="3"/>
  <c r="X230" i="3"/>
  <c r="L230" i="3"/>
  <c r="N230" i="3" s="1"/>
  <c r="J230" i="3"/>
  <c r="B230" i="3"/>
  <c r="Z229" i="3"/>
  <c r="X229" i="3"/>
  <c r="N229" i="3"/>
  <c r="L229" i="3"/>
  <c r="B229" i="3"/>
  <c r="Z228" i="3"/>
  <c r="X228" i="3"/>
  <c r="T228" i="3"/>
  <c r="P228" i="3"/>
  <c r="H228" i="3"/>
  <c r="D228" i="3"/>
  <c r="L228" i="3" s="1"/>
  <c r="N228" i="3" s="1"/>
  <c r="B228" i="3"/>
  <c r="Z227" i="3"/>
  <c r="X227" i="3"/>
  <c r="L227" i="3"/>
  <c r="N227" i="3" s="1"/>
  <c r="B227" i="3"/>
  <c r="X226" i="3"/>
  <c r="V226" i="3"/>
  <c r="T226" i="3"/>
  <c r="Z226" i="3" s="1"/>
  <c r="P226" i="3"/>
  <c r="H226" i="3"/>
  <c r="N226" i="3" s="1"/>
  <c r="D226" i="3"/>
  <c r="L226" i="3" s="1"/>
  <c r="B226" i="3"/>
  <c r="X225" i="3"/>
  <c r="Z225" i="3" s="1"/>
  <c r="N225" i="3"/>
  <c r="L225" i="3"/>
  <c r="B225" i="3"/>
  <c r="T224" i="3"/>
  <c r="P224" i="3"/>
  <c r="X224" i="3" s="1"/>
  <c r="H224" i="3"/>
  <c r="D224" i="3"/>
  <c r="L224" i="3" s="1"/>
  <c r="B224" i="3"/>
  <c r="X223" i="3"/>
  <c r="Z223" i="3" s="1"/>
  <c r="V223" i="3"/>
  <c r="N223" i="3"/>
  <c r="L223" i="3"/>
  <c r="B223" i="3"/>
  <c r="Z222" i="3"/>
  <c r="X222" i="3"/>
  <c r="L222" i="3"/>
  <c r="N222" i="3" s="1"/>
  <c r="J222" i="3"/>
  <c r="B222" i="3"/>
  <c r="Z221" i="3"/>
  <c r="X221" i="3"/>
  <c r="N221" i="3"/>
  <c r="L221" i="3"/>
  <c r="B221" i="3"/>
  <c r="Z220" i="3"/>
  <c r="X220" i="3"/>
  <c r="T220" i="3"/>
  <c r="P220" i="3"/>
  <c r="H220" i="3"/>
  <c r="D220" i="3"/>
  <c r="L220" i="3" s="1"/>
  <c r="N220" i="3" s="1"/>
  <c r="B220" i="3"/>
  <c r="Z219" i="3"/>
  <c r="X219" i="3"/>
  <c r="N219" i="3"/>
  <c r="L219" i="3"/>
  <c r="B219" i="3"/>
  <c r="X218" i="3"/>
  <c r="Z218" i="3" s="1"/>
  <c r="V218" i="3"/>
  <c r="L218" i="3"/>
  <c r="N218" i="3" s="1"/>
  <c r="B218" i="3"/>
  <c r="T217" i="3"/>
  <c r="P217" i="3"/>
  <c r="X217" i="3" s="1"/>
  <c r="Z217" i="3" s="1"/>
  <c r="H217" i="3"/>
  <c r="D217" i="3"/>
  <c r="L217" i="3" s="1"/>
  <c r="N217" i="3" s="1"/>
  <c r="B217" i="3"/>
  <c r="X216" i="3"/>
  <c r="Z216" i="3" s="1"/>
  <c r="N216" i="3"/>
  <c r="L216" i="3"/>
  <c r="B216" i="3"/>
  <c r="X215" i="3"/>
  <c r="Z215" i="3" s="1"/>
  <c r="L215" i="3"/>
  <c r="N215" i="3" s="1"/>
  <c r="J215" i="3"/>
  <c r="B215" i="3"/>
  <c r="X214" i="3"/>
  <c r="Z214" i="3" s="1"/>
  <c r="N214" i="3"/>
  <c r="L214" i="3"/>
  <c r="B214" i="3"/>
  <c r="X213" i="3"/>
  <c r="Z213" i="3" s="1"/>
  <c r="N213" i="3"/>
  <c r="L213" i="3"/>
  <c r="B213" i="3"/>
  <c r="T212" i="3"/>
  <c r="P212" i="3"/>
  <c r="X212" i="3" s="1"/>
  <c r="H212" i="3"/>
  <c r="N212" i="3" s="1"/>
  <c r="D212" i="3"/>
  <c r="L212" i="3" s="1"/>
  <c r="B212" i="3"/>
  <c r="X211" i="3"/>
  <c r="Z211" i="3" s="1"/>
  <c r="V211" i="3"/>
  <c r="N211" i="3"/>
  <c r="L211" i="3"/>
  <c r="B211" i="3"/>
  <c r="T210" i="3"/>
  <c r="P210" i="3"/>
  <c r="X210" i="3" s="1"/>
  <c r="Z210" i="3" s="1"/>
  <c r="N210" i="3"/>
  <c r="L210" i="3"/>
  <c r="H210" i="3"/>
  <c r="D210" i="3"/>
  <c r="B210" i="3"/>
  <c r="Z209" i="3"/>
  <c r="X209" i="3"/>
  <c r="L209" i="3"/>
  <c r="N209" i="3" s="1"/>
  <c r="B209" i="3"/>
  <c r="Z208" i="3"/>
  <c r="X208" i="3"/>
  <c r="L208" i="3"/>
  <c r="N208" i="3" s="1"/>
  <c r="B208" i="3"/>
  <c r="T207" i="3"/>
  <c r="P207" i="3"/>
  <c r="X207" i="3" s="1"/>
  <c r="Z207" i="3" s="1"/>
  <c r="H207" i="3"/>
  <c r="D207" i="3"/>
  <c r="L207" i="3" s="1"/>
  <c r="N207" i="3" s="1"/>
  <c r="B207" i="3"/>
  <c r="X206" i="3"/>
  <c r="Z206" i="3" s="1"/>
  <c r="N206" i="3"/>
  <c r="L206" i="3"/>
  <c r="B206" i="3"/>
  <c r="X205" i="3"/>
  <c r="Z205" i="3" s="1"/>
  <c r="T205" i="3"/>
  <c r="P205" i="3"/>
  <c r="L205" i="3"/>
  <c r="N205" i="3" s="1"/>
  <c r="H205" i="3"/>
  <c r="D205" i="3"/>
  <c r="B205" i="3"/>
  <c r="Z204" i="3"/>
  <c r="X204" i="3"/>
  <c r="N204" i="3"/>
  <c r="L204" i="3"/>
  <c r="B204" i="3"/>
  <c r="Z203" i="3"/>
  <c r="X203" i="3"/>
  <c r="V203" i="3"/>
  <c r="N203" i="3"/>
  <c r="L203" i="3"/>
  <c r="B203" i="3"/>
  <c r="Z202" i="3"/>
  <c r="X202" i="3"/>
  <c r="L202" i="3"/>
  <c r="N202" i="3" s="1"/>
  <c r="J202" i="3"/>
  <c r="B202" i="3"/>
  <c r="Z201" i="3"/>
  <c r="X201" i="3"/>
  <c r="N201" i="3"/>
  <c r="L201" i="3"/>
  <c r="B201" i="3"/>
  <c r="Z200" i="3"/>
  <c r="X200" i="3"/>
  <c r="N200" i="3"/>
  <c r="L200" i="3"/>
  <c r="B200" i="3"/>
  <c r="X199" i="3"/>
  <c r="Z199" i="3" s="1"/>
  <c r="V199" i="3"/>
  <c r="N199" i="3"/>
  <c r="L199" i="3"/>
  <c r="B199" i="3"/>
  <c r="Z198" i="3"/>
  <c r="X198" i="3"/>
  <c r="L198" i="3"/>
  <c r="N198" i="3" s="1"/>
  <c r="J198" i="3"/>
  <c r="B198" i="3"/>
  <c r="Z197" i="3"/>
  <c r="X197" i="3"/>
  <c r="N197" i="3"/>
  <c r="L197" i="3"/>
  <c r="B197" i="3"/>
  <c r="Z196" i="3"/>
  <c r="X196" i="3"/>
  <c r="N196" i="3"/>
  <c r="L196" i="3"/>
  <c r="B196" i="3"/>
  <c r="X195" i="3"/>
  <c r="Z195" i="3" s="1"/>
  <c r="V195" i="3"/>
  <c r="N195" i="3"/>
  <c r="L195" i="3"/>
  <c r="B195" i="3"/>
  <c r="T194" i="3"/>
  <c r="P194" i="3"/>
  <c r="X194" i="3" s="1"/>
  <c r="Z194" i="3" s="1"/>
  <c r="N194" i="3"/>
  <c r="L194" i="3"/>
  <c r="H194" i="3"/>
  <c r="D194" i="3"/>
  <c r="B194" i="3"/>
  <c r="Z193" i="3"/>
  <c r="X193" i="3"/>
  <c r="L193" i="3"/>
  <c r="N193" i="3" s="1"/>
  <c r="B193" i="3"/>
  <c r="Z192" i="3"/>
  <c r="X192" i="3"/>
  <c r="N192" i="3"/>
  <c r="L192" i="3"/>
  <c r="B192" i="3"/>
  <c r="Z191" i="3"/>
  <c r="X191" i="3"/>
  <c r="L191" i="3"/>
  <c r="N191" i="3" s="1"/>
  <c r="B191" i="3"/>
  <c r="Z190" i="3"/>
  <c r="X190" i="3"/>
  <c r="V190" i="3"/>
  <c r="N190" i="3"/>
  <c r="L190" i="3"/>
  <c r="B190" i="3"/>
  <c r="Z189" i="3"/>
  <c r="X189" i="3"/>
  <c r="L189" i="3"/>
  <c r="N189" i="3" s="1"/>
  <c r="B189" i="3"/>
  <c r="Z188" i="3"/>
  <c r="X188" i="3"/>
  <c r="L188" i="3"/>
  <c r="N188" i="3" s="1"/>
  <c r="B188" i="3"/>
  <c r="Z187" i="3"/>
  <c r="X187" i="3"/>
  <c r="L187" i="3"/>
  <c r="N187" i="3" s="1"/>
  <c r="B187" i="3"/>
  <c r="X186" i="3"/>
  <c r="Z186" i="3" s="1"/>
  <c r="V186" i="3"/>
  <c r="L186" i="3"/>
  <c r="N186" i="3" s="1"/>
  <c r="B186" i="3"/>
  <c r="Z185" i="3"/>
  <c r="X185" i="3"/>
  <c r="L185" i="3"/>
  <c r="N185" i="3" s="1"/>
  <c r="B185" i="3"/>
  <c r="Z184" i="3"/>
  <c r="X184" i="3"/>
  <c r="L184" i="3"/>
  <c r="N184" i="3" s="1"/>
  <c r="B184" i="3"/>
  <c r="T183" i="3"/>
  <c r="P183" i="3"/>
  <c r="X183" i="3" s="1"/>
  <c r="Z183" i="3" s="1"/>
  <c r="H183" i="3"/>
  <c r="D183" i="3"/>
  <c r="L183" i="3" s="1"/>
  <c r="N183" i="3" s="1"/>
  <c r="B183" i="3"/>
  <c r="T182" i="3"/>
  <c r="P182" i="3"/>
  <c r="X182" i="3" s="1"/>
  <c r="H182" i="3"/>
  <c r="D182" i="3"/>
  <c r="L182" i="3" s="1"/>
  <c r="H180" i="3"/>
  <c r="Z178" i="3"/>
  <c r="X178" i="3"/>
  <c r="N178" i="3"/>
  <c r="L178" i="3"/>
  <c r="B178" i="3"/>
  <c r="Z177" i="3"/>
  <c r="X177" i="3"/>
  <c r="N177" i="3"/>
  <c r="L177" i="3"/>
  <c r="B177" i="3"/>
  <c r="Z176" i="3"/>
  <c r="X176" i="3"/>
  <c r="N176" i="3"/>
  <c r="L176" i="3"/>
  <c r="B176" i="3"/>
  <c r="Z175" i="3"/>
  <c r="X175" i="3"/>
  <c r="N175" i="3"/>
  <c r="L175" i="3"/>
  <c r="J175" i="3"/>
  <c r="B175" i="3"/>
  <c r="Z174" i="3"/>
  <c r="X174" i="3"/>
  <c r="N174" i="3"/>
  <c r="L174" i="3"/>
  <c r="B174" i="3"/>
  <c r="Z173" i="3"/>
  <c r="X173" i="3"/>
  <c r="V173" i="3"/>
  <c r="N173" i="3"/>
  <c r="L173" i="3"/>
  <c r="B173" i="3"/>
  <c r="Z172" i="3"/>
  <c r="X172" i="3"/>
  <c r="N172" i="3"/>
  <c r="L172" i="3"/>
  <c r="B172" i="3"/>
  <c r="Z171" i="3"/>
  <c r="X171" i="3"/>
  <c r="N171" i="3"/>
  <c r="L171" i="3"/>
  <c r="J171" i="3"/>
  <c r="B171" i="3"/>
  <c r="Z170" i="3"/>
  <c r="X170" i="3"/>
  <c r="N170" i="3"/>
  <c r="L170" i="3"/>
  <c r="B170" i="3"/>
  <c r="Z169" i="3"/>
  <c r="X169" i="3"/>
  <c r="V169" i="3"/>
  <c r="N169" i="3"/>
  <c r="L169" i="3"/>
  <c r="B169" i="3"/>
  <c r="Z168" i="3"/>
  <c r="X168" i="3"/>
  <c r="N168" i="3"/>
  <c r="L168" i="3"/>
  <c r="B168" i="3"/>
  <c r="Z167" i="3"/>
  <c r="X167" i="3"/>
  <c r="N167" i="3"/>
  <c r="L167" i="3"/>
  <c r="J167" i="3"/>
  <c r="B167" i="3"/>
  <c r="Z166" i="3"/>
  <c r="X166" i="3"/>
  <c r="N166" i="3"/>
  <c r="L166" i="3"/>
  <c r="B166" i="3"/>
  <c r="Z165" i="3"/>
  <c r="X165" i="3"/>
  <c r="V165" i="3"/>
  <c r="N165" i="3"/>
  <c r="L165" i="3"/>
  <c r="B165" i="3"/>
  <c r="Z164" i="3"/>
  <c r="X164" i="3"/>
  <c r="N164" i="3"/>
  <c r="L164" i="3"/>
  <c r="B164" i="3"/>
  <c r="Z163" i="3"/>
  <c r="X163" i="3"/>
  <c r="N163" i="3"/>
  <c r="L163" i="3"/>
  <c r="J163" i="3"/>
  <c r="B163" i="3"/>
  <c r="Z162" i="3"/>
  <c r="X162" i="3"/>
  <c r="N162" i="3"/>
  <c r="L162" i="3"/>
  <c r="B162" i="3"/>
  <c r="Z161" i="3"/>
  <c r="X161" i="3"/>
  <c r="V161" i="3"/>
  <c r="N161" i="3"/>
  <c r="L161" i="3"/>
  <c r="B161" i="3"/>
  <c r="Z160" i="3"/>
  <c r="X160" i="3"/>
  <c r="N160" i="3"/>
  <c r="L160" i="3"/>
  <c r="B160" i="3"/>
  <c r="Z159" i="3"/>
  <c r="X159" i="3"/>
  <c r="N159" i="3"/>
  <c r="L159" i="3"/>
  <c r="J159" i="3"/>
  <c r="B159" i="3"/>
  <c r="Z158" i="3"/>
  <c r="X158" i="3"/>
  <c r="N158" i="3"/>
  <c r="L158" i="3"/>
  <c r="B158" i="3"/>
  <c r="Z157" i="3"/>
  <c r="X157" i="3"/>
  <c r="V157" i="3"/>
  <c r="N157" i="3"/>
  <c r="L157" i="3"/>
  <c r="B157" i="3"/>
  <c r="Z156" i="3"/>
  <c r="X156" i="3"/>
  <c r="N156" i="3"/>
  <c r="L156" i="3"/>
  <c r="B156" i="3"/>
  <c r="Z155" i="3"/>
  <c r="X155" i="3"/>
  <c r="N155" i="3"/>
  <c r="L155" i="3"/>
  <c r="J155" i="3"/>
  <c r="B155" i="3"/>
  <c r="Z154" i="3"/>
  <c r="X154" i="3"/>
  <c r="N154" i="3"/>
  <c r="L154" i="3"/>
  <c r="B154" i="3"/>
  <c r="Z153" i="3"/>
  <c r="X153" i="3"/>
  <c r="V153" i="3"/>
  <c r="N153" i="3"/>
  <c r="L153" i="3"/>
  <c r="B153" i="3"/>
  <c r="Z152" i="3"/>
  <c r="X152" i="3"/>
  <c r="N152" i="3"/>
  <c r="L152" i="3"/>
  <c r="B152" i="3"/>
  <c r="Z151" i="3"/>
  <c r="X151" i="3"/>
  <c r="N151" i="3"/>
  <c r="L151" i="3"/>
  <c r="J151" i="3"/>
  <c r="B151" i="3"/>
  <c r="Z150" i="3"/>
  <c r="X150" i="3"/>
  <c r="N150" i="3"/>
  <c r="L150" i="3"/>
  <c r="B150" i="3"/>
  <c r="Z149" i="3"/>
  <c r="X149" i="3"/>
  <c r="V149" i="3"/>
  <c r="N149" i="3"/>
  <c r="L149" i="3"/>
  <c r="B149" i="3"/>
  <c r="Z148" i="3"/>
  <c r="X148" i="3"/>
  <c r="N148" i="3"/>
  <c r="L148" i="3"/>
  <c r="B148" i="3"/>
  <c r="Z147" i="3"/>
  <c r="X147" i="3"/>
  <c r="N147" i="3"/>
  <c r="L147" i="3"/>
  <c r="J147" i="3"/>
  <c r="B147" i="3"/>
  <c r="Z146" i="3"/>
  <c r="X146" i="3"/>
  <c r="N146" i="3"/>
  <c r="L146" i="3"/>
  <c r="B146" i="3"/>
  <c r="Z145" i="3"/>
  <c r="X145" i="3"/>
  <c r="V145" i="3"/>
  <c r="N145" i="3"/>
  <c r="L145" i="3"/>
  <c r="B145" i="3"/>
  <c r="Z144" i="3"/>
  <c r="X144" i="3"/>
  <c r="N144" i="3"/>
  <c r="L144" i="3"/>
  <c r="B144" i="3"/>
  <c r="Z143" i="3"/>
  <c r="X143" i="3"/>
  <c r="N143" i="3"/>
  <c r="L143" i="3"/>
  <c r="J143" i="3"/>
  <c r="B143" i="3"/>
  <c r="Z142" i="3"/>
  <c r="X142" i="3"/>
  <c r="N142" i="3"/>
  <c r="L142" i="3"/>
  <c r="B142" i="3"/>
  <c r="Z141" i="3"/>
  <c r="X141" i="3"/>
  <c r="V141" i="3"/>
  <c r="N141" i="3"/>
  <c r="L141" i="3"/>
  <c r="B141" i="3"/>
  <c r="Z140" i="3"/>
  <c r="X140" i="3"/>
  <c r="N140" i="3"/>
  <c r="L140" i="3"/>
  <c r="B140" i="3"/>
  <c r="Z139" i="3"/>
  <c r="X139" i="3"/>
  <c r="N139" i="3"/>
  <c r="L139" i="3"/>
  <c r="J139" i="3"/>
  <c r="B139" i="3"/>
  <c r="Z138" i="3"/>
  <c r="X138" i="3"/>
  <c r="N138" i="3"/>
  <c r="L138" i="3"/>
  <c r="B138" i="3"/>
  <c r="Z137" i="3"/>
  <c r="X137" i="3"/>
  <c r="V137" i="3"/>
  <c r="N137" i="3"/>
  <c r="L137" i="3"/>
  <c r="B137" i="3"/>
  <c r="Z136" i="3"/>
  <c r="X136" i="3"/>
  <c r="N136" i="3"/>
  <c r="L136" i="3"/>
  <c r="B136" i="3"/>
  <c r="Z135" i="3"/>
  <c r="X135" i="3"/>
  <c r="V135" i="3"/>
  <c r="N135" i="3"/>
  <c r="L135" i="3"/>
  <c r="J135" i="3"/>
  <c r="B135" i="3"/>
  <c r="Z134" i="3"/>
  <c r="X134" i="3"/>
  <c r="N134" i="3"/>
  <c r="L134" i="3"/>
  <c r="B134" i="3"/>
  <c r="Z133" i="3"/>
  <c r="X133" i="3"/>
  <c r="V133" i="3"/>
  <c r="N133" i="3"/>
  <c r="L133" i="3"/>
  <c r="B133" i="3"/>
  <c r="Z132" i="3"/>
  <c r="X132" i="3"/>
  <c r="N132" i="3"/>
  <c r="L132" i="3"/>
  <c r="B132" i="3"/>
  <c r="Z131" i="3"/>
  <c r="X131" i="3"/>
  <c r="V131" i="3"/>
  <c r="N131" i="3"/>
  <c r="L131" i="3"/>
  <c r="J131" i="3"/>
  <c r="B131" i="3"/>
  <c r="Z130" i="3"/>
  <c r="X130" i="3"/>
  <c r="N130" i="3"/>
  <c r="L130" i="3"/>
  <c r="B130" i="3"/>
  <c r="Z129" i="3"/>
  <c r="X129" i="3"/>
  <c r="V129" i="3"/>
  <c r="N129" i="3"/>
  <c r="L129" i="3"/>
  <c r="B129" i="3"/>
  <c r="Z128" i="3"/>
  <c r="X128" i="3"/>
  <c r="N128" i="3"/>
  <c r="L128" i="3"/>
  <c r="B128" i="3"/>
  <c r="Z127" i="3"/>
  <c r="X127" i="3"/>
  <c r="V127" i="3"/>
  <c r="N127" i="3"/>
  <c r="L127" i="3"/>
  <c r="J127" i="3"/>
  <c r="B127" i="3"/>
  <c r="Z126" i="3"/>
  <c r="X126" i="3"/>
  <c r="N126" i="3"/>
  <c r="L126" i="3"/>
  <c r="B126" i="3"/>
  <c r="Z125" i="3"/>
  <c r="X125" i="3"/>
  <c r="V125" i="3"/>
  <c r="N125" i="3"/>
  <c r="L125" i="3"/>
  <c r="B125" i="3"/>
  <c r="X124" i="3"/>
  <c r="Z124" i="3" s="1"/>
  <c r="N124" i="3"/>
  <c r="L124" i="3"/>
  <c r="B124" i="3"/>
  <c r="X123" i="3"/>
  <c r="Z123" i="3" s="1"/>
  <c r="V123" i="3"/>
  <c r="T123" i="3"/>
  <c r="P123" i="3"/>
  <c r="L123" i="3"/>
  <c r="N123" i="3" s="1"/>
  <c r="J123" i="3"/>
  <c r="H123" i="3"/>
  <c r="D123" i="3"/>
  <c r="Z121" i="3"/>
  <c r="P121" i="3"/>
  <c r="X121" i="3" s="1"/>
  <c r="N121" i="3"/>
  <c r="D121" i="3"/>
  <c r="L121" i="3" s="1"/>
  <c r="B121" i="3"/>
  <c r="Z120" i="3"/>
  <c r="X120" i="3"/>
  <c r="P120" i="3"/>
  <c r="N120" i="3"/>
  <c r="D120" i="3"/>
  <c r="L120" i="3" s="1"/>
  <c r="B120" i="3"/>
  <c r="Z119" i="3"/>
  <c r="P119" i="3"/>
  <c r="X119" i="3" s="1"/>
  <c r="N119" i="3"/>
  <c r="D119" i="3"/>
  <c r="L119" i="3" s="1"/>
  <c r="B119" i="3"/>
  <c r="Z118" i="3"/>
  <c r="X118" i="3"/>
  <c r="P118" i="3"/>
  <c r="N118" i="3"/>
  <c r="D118" i="3"/>
  <c r="L118" i="3" s="1"/>
  <c r="B118" i="3"/>
  <c r="Z117" i="3"/>
  <c r="P117" i="3"/>
  <c r="X117" i="3" s="1"/>
  <c r="N117" i="3"/>
  <c r="L117" i="3"/>
  <c r="D117" i="3"/>
  <c r="B117" i="3"/>
  <c r="Z116" i="3"/>
  <c r="P116" i="3"/>
  <c r="X116" i="3" s="1"/>
  <c r="N116" i="3"/>
  <c r="D116" i="3"/>
  <c r="L116" i="3" s="1"/>
  <c r="B116" i="3"/>
  <c r="Z115" i="3"/>
  <c r="X115" i="3"/>
  <c r="P115" i="3"/>
  <c r="N115" i="3"/>
  <c r="L115" i="3"/>
  <c r="D115" i="3"/>
  <c r="B115" i="3"/>
  <c r="Z114" i="3"/>
  <c r="X114" i="3"/>
  <c r="P114" i="3"/>
  <c r="N114" i="3"/>
  <c r="D114" i="3"/>
  <c r="L114" i="3" s="1"/>
  <c r="B114" i="3"/>
  <c r="Z113" i="3"/>
  <c r="P113" i="3"/>
  <c r="X113" i="3" s="1"/>
  <c r="N113" i="3"/>
  <c r="D113" i="3"/>
  <c r="L113" i="3" s="1"/>
  <c r="B113" i="3"/>
  <c r="Z112" i="3"/>
  <c r="P112" i="3"/>
  <c r="X112" i="3" s="1"/>
  <c r="N112" i="3"/>
  <c r="L112" i="3"/>
  <c r="D112" i="3"/>
  <c r="B112" i="3"/>
  <c r="Z111" i="3"/>
  <c r="P111" i="3"/>
  <c r="X111" i="3" s="1"/>
  <c r="N111" i="3"/>
  <c r="L111" i="3"/>
  <c r="D111" i="3"/>
  <c r="B111" i="3"/>
  <c r="Z110" i="3"/>
  <c r="P110" i="3"/>
  <c r="X110" i="3" s="1"/>
  <c r="N110" i="3"/>
  <c r="D110" i="3"/>
  <c r="L110" i="3" s="1"/>
  <c r="B110" i="3"/>
  <c r="Z109" i="3"/>
  <c r="P109" i="3"/>
  <c r="X109" i="3" s="1"/>
  <c r="N109" i="3"/>
  <c r="D109" i="3"/>
  <c r="L109" i="3" s="1"/>
  <c r="B109" i="3"/>
  <c r="Z108" i="3"/>
  <c r="X108" i="3"/>
  <c r="P108" i="3"/>
  <c r="N108" i="3"/>
  <c r="D108" i="3"/>
  <c r="L108" i="3" s="1"/>
  <c r="B108" i="3"/>
  <c r="Z107" i="3"/>
  <c r="P107" i="3"/>
  <c r="X107" i="3" s="1"/>
  <c r="N107" i="3"/>
  <c r="D107" i="3"/>
  <c r="L107" i="3" s="1"/>
  <c r="B107" i="3"/>
  <c r="Z106" i="3"/>
  <c r="X106" i="3"/>
  <c r="P106" i="3"/>
  <c r="N106" i="3"/>
  <c r="D106" i="3"/>
  <c r="L106" i="3" s="1"/>
  <c r="B106" i="3"/>
  <c r="Z105" i="3"/>
  <c r="P105" i="3"/>
  <c r="X105" i="3" s="1"/>
  <c r="N105" i="3"/>
  <c r="L105" i="3"/>
  <c r="D105" i="3"/>
  <c r="B105" i="3"/>
  <c r="Z104" i="3"/>
  <c r="P104" i="3"/>
  <c r="X104" i="3" s="1"/>
  <c r="N104" i="3"/>
  <c r="D104" i="3"/>
  <c r="L104" i="3" s="1"/>
  <c r="B104" i="3"/>
  <c r="Z103" i="3"/>
  <c r="X103" i="3"/>
  <c r="P103" i="3"/>
  <c r="N103" i="3"/>
  <c r="L103" i="3"/>
  <c r="D103" i="3"/>
  <c r="B103" i="3"/>
  <c r="Z102" i="3"/>
  <c r="X102" i="3"/>
  <c r="P102" i="3"/>
  <c r="N102" i="3"/>
  <c r="D102" i="3"/>
  <c r="L102" i="3" s="1"/>
  <c r="B102" i="3"/>
  <c r="Z101" i="3"/>
  <c r="P101" i="3"/>
  <c r="X101" i="3" s="1"/>
  <c r="N101" i="3"/>
  <c r="D101" i="3"/>
  <c r="L101" i="3" s="1"/>
  <c r="B101" i="3"/>
  <c r="Z100" i="3"/>
  <c r="P100" i="3"/>
  <c r="X100" i="3" s="1"/>
  <c r="N100" i="3"/>
  <c r="L100" i="3"/>
  <c r="D100" i="3"/>
  <c r="B100" i="3"/>
  <c r="Z99" i="3"/>
  <c r="P99" i="3"/>
  <c r="X99" i="3" s="1"/>
  <c r="N99" i="3"/>
  <c r="L99" i="3"/>
  <c r="D99" i="3"/>
  <c r="B99" i="3"/>
  <c r="Z98" i="3"/>
  <c r="P98" i="3"/>
  <c r="X98" i="3" s="1"/>
  <c r="N98" i="3"/>
  <c r="D98" i="3"/>
  <c r="L98" i="3" s="1"/>
  <c r="B98" i="3"/>
  <c r="Z97" i="3"/>
  <c r="P97" i="3"/>
  <c r="X97" i="3" s="1"/>
  <c r="N97" i="3"/>
  <c r="D97" i="3"/>
  <c r="L97" i="3" s="1"/>
  <c r="B97" i="3"/>
  <c r="Z96" i="3"/>
  <c r="X96" i="3"/>
  <c r="P96" i="3"/>
  <c r="N96" i="3"/>
  <c r="D96" i="3"/>
  <c r="L96" i="3" s="1"/>
  <c r="B96" i="3"/>
  <c r="Z95" i="3"/>
  <c r="P95" i="3"/>
  <c r="X95" i="3" s="1"/>
  <c r="N95" i="3"/>
  <c r="D95" i="3"/>
  <c r="L95" i="3" s="1"/>
  <c r="B95" i="3"/>
  <c r="Z94" i="3"/>
  <c r="X94" i="3"/>
  <c r="P94" i="3"/>
  <c r="N94" i="3"/>
  <c r="D94" i="3"/>
  <c r="L94" i="3" s="1"/>
  <c r="B94" i="3"/>
  <c r="Z93" i="3"/>
  <c r="P93" i="3"/>
  <c r="X93" i="3" s="1"/>
  <c r="N93" i="3"/>
  <c r="L93" i="3"/>
  <c r="D93" i="3"/>
  <c r="B93" i="3"/>
  <c r="Z92" i="3"/>
  <c r="P92" i="3"/>
  <c r="X92" i="3" s="1"/>
  <c r="N92" i="3"/>
  <c r="D92" i="3"/>
  <c r="L92" i="3" s="1"/>
  <c r="B92" i="3"/>
  <c r="Z91" i="3"/>
  <c r="X91" i="3"/>
  <c r="P91" i="3"/>
  <c r="N91" i="3"/>
  <c r="L91" i="3"/>
  <c r="D91" i="3"/>
  <c r="B91" i="3"/>
  <c r="Z90" i="3"/>
  <c r="X90" i="3"/>
  <c r="P90" i="3"/>
  <c r="N90" i="3"/>
  <c r="D90" i="3"/>
  <c r="L90" i="3" s="1"/>
  <c r="B90" i="3"/>
  <c r="Z89" i="3"/>
  <c r="P89" i="3"/>
  <c r="X89" i="3" s="1"/>
  <c r="N89" i="3"/>
  <c r="D89" i="3"/>
  <c r="L89" i="3" s="1"/>
  <c r="B89" i="3"/>
  <c r="Z88" i="3"/>
  <c r="P88" i="3"/>
  <c r="X88" i="3" s="1"/>
  <c r="N88" i="3"/>
  <c r="L88" i="3"/>
  <c r="D88" i="3"/>
  <c r="B88" i="3"/>
  <c r="Z87" i="3"/>
  <c r="P87" i="3"/>
  <c r="X87" i="3" s="1"/>
  <c r="N87" i="3"/>
  <c r="L87" i="3"/>
  <c r="D87" i="3"/>
  <c r="B87" i="3"/>
  <c r="Z86" i="3"/>
  <c r="P86" i="3"/>
  <c r="X86" i="3" s="1"/>
  <c r="N86" i="3"/>
  <c r="D86" i="3"/>
  <c r="L86" i="3" s="1"/>
  <c r="B86" i="3"/>
  <c r="Z85" i="3"/>
  <c r="P85" i="3"/>
  <c r="X85" i="3" s="1"/>
  <c r="N85" i="3"/>
  <c r="D85" i="3"/>
  <c r="L85" i="3" s="1"/>
  <c r="B85" i="3"/>
  <c r="Z84" i="3"/>
  <c r="X84" i="3"/>
  <c r="P84" i="3"/>
  <c r="N84" i="3"/>
  <c r="D84" i="3"/>
  <c r="L84" i="3" s="1"/>
  <c r="B84" i="3"/>
  <c r="Z83" i="3"/>
  <c r="P83" i="3"/>
  <c r="X83" i="3" s="1"/>
  <c r="N83" i="3"/>
  <c r="D83" i="3"/>
  <c r="L83" i="3" s="1"/>
  <c r="B83" i="3"/>
  <c r="Z82" i="3"/>
  <c r="X82" i="3"/>
  <c r="P82" i="3"/>
  <c r="N82" i="3"/>
  <c r="D82" i="3"/>
  <c r="L82" i="3" s="1"/>
  <c r="B82" i="3"/>
  <c r="Z81" i="3"/>
  <c r="P81" i="3"/>
  <c r="X81" i="3" s="1"/>
  <c r="N81" i="3"/>
  <c r="L81" i="3"/>
  <c r="D81" i="3"/>
  <c r="B81" i="3"/>
  <c r="Z80" i="3"/>
  <c r="P80" i="3"/>
  <c r="X80" i="3" s="1"/>
  <c r="N80" i="3"/>
  <c r="D80" i="3"/>
  <c r="L80" i="3" s="1"/>
  <c r="B80" i="3"/>
  <c r="Z79" i="3"/>
  <c r="X79" i="3"/>
  <c r="P79" i="3"/>
  <c r="N79" i="3"/>
  <c r="L79" i="3"/>
  <c r="D79" i="3"/>
  <c r="B79" i="3"/>
  <c r="Z78" i="3"/>
  <c r="X78" i="3"/>
  <c r="P78" i="3"/>
  <c r="N78" i="3"/>
  <c r="D78" i="3"/>
  <c r="L78" i="3" s="1"/>
  <c r="B78" i="3"/>
  <c r="Z77" i="3"/>
  <c r="P77" i="3"/>
  <c r="X77" i="3" s="1"/>
  <c r="N77" i="3"/>
  <c r="D77" i="3"/>
  <c r="L77" i="3" s="1"/>
  <c r="B77" i="3"/>
  <c r="Z76" i="3"/>
  <c r="P76" i="3"/>
  <c r="X76" i="3" s="1"/>
  <c r="N76" i="3"/>
  <c r="L76" i="3"/>
  <c r="D76" i="3"/>
  <c r="B76" i="3"/>
  <c r="Z75" i="3"/>
  <c r="P75" i="3"/>
  <c r="X75" i="3" s="1"/>
  <c r="N75" i="3"/>
  <c r="L75" i="3"/>
  <c r="D75" i="3"/>
  <c r="B75" i="3"/>
  <c r="Z74" i="3"/>
  <c r="P74" i="3"/>
  <c r="X74" i="3" s="1"/>
  <c r="N74" i="3"/>
  <c r="D74" i="3"/>
  <c r="L74" i="3" s="1"/>
  <c r="B74" i="3"/>
  <c r="Z73" i="3"/>
  <c r="P73" i="3"/>
  <c r="X73" i="3" s="1"/>
  <c r="N73" i="3"/>
  <c r="D73" i="3"/>
  <c r="L73" i="3" s="1"/>
  <c r="B73" i="3"/>
  <c r="Z72" i="3"/>
  <c r="X72" i="3"/>
  <c r="P72" i="3"/>
  <c r="N72" i="3"/>
  <c r="D72" i="3"/>
  <c r="L72" i="3" s="1"/>
  <c r="B72" i="3"/>
  <c r="Z71" i="3"/>
  <c r="P71" i="3"/>
  <c r="X71" i="3" s="1"/>
  <c r="N71" i="3"/>
  <c r="D71" i="3"/>
  <c r="L71" i="3" s="1"/>
  <c r="B71" i="3"/>
  <c r="Z70" i="3"/>
  <c r="X70" i="3"/>
  <c r="P70" i="3"/>
  <c r="N70" i="3"/>
  <c r="D70" i="3"/>
  <c r="L70" i="3" s="1"/>
  <c r="B70" i="3"/>
  <c r="Z69" i="3"/>
  <c r="P69" i="3"/>
  <c r="X69" i="3" s="1"/>
  <c r="N69" i="3"/>
  <c r="L69" i="3"/>
  <c r="D69" i="3"/>
  <c r="B69" i="3"/>
  <c r="Z68" i="3"/>
  <c r="P68" i="3"/>
  <c r="X68" i="3" s="1"/>
  <c r="N68" i="3"/>
  <c r="D68" i="3"/>
  <c r="L68" i="3" s="1"/>
  <c r="B68" i="3"/>
  <c r="Z67" i="3"/>
  <c r="X67" i="3"/>
  <c r="P67" i="3"/>
  <c r="N67" i="3"/>
  <c r="L67" i="3"/>
  <c r="D67" i="3"/>
  <c r="B67" i="3"/>
  <c r="Z66" i="3"/>
  <c r="X66" i="3"/>
  <c r="P66" i="3"/>
  <c r="N66" i="3"/>
  <c r="D66" i="3"/>
  <c r="L66" i="3" s="1"/>
  <c r="B66" i="3"/>
  <c r="Z65" i="3"/>
  <c r="P65" i="3"/>
  <c r="X65" i="3" s="1"/>
  <c r="N65" i="3"/>
  <c r="D65" i="3"/>
  <c r="L65" i="3" s="1"/>
  <c r="B65" i="3"/>
  <c r="Z64" i="3"/>
  <c r="P64" i="3"/>
  <c r="X64" i="3" s="1"/>
  <c r="N64" i="3"/>
  <c r="L64" i="3"/>
  <c r="D64" i="3"/>
  <c r="B64" i="3"/>
  <c r="Z63" i="3"/>
  <c r="P63" i="3"/>
  <c r="X63" i="3" s="1"/>
  <c r="N63" i="3"/>
  <c r="L63" i="3"/>
  <c r="D63" i="3"/>
  <c r="B63" i="3"/>
  <c r="Z62" i="3"/>
  <c r="P62" i="3"/>
  <c r="X62" i="3" s="1"/>
  <c r="N62" i="3"/>
  <c r="D62" i="3"/>
  <c r="L62" i="3" s="1"/>
  <c r="B62" i="3"/>
  <c r="Z61" i="3"/>
  <c r="P61" i="3"/>
  <c r="X61" i="3" s="1"/>
  <c r="N61" i="3"/>
  <c r="D61" i="3"/>
  <c r="L61" i="3" s="1"/>
  <c r="B61" i="3"/>
  <c r="Z60" i="3"/>
  <c r="X60" i="3"/>
  <c r="P60" i="3"/>
  <c r="N60" i="3"/>
  <c r="D60" i="3"/>
  <c r="L60" i="3" s="1"/>
  <c r="B60" i="3"/>
  <c r="Z59" i="3"/>
  <c r="P59" i="3"/>
  <c r="X59" i="3" s="1"/>
  <c r="N59" i="3"/>
  <c r="D59" i="3"/>
  <c r="L59" i="3" s="1"/>
  <c r="B59" i="3"/>
  <c r="Z58" i="3"/>
  <c r="X58" i="3"/>
  <c r="P58" i="3"/>
  <c r="N58" i="3"/>
  <c r="D58" i="3"/>
  <c r="L58" i="3" s="1"/>
  <c r="B58" i="3"/>
  <c r="Z57" i="3"/>
  <c r="P57" i="3"/>
  <c r="X57" i="3" s="1"/>
  <c r="N57" i="3"/>
  <c r="L57" i="3"/>
  <c r="D57" i="3"/>
  <c r="B57" i="3"/>
  <c r="Z56" i="3"/>
  <c r="P56" i="3"/>
  <c r="X56" i="3" s="1"/>
  <c r="N56" i="3"/>
  <c r="D56" i="3"/>
  <c r="L56" i="3" s="1"/>
  <c r="B56" i="3"/>
  <c r="Z55" i="3"/>
  <c r="X55" i="3"/>
  <c r="P55" i="3"/>
  <c r="N55" i="3"/>
  <c r="L55" i="3"/>
  <c r="D55" i="3"/>
  <c r="B55" i="3"/>
  <c r="X54" i="3"/>
  <c r="Z54" i="3" s="1"/>
  <c r="P54" i="3"/>
  <c r="D54" i="3"/>
  <c r="L54" i="3" s="1"/>
  <c r="N54" i="3" s="1"/>
  <c r="B54" i="3"/>
  <c r="Z53" i="3"/>
  <c r="P53" i="3"/>
  <c r="X53" i="3" s="1"/>
  <c r="N53" i="3"/>
  <c r="D53" i="3"/>
  <c r="L53" i="3" s="1"/>
  <c r="B53" i="3"/>
  <c r="Z52" i="3"/>
  <c r="P52" i="3"/>
  <c r="X52" i="3" s="1"/>
  <c r="N52" i="3"/>
  <c r="L52" i="3"/>
  <c r="D52" i="3"/>
  <c r="B52" i="3"/>
  <c r="Z51" i="3"/>
  <c r="P51" i="3"/>
  <c r="X51" i="3" s="1"/>
  <c r="N51" i="3"/>
  <c r="L51" i="3"/>
  <c r="D51" i="3"/>
  <c r="B51" i="3"/>
  <c r="Z50" i="3"/>
  <c r="P50" i="3"/>
  <c r="X50" i="3" s="1"/>
  <c r="N50" i="3"/>
  <c r="D50" i="3"/>
  <c r="L50" i="3" s="1"/>
  <c r="B50" i="3"/>
  <c r="Z49" i="3"/>
  <c r="P49" i="3"/>
  <c r="X49" i="3" s="1"/>
  <c r="N49" i="3"/>
  <c r="D49" i="3"/>
  <c r="L49" i="3" s="1"/>
  <c r="B49" i="3"/>
  <c r="Z48" i="3"/>
  <c r="X48" i="3"/>
  <c r="P48" i="3"/>
  <c r="N48" i="3"/>
  <c r="D48" i="3"/>
  <c r="L48" i="3" s="1"/>
  <c r="B48" i="3"/>
  <c r="Z47" i="3"/>
  <c r="P47" i="3"/>
  <c r="X47" i="3" s="1"/>
  <c r="N47" i="3"/>
  <c r="D47" i="3"/>
  <c r="L47" i="3" s="1"/>
  <c r="B47" i="3"/>
  <c r="Z46" i="3"/>
  <c r="X46" i="3"/>
  <c r="P46" i="3"/>
  <c r="N46" i="3"/>
  <c r="D46" i="3"/>
  <c r="L46" i="3" s="1"/>
  <c r="B46" i="3"/>
  <c r="Z45" i="3"/>
  <c r="P45" i="3"/>
  <c r="X45" i="3" s="1"/>
  <c r="N45" i="3"/>
  <c r="L45" i="3"/>
  <c r="D45" i="3"/>
  <c r="B45" i="3"/>
  <c r="Z44" i="3"/>
  <c r="P44" i="3"/>
  <c r="X44" i="3" s="1"/>
  <c r="N44" i="3"/>
  <c r="D44" i="3"/>
  <c r="L44" i="3" s="1"/>
  <c r="B44" i="3"/>
  <c r="Z43" i="3"/>
  <c r="X43" i="3"/>
  <c r="P43" i="3"/>
  <c r="N43" i="3"/>
  <c r="L43" i="3"/>
  <c r="D43" i="3"/>
  <c r="B43" i="3"/>
  <c r="Z42" i="3"/>
  <c r="X42" i="3"/>
  <c r="P42" i="3"/>
  <c r="N42" i="3"/>
  <c r="D42" i="3"/>
  <c r="L42" i="3" s="1"/>
  <c r="B42" i="3"/>
  <c r="Z41" i="3"/>
  <c r="P41" i="3"/>
  <c r="X41" i="3" s="1"/>
  <c r="N41" i="3"/>
  <c r="D41" i="3"/>
  <c r="L41" i="3" s="1"/>
  <c r="B41" i="3"/>
  <c r="Z40" i="3"/>
  <c r="P40" i="3"/>
  <c r="X40" i="3" s="1"/>
  <c r="N40" i="3"/>
  <c r="L40" i="3"/>
  <c r="D40" i="3"/>
  <c r="B40" i="3"/>
  <c r="Z39" i="3"/>
  <c r="P39" i="3"/>
  <c r="X39" i="3" s="1"/>
  <c r="N39" i="3"/>
  <c r="L39" i="3"/>
  <c r="D39" i="3"/>
  <c r="B39" i="3"/>
  <c r="Z38" i="3"/>
  <c r="P38" i="3"/>
  <c r="X38" i="3" s="1"/>
  <c r="N38" i="3"/>
  <c r="D38" i="3"/>
  <c r="L38" i="3" s="1"/>
  <c r="B38" i="3"/>
  <c r="Z37" i="3"/>
  <c r="P37" i="3"/>
  <c r="X37" i="3" s="1"/>
  <c r="N37" i="3"/>
  <c r="D37" i="3"/>
  <c r="L37" i="3" s="1"/>
  <c r="B37" i="3"/>
  <c r="Z36" i="3"/>
  <c r="X36" i="3"/>
  <c r="P36" i="3"/>
  <c r="N36" i="3"/>
  <c r="D36" i="3"/>
  <c r="L36" i="3" s="1"/>
  <c r="B36" i="3"/>
  <c r="Z35" i="3"/>
  <c r="P35" i="3"/>
  <c r="X35" i="3" s="1"/>
  <c r="N35" i="3"/>
  <c r="D35" i="3"/>
  <c r="L35" i="3" s="1"/>
  <c r="B35" i="3"/>
  <c r="Z34" i="3"/>
  <c r="X34" i="3"/>
  <c r="P34" i="3"/>
  <c r="N34" i="3"/>
  <c r="D34" i="3"/>
  <c r="L34" i="3" s="1"/>
  <c r="B34" i="3"/>
  <c r="Z33" i="3"/>
  <c r="P33" i="3"/>
  <c r="X33" i="3" s="1"/>
  <c r="N33" i="3"/>
  <c r="L33" i="3"/>
  <c r="D33" i="3"/>
  <c r="B33" i="3"/>
  <c r="Z32" i="3"/>
  <c r="P32" i="3"/>
  <c r="X32" i="3" s="1"/>
  <c r="N32" i="3"/>
  <c r="D32" i="3"/>
  <c r="L32" i="3" s="1"/>
  <c r="B32" i="3"/>
  <c r="Z31" i="3"/>
  <c r="X31" i="3"/>
  <c r="P31" i="3"/>
  <c r="N31" i="3"/>
  <c r="L31" i="3"/>
  <c r="D31" i="3"/>
  <c r="B31" i="3"/>
  <c r="Z30" i="3"/>
  <c r="X30" i="3"/>
  <c r="P30" i="3"/>
  <c r="N30" i="3"/>
  <c r="D30" i="3"/>
  <c r="L30" i="3" s="1"/>
  <c r="B30" i="3"/>
  <c r="Z29" i="3"/>
  <c r="P29" i="3"/>
  <c r="X29" i="3" s="1"/>
  <c r="N29" i="3"/>
  <c r="D29" i="3"/>
  <c r="L29" i="3" s="1"/>
  <c r="B29" i="3"/>
  <c r="Z28" i="3"/>
  <c r="P28" i="3"/>
  <c r="X28" i="3" s="1"/>
  <c r="N28" i="3"/>
  <c r="L28" i="3"/>
  <c r="D28" i="3"/>
  <c r="B28" i="3"/>
  <c r="Z27" i="3"/>
  <c r="P27" i="3"/>
  <c r="X27" i="3" s="1"/>
  <c r="N27" i="3"/>
  <c r="L27" i="3"/>
  <c r="D27" i="3"/>
  <c r="B27" i="3"/>
  <c r="Z26" i="3"/>
  <c r="P26" i="3"/>
  <c r="X26" i="3" s="1"/>
  <c r="N26" i="3"/>
  <c r="D26" i="3"/>
  <c r="L26" i="3" s="1"/>
  <c r="B26" i="3"/>
  <c r="Z25" i="3"/>
  <c r="P25" i="3"/>
  <c r="X25" i="3" s="1"/>
  <c r="N25" i="3"/>
  <c r="D25" i="3"/>
  <c r="L25" i="3" s="1"/>
  <c r="B25" i="3"/>
  <c r="Z24" i="3"/>
  <c r="X24" i="3"/>
  <c r="P24" i="3"/>
  <c r="N24" i="3"/>
  <c r="D24" i="3"/>
  <c r="L24" i="3" s="1"/>
  <c r="B24" i="3"/>
  <c r="Z23" i="3"/>
  <c r="P23" i="3"/>
  <c r="X23" i="3" s="1"/>
  <c r="N23" i="3"/>
  <c r="D23" i="3"/>
  <c r="L23" i="3" s="1"/>
  <c r="B23" i="3"/>
  <c r="Z22" i="3"/>
  <c r="X22" i="3"/>
  <c r="P22" i="3"/>
  <c r="N22" i="3"/>
  <c r="D22" i="3"/>
  <c r="L22" i="3" s="1"/>
  <c r="B22" i="3"/>
  <c r="Z21" i="3"/>
  <c r="P21" i="3"/>
  <c r="X21" i="3" s="1"/>
  <c r="N21" i="3"/>
  <c r="L21" i="3"/>
  <c r="D21" i="3"/>
  <c r="B21" i="3"/>
  <c r="Z20" i="3"/>
  <c r="P20" i="3"/>
  <c r="X20" i="3" s="1"/>
  <c r="N20" i="3"/>
  <c r="D20" i="3"/>
  <c r="L20" i="3" s="1"/>
  <c r="B20" i="3"/>
  <c r="Z19" i="3"/>
  <c r="X19" i="3"/>
  <c r="P19" i="3"/>
  <c r="N19" i="3"/>
  <c r="L19" i="3"/>
  <c r="D19" i="3"/>
  <c r="B19" i="3"/>
  <c r="Z18" i="3"/>
  <c r="X18" i="3"/>
  <c r="P18" i="3"/>
  <c r="N18" i="3"/>
  <c r="D18" i="3"/>
  <c r="L18" i="3" s="1"/>
  <c r="B18" i="3"/>
  <c r="Z17" i="3"/>
  <c r="P17" i="3"/>
  <c r="X17" i="3" s="1"/>
  <c r="N17" i="3"/>
  <c r="D17" i="3"/>
  <c r="L17" i="3" s="1"/>
  <c r="B17" i="3"/>
  <c r="Z16" i="3"/>
  <c r="P16" i="3"/>
  <c r="X16" i="3" s="1"/>
  <c r="N16" i="3"/>
  <c r="L16" i="3"/>
  <c r="D16" i="3"/>
  <c r="D12" i="3" s="1"/>
  <c r="B16" i="3"/>
  <c r="Z15" i="3"/>
  <c r="P15" i="3"/>
  <c r="X15" i="3" s="1"/>
  <c r="N15" i="3"/>
  <c r="L15" i="3"/>
  <c r="D15" i="3"/>
  <c r="B15" i="3"/>
  <c r="Z14" i="3"/>
  <c r="P14" i="3"/>
  <c r="X14" i="3" s="1"/>
  <c r="N14" i="3"/>
  <c r="D14" i="3"/>
  <c r="L14" i="3" s="1"/>
  <c r="B14" i="3"/>
  <c r="P13" i="3"/>
  <c r="P12" i="3" s="1"/>
  <c r="D13" i="3"/>
  <c r="L13" i="3" s="1"/>
  <c r="N13" i="3" s="1"/>
  <c r="B13" i="3"/>
  <c r="T12" i="3"/>
  <c r="V235" i="3" s="1"/>
  <c r="H12" i="3"/>
  <c r="J275" i="3" s="1"/>
  <c r="D4" i="3"/>
  <c r="P24" i="111"/>
  <c r="D4" i="113"/>
  <c r="D24" i="113"/>
  <c r="D12" i="111"/>
  <c r="H22" i="111"/>
  <c r="H15" i="112"/>
  <c r="D22" i="111"/>
  <c r="T25" i="112"/>
  <c r="T24" i="112"/>
  <c r="P29" i="112"/>
  <c r="D12" i="113"/>
  <c r="P13" i="112"/>
  <c r="D4" i="112"/>
  <c r="H34" i="111"/>
  <c r="T20" i="53"/>
  <c r="H16" i="50"/>
  <c r="H34" i="53"/>
  <c r="T25" i="50"/>
  <c r="H22" i="53"/>
  <c r="T34" i="49"/>
  <c r="D33" i="53"/>
  <c r="P29" i="50"/>
  <c r="D22" i="53"/>
  <c r="P22" i="50"/>
  <c r="D21" i="53"/>
  <c r="P24" i="49"/>
  <c r="B21" i="52"/>
  <c r="T24" i="53"/>
  <c r="H22" i="50"/>
  <c r="T21" i="53"/>
  <c r="T34" i="46"/>
  <c r="P34" i="43"/>
  <c r="D33" i="47"/>
  <c r="P22" i="43"/>
  <c r="B22" i="52"/>
  <c r="T16" i="46"/>
  <c r="P29" i="53"/>
  <c r="H24" i="44"/>
  <c r="H15" i="50"/>
  <c r="D33" i="44"/>
  <c r="H12" i="52"/>
  <c r="B25" i="44"/>
  <c r="D13" i="43"/>
  <c r="D4" i="46"/>
  <c r="B38" i="50"/>
  <c r="H21" i="46"/>
  <c r="D24" i="49"/>
  <c r="B13" i="46"/>
  <c r="T29" i="43"/>
  <c r="D25" i="41"/>
  <c r="B25" i="41"/>
  <c r="D13" i="40"/>
  <c r="H15" i="41"/>
  <c r="H12" i="43"/>
  <c r="T29" i="41"/>
  <c r="P12" i="41"/>
  <c r="B25" i="47"/>
  <c r="P29" i="40"/>
  <c r="P22" i="40"/>
  <c r="P21" i="40"/>
  <c r="P15" i="41"/>
  <c r="P12" i="37"/>
  <c r="T21" i="37"/>
  <c r="P16" i="38"/>
  <c r="T20" i="34"/>
  <c r="P16" i="35"/>
  <c r="D4" i="38"/>
  <c r="D5" i="35"/>
  <c r="H13" i="37"/>
  <c r="D5" i="34"/>
  <c r="H21" i="37"/>
  <c r="H13" i="34"/>
  <c r="H16" i="37"/>
  <c r="D25" i="34"/>
  <c r="T12" i="37"/>
  <c r="P22" i="37"/>
  <c r="P29" i="31"/>
  <c r="T15" i="32"/>
  <c r="B13" i="34"/>
  <c r="D4" i="29"/>
  <c r="H25" i="32"/>
  <c r="B39" i="32"/>
  <c r="D24" i="29"/>
  <c r="T20" i="35"/>
  <c r="H22" i="31"/>
  <c r="H16" i="34"/>
  <c r="H21" i="31"/>
  <c r="H15" i="32"/>
  <c r="T29" i="34"/>
  <c r="T33" i="28"/>
  <c r="B16" i="32"/>
  <c r="H15" i="34"/>
  <c r="H12" i="29"/>
  <c r="P12" i="26"/>
  <c r="T15" i="22"/>
  <c r="P25" i="26"/>
  <c r="P16" i="22"/>
  <c r="T13" i="26"/>
  <c r="H33" i="22"/>
  <c r="P21" i="26"/>
  <c r="D29" i="23"/>
  <c r="P21" i="28"/>
  <c r="D24" i="23"/>
  <c r="T34" i="29"/>
  <c r="H24" i="26"/>
  <c r="D16" i="23"/>
  <c r="D4" i="28"/>
  <c r="D4" i="25"/>
  <c r="D34" i="29"/>
  <c r="D34" i="25"/>
  <c r="T20" i="111"/>
  <c r="H33" i="112"/>
  <c r="H20" i="113"/>
  <c r="D20" i="113"/>
  <c r="D5" i="111"/>
  <c r="D34" i="111"/>
  <c r="H16" i="111"/>
  <c r="D15" i="112"/>
  <c r="P12" i="112"/>
  <c r="T21" i="112"/>
  <c r="P22" i="112"/>
  <c r="D33" i="112"/>
  <c r="H33" i="113"/>
  <c r="T15" i="112"/>
  <c r="T13" i="53"/>
  <c r="B38" i="49"/>
  <c r="H29" i="53"/>
  <c r="D15" i="50"/>
  <c r="D4" i="53"/>
  <c r="T29" i="49"/>
  <c r="D25" i="53"/>
  <c r="T21" i="50"/>
  <c r="H16" i="53"/>
  <c r="T16" i="50"/>
  <c r="B25" i="52"/>
  <c r="T20" i="49"/>
  <c r="D16" i="52"/>
  <c r="P12" i="53"/>
  <c r="D4" i="50"/>
  <c r="D25" i="50"/>
  <c r="T29" i="46"/>
  <c r="P29" i="43"/>
  <c r="D25" i="47"/>
  <c r="T16" i="43"/>
  <c r="P21" i="49"/>
  <c r="H34" i="44"/>
  <c r="D34" i="50"/>
  <c r="H13" i="44"/>
  <c r="H16" i="49"/>
  <c r="D25" i="44"/>
  <c r="D21" i="49"/>
  <c r="D22" i="44"/>
  <c r="D21" i="52"/>
  <c r="D21" i="44"/>
  <c r="D13" i="50"/>
  <c r="B21" i="44"/>
  <c r="P33" i="47"/>
  <c r="H15" i="49"/>
  <c r="B16" i="43"/>
  <c r="D13" i="41"/>
  <c r="D22" i="41"/>
  <c r="D34" i="38"/>
  <c r="D24" i="40"/>
  <c r="D20" i="41"/>
  <c r="B16" i="41"/>
  <c r="T33" i="40"/>
  <c r="T34" i="44"/>
  <c r="T21" i="40"/>
  <c r="T16" i="40"/>
  <c r="P13" i="40"/>
  <c r="P20" i="40"/>
  <c r="T21" i="41"/>
  <c r="P33" i="35"/>
  <c r="P21" i="37"/>
  <c r="T13" i="34"/>
  <c r="P21" i="34"/>
  <c r="H33" i="37"/>
  <c r="P16" i="34"/>
  <c r="B39" i="35"/>
  <c r="T22" i="40"/>
  <c r="B38" i="35"/>
  <c r="P13" i="49"/>
  <c r="B25" i="35"/>
  <c r="D13" i="34"/>
  <c r="T33" i="35"/>
  <c r="P12" i="35"/>
  <c r="T21" i="31"/>
  <c r="H12" i="32"/>
  <c r="P16" i="32"/>
  <c r="H33" i="28"/>
  <c r="D5" i="32"/>
  <c r="H22" i="32"/>
  <c r="H20" i="29"/>
  <c r="T21" i="34"/>
  <c r="D4" i="31"/>
  <c r="D24" i="32"/>
  <c r="B21" i="29"/>
  <c r="D24" i="31"/>
  <c r="B21" i="32"/>
  <c r="H12" i="38"/>
  <c r="T12" i="32"/>
  <c r="P33" i="32"/>
  <c r="T29" i="31"/>
  <c r="T33" i="25"/>
  <c r="H12" i="22"/>
  <c r="T24" i="25"/>
  <c r="B22" i="35"/>
  <c r="P33" i="25"/>
  <c r="H25" i="22"/>
  <c r="P13" i="26"/>
  <c r="H21" i="23"/>
  <c r="P13" i="28"/>
  <c r="H20" i="23"/>
  <c r="B16" i="29"/>
  <c r="H13" i="26"/>
  <c r="D21" i="22"/>
  <c r="D34" i="26"/>
  <c r="T33" i="23"/>
  <c r="D25" i="28"/>
  <c r="T16" i="111"/>
  <c r="H29" i="112"/>
  <c r="H16" i="113"/>
  <c r="D16" i="113"/>
  <c r="T34" i="113"/>
  <c r="D33" i="111"/>
  <c r="B13" i="111"/>
  <c r="T12" i="112"/>
  <c r="B21" i="111"/>
  <c r="T34" i="111"/>
  <c r="T20" i="112"/>
  <c r="D13" i="112"/>
  <c r="T21" i="111"/>
  <c r="H29" i="113"/>
  <c r="P34" i="52"/>
  <c r="D34" i="49"/>
  <c r="H25" i="53"/>
  <c r="T12" i="50"/>
  <c r="H34" i="52"/>
  <c r="T25" i="49"/>
  <c r="H21" i="53"/>
  <c r="T24" i="49"/>
  <c r="B13" i="53"/>
  <c r="T13" i="50"/>
  <c r="D24" i="52"/>
  <c r="T16" i="49"/>
  <c r="H34" i="50"/>
  <c r="T34" i="52"/>
  <c r="H34" i="49"/>
  <c r="H21" i="50"/>
  <c r="T25" i="46"/>
  <c r="P25" i="43"/>
  <c r="T20" i="47"/>
  <c r="T13" i="43"/>
  <c r="H12" i="49"/>
  <c r="H33" i="44"/>
  <c r="D29" i="50"/>
  <c r="D4" i="44"/>
  <c r="T21" i="47"/>
  <c r="H21" i="44"/>
  <c r="H34" i="47"/>
  <c r="H20" i="44"/>
  <c r="T15" i="49"/>
  <c r="H15" i="44"/>
  <c r="H24" i="49"/>
  <c r="D20" i="44"/>
  <c r="P29" i="47"/>
  <c r="B13" i="47"/>
  <c r="D15" i="43"/>
  <c r="B39" i="40"/>
  <c r="H20" i="41"/>
  <c r="D33" i="38"/>
  <c r="D22" i="40"/>
  <c r="D16" i="41"/>
  <c r="D15" i="41"/>
  <c r="T29" i="40"/>
  <c r="B16" i="44"/>
  <c r="P22" i="47"/>
  <c r="T13" i="40"/>
  <c r="H12" i="40"/>
  <c r="P16" i="40"/>
  <c r="P33" i="38"/>
  <c r="P29" i="35"/>
  <c r="T15" i="37"/>
  <c r="P16" i="44"/>
  <c r="T15" i="34"/>
  <c r="H29" i="37"/>
  <c r="D12" i="34"/>
  <c r="H24" i="35"/>
  <c r="H22" i="38"/>
  <c r="D34" i="35"/>
  <c r="H33" i="40"/>
  <c r="D24" i="35"/>
  <c r="P33" i="44"/>
  <c r="T29" i="35"/>
  <c r="T33" i="34"/>
  <c r="P20" i="29"/>
  <c r="P24" i="31"/>
  <c r="D12" i="32"/>
  <c r="H29" i="28"/>
  <c r="P20" i="31"/>
  <c r="H13" i="32"/>
  <c r="H16" i="29"/>
  <c r="B38" i="32"/>
  <c r="B22" i="29"/>
  <c r="D22" i="32"/>
  <c r="D20" i="29"/>
  <c r="D22" i="31"/>
  <c r="D20" i="32"/>
  <c r="P24" i="37"/>
  <c r="B21" i="31"/>
  <c r="P29" i="32"/>
  <c r="B38" i="29"/>
  <c r="T29" i="25"/>
  <c r="T25" i="29"/>
  <c r="T22" i="25"/>
  <c r="T25" i="31"/>
  <c r="P29" i="25"/>
  <c r="P15" i="22"/>
  <c r="H12" i="26"/>
  <c r="D13" i="23"/>
  <c r="H12" i="28"/>
  <c r="H16" i="23"/>
  <c r="P20" i="28"/>
  <c r="D4" i="26"/>
  <c r="H15" i="22"/>
  <c r="D33" i="26"/>
  <c r="T29" i="23"/>
  <c r="H21" i="28"/>
  <c r="D25" i="25"/>
  <c r="H24" i="113"/>
  <c r="B38" i="113"/>
  <c r="P15" i="112"/>
  <c r="B39" i="112"/>
  <c r="D24" i="112"/>
  <c r="T29" i="113"/>
  <c r="T22" i="113"/>
  <c r="P33" i="113"/>
  <c r="D21" i="111"/>
  <c r="D16" i="111"/>
  <c r="T29" i="111"/>
  <c r="T13" i="112"/>
  <c r="H34" i="113"/>
  <c r="D29" i="112"/>
  <c r="D25" i="111"/>
  <c r="P29" i="52"/>
  <c r="D29" i="49"/>
  <c r="D5" i="53"/>
  <c r="D20" i="49"/>
  <c r="H29" i="52"/>
  <c r="D15" i="49"/>
  <c r="B39" i="52"/>
  <c r="P12" i="49"/>
  <c r="D34" i="52"/>
  <c r="P33" i="49"/>
  <c r="H20" i="52"/>
  <c r="T34" i="53"/>
  <c r="H29" i="50"/>
  <c r="T29" i="52"/>
  <c r="H29" i="49"/>
  <c r="H22" i="49"/>
  <c r="D15" i="46"/>
  <c r="P21" i="53"/>
  <c r="T22" i="46"/>
  <c r="D12" i="53"/>
  <c r="D22" i="47"/>
  <c r="H25" i="44"/>
  <c r="P24" i="47"/>
  <c r="H33" i="43"/>
  <c r="T13" i="47"/>
  <c r="B39" i="43"/>
  <c r="D4" i="47"/>
  <c r="B13" i="44"/>
  <c r="D34" i="47"/>
  <c r="D24" i="43"/>
  <c r="B16" i="47"/>
  <c r="B22" i="43"/>
  <c r="H21" i="47"/>
  <c r="D21" i="46"/>
  <c r="P16" i="50"/>
  <c r="H22" i="40"/>
  <c r="B13" i="41"/>
  <c r="D25" i="38"/>
  <c r="H16" i="40"/>
  <c r="D21" i="40"/>
  <c r="B21" i="40"/>
  <c r="B16" i="40"/>
  <c r="P24" i="41"/>
  <c r="P34" i="44"/>
  <c r="P22" i="38"/>
  <c r="T25" i="44"/>
  <c r="P33" i="46"/>
  <c r="T20" i="38"/>
  <c r="T21" i="35"/>
  <c r="H12" i="37"/>
  <c r="H33" i="38"/>
  <c r="H12" i="34"/>
  <c r="P15" i="37"/>
  <c r="H34" i="40"/>
  <c r="H13" i="35"/>
  <c r="H16" i="38"/>
  <c r="D29" i="35"/>
  <c r="H29" i="38"/>
  <c r="H20" i="35"/>
  <c r="P12" i="38"/>
  <c r="B16" i="35"/>
  <c r="P24" i="32"/>
  <c r="D12" i="29"/>
  <c r="T20" i="31"/>
  <c r="T15" i="31"/>
  <c r="T15" i="38"/>
  <c r="D12" i="31"/>
  <c r="H34" i="31"/>
  <c r="B38" i="28"/>
  <c r="D33" i="32"/>
  <c r="H15" i="29"/>
  <c r="H16" i="32"/>
  <c r="P34" i="41"/>
  <c r="H16" i="31"/>
  <c r="B22" i="31"/>
  <c r="T13" i="35"/>
  <c r="D16" i="31"/>
  <c r="T21" i="32"/>
  <c r="D13" i="29"/>
  <c r="B16" i="25"/>
  <c r="D29" i="28"/>
  <c r="H34" i="23"/>
  <c r="P33" i="28"/>
  <c r="T21" i="25"/>
  <c r="H25" i="29"/>
  <c r="P22" i="25"/>
  <c r="H24" i="22"/>
  <c r="P16" i="26"/>
  <c r="B38" i="22"/>
  <c r="D12" i="28"/>
  <c r="H33" i="25"/>
  <c r="P12" i="32"/>
  <c r="D25" i="26"/>
  <c r="B16" i="23"/>
  <c r="B25" i="26"/>
  <c r="H22" i="113"/>
  <c r="D34" i="113"/>
  <c r="D6" i="112"/>
  <c r="H24" i="112"/>
  <c r="D22" i="112"/>
  <c r="T25" i="113"/>
  <c r="P12" i="113"/>
  <c r="P29" i="113"/>
  <c r="H15" i="111"/>
  <c r="P21" i="113"/>
  <c r="T25" i="111"/>
  <c r="T24" i="111"/>
  <c r="P15" i="113"/>
  <c r="P15" i="111"/>
  <c r="D13" i="111"/>
  <c r="P25" i="52"/>
  <c r="D25" i="49"/>
  <c r="P20" i="52"/>
  <c r="D16" i="49"/>
  <c r="H25" i="52"/>
  <c r="T12" i="49"/>
  <c r="H24" i="52"/>
  <c r="T34" i="47"/>
  <c r="D33" i="52"/>
  <c r="P29" i="49"/>
  <c r="H16" i="52"/>
  <c r="T33" i="53"/>
  <c r="H25" i="50"/>
  <c r="T25" i="52"/>
  <c r="H25" i="49"/>
  <c r="H13" i="49"/>
  <c r="T12" i="46"/>
  <c r="H12" i="53"/>
  <c r="P12" i="46"/>
  <c r="P13" i="52"/>
  <c r="T16" i="47"/>
  <c r="P15" i="44"/>
  <c r="D12" i="47"/>
  <c r="H29" i="43"/>
  <c r="D5" i="47"/>
  <c r="H24" i="43"/>
  <c r="H34" i="46"/>
  <c r="B38" i="43"/>
  <c r="P21" i="47"/>
  <c r="D22" i="43"/>
  <c r="H13" i="47"/>
  <c r="D21" i="43"/>
  <c r="D13" i="47"/>
  <c r="H15" i="46"/>
  <c r="P20" i="44"/>
  <c r="H13" i="40"/>
  <c r="B38" i="40"/>
  <c r="T15" i="47"/>
  <c r="B13" i="40"/>
  <c r="H15" i="40"/>
  <c r="D20" i="40"/>
  <c r="D15" i="40"/>
  <c r="P22" i="41"/>
  <c r="T21" i="44"/>
  <c r="P34" i="46"/>
  <c r="D15" i="44"/>
  <c r="H22" i="41"/>
  <c r="T16" i="38"/>
  <c r="T24" i="34"/>
  <c r="P21" i="35"/>
  <c r="P15" i="38"/>
  <c r="T24" i="40"/>
  <c r="D5" i="37"/>
  <c r="P15" i="40"/>
  <c r="D4" i="35"/>
  <c r="B13" i="38"/>
  <c r="D25" i="35"/>
  <c r="D21" i="38"/>
  <c r="H16" i="35"/>
  <c r="T34" i="37"/>
  <c r="D15" i="35"/>
  <c r="P22" i="32"/>
  <c r="B22" i="38"/>
  <c r="T16" i="31"/>
  <c r="P13" i="31"/>
  <c r="B21" i="35"/>
  <c r="B21" i="38"/>
  <c r="H33" i="31"/>
  <c r="D34" i="28"/>
  <c r="D29" i="32"/>
  <c r="D5" i="40"/>
  <c r="B13" i="32"/>
  <c r="P25" i="38"/>
  <c r="B13" i="31"/>
  <c r="D21" i="31"/>
  <c r="P34" i="34"/>
  <c r="P34" i="29"/>
  <c r="T24" i="31"/>
  <c r="T25" i="28"/>
  <c r="D15" i="25"/>
  <c r="T24" i="28"/>
  <c r="H33" i="23"/>
  <c r="P25" i="28"/>
  <c r="B39" i="23"/>
  <c r="D5" i="29"/>
  <c r="T20" i="25"/>
  <c r="H22" i="22"/>
  <c r="D12" i="26"/>
  <c r="D34" i="22"/>
  <c r="P24" i="29"/>
  <c r="H29" i="25"/>
  <c r="H34" i="29"/>
  <c r="H21" i="26"/>
  <c r="D15" i="23"/>
  <c r="D24" i="26"/>
  <c r="T24" i="23"/>
  <c r="H13" i="113"/>
  <c r="D33" i="113"/>
  <c r="P21" i="111"/>
  <c r="H22" i="112"/>
  <c r="H20" i="112"/>
  <c r="B16" i="113"/>
  <c r="B21" i="112"/>
  <c r="P25" i="113"/>
  <c r="P24" i="113"/>
  <c r="T15" i="113"/>
  <c r="B16" i="111"/>
  <c r="T22" i="111"/>
  <c r="P21" i="112"/>
  <c r="D6" i="113"/>
  <c r="D25" i="112"/>
  <c r="T21" i="52"/>
  <c r="H21" i="49"/>
  <c r="P16" i="52"/>
  <c r="B22" i="47"/>
  <c r="P15" i="52"/>
  <c r="B21" i="47"/>
  <c r="H22" i="52"/>
  <c r="T33" i="47"/>
  <c r="D29" i="52"/>
  <c r="P25" i="49"/>
  <c r="B13" i="52"/>
  <c r="T29" i="53"/>
  <c r="P15" i="50"/>
  <c r="B16" i="52"/>
  <c r="P15" i="49"/>
  <c r="H33" i="47"/>
  <c r="P24" i="44"/>
  <c r="P22" i="52"/>
  <c r="P21" i="44"/>
  <c r="B21" i="50"/>
  <c r="D15" i="47"/>
  <c r="D5" i="44"/>
  <c r="P21" i="46"/>
  <c r="H25" i="43"/>
  <c r="P20" i="46"/>
  <c r="H22" i="43"/>
  <c r="H33" i="46"/>
  <c r="D34" i="43"/>
  <c r="H16" i="47"/>
  <c r="H20" i="43"/>
  <c r="B38" i="46"/>
  <c r="H15" i="43"/>
  <c r="B25" i="46"/>
  <c r="T24" i="44"/>
  <c r="P13" i="43"/>
  <c r="D4" i="40"/>
  <c r="D34" i="40"/>
  <c r="B21" i="46"/>
  <c r="B25" i="38"/>
  <c r="T12" i="47"/>
  <c r="D16" i="40"/>
  <c r="T12" i="40"/>
  <c r="T20" i="41"/>
  <c r="P21" i="41"/>
  <c r="P21" i="43"/>
  <c r="B21" i="43"/>
  <c r="H13" i="41"/>
  <c r="T13" i="38"/>
  <c r="T22" i="34"/>
  <c r="T15" i="35"/>
  <c r="D5" i="38"/>
  <c r="B39" i="38"/>
  <c r="H34" i="35"/>
  <c r="H21" i="38"/>
  <c r="H34" i="34"/>
  <c r="B38" i="37"/>
  <c r="H21" i="35"/>
  <c r="H15" i="38"/>
  <c r="B13" i="35"/>
  <c r="T33" i="37"/>
  <c r="T12" i="35"/>
  <c r="T20" i="32"/>
  <c r="D16" i="38"/>
  <c r="T13" i="31"/>
  <c r="H12" i="31"/>
  <c r="D16" i="35"/>
  <c r="D21" i="37"/>
  <c r="H29" i="31"/>
  <c r="D33" i="28"/>
  <c r="D25" i="32"/>
  <c r="P13" i="38"/>
  <c r="B38" i="31"/>
  <c r="D20" i="38"/>
  <c r="H15" i="52"/>
  <c r="H15" i="31"/>
  <c r="P29" i="34"/>
  <c r="P33" i="29"/>
  <c r="T22" i="31"/>
  <c r="B16" i="28"/>
  <c r="T12" i="25"/>
  <c r="T22" i="28"/>
  <c r="H29" i="23"/>
  <c r="T21" i="28"/>
  <c r="H24" i="23"/>
  <c r="P24" i="28"/>
  <c r="T16" i="25"/>
  <c r="H13" i="22"/>
  <c r="P21" i="25"/>
  <c r="D33" i="22"/>
  <c r="T20" i="29"/>
  <c r="H25" i="25"/>
  <c r="H29" i="29"/>
  <c r="D13" i="26"/>
  <c r="T12" i="23"/>
  <c r="D22" i="26"/>
  <c r="T22" i="23"/>
  <c r="D5" i="113"/>
  <c r="D29" i="113"/>
  <c r="T15" i="111"/>
  <c r="H13" i="112"/>
  <c r="H16" i="112"/>
  <c r="D15" i="113"/>
  <c r="D20" i="112"/>
  <c r="T21" i="113"/>
  <c r="P22" i="113"/>
  <c r="P13" i="113"/>
  <c r="D15" i="111"/>
  <c r="P12" i="111"/>
  <c r="H12" i="112"/>
  <c r="P34" i="111"/>
  <c r="H33" i="111"/>
  <c r="B25" i="50"/>
  <c r="D13" i="49"/>
  <c r="D12" i="52"/>
  <c r="D21" i="47"/>
  <c r="D5" i="52"/>
  <c r="D20" i="47"/>
  <c r="H13" i="52"/>
  <c r="T29" i="47"/>
  <c r="D25" i="52"/>
  <c r="T21" i="49"/>
  <c r="P21" i="50"/>
  <c r="T25" i="53"/>
  <c r="D5" i="50"/>
  <c r="D15" i="52"/>
  <c r="D5" i="49"/>
  <c r="H29" i="47"/>
  <c r="P22" i="44"/>
  <c r="T13" i="52"/>
  <c r="T15" i="44"/>
  <c r="D16" i="50"/>
  <c r="H12" i="47"/>
  <c r="P20" i="43"/>
  <c r="T15" i="46"/>
  <c r="P15" i="43"/>
  <c r="P16" i="46"/>
  <c r="H13" i="43"/>
  <c r="H29" i="46"/>
  <c r="D33" i="43"/>
  <c r="B39" i="46"/>
  <c r="H16" i="43"/>
  <c r="D34" i="46"/>
  <c r="P13" i="53"/>
  <c r="D24" i="46"/>
  <c r="T22" i="44"/>
  <c r="B38" i="41"/>
  <c r="D12" i="50"/>
  <c r="D33" i="40"/>
  <c r="T24" i="43"/>
  <c r="D24" i="38"/>
  <c r="D20" i="46"/>
  <c r="P29" i="44"/>
  <c r="T34" i="38"/>
  <c r="T16" i="41"/>
  <c r="T15" i="41"/>
  <c r="T15" i="43"/>
  <c r="H34" i="41"/>
  <c r="H29" i="40"/>
  <c r="P34" i="37"/>
  <c r="P12" i="34"/>
  <c r="P13" i="35"/>
  <c r="P20" i="37"/>
  <c r="P34" i="38"/>
  <c r="H33" i="35"/>
  <c r="D13" i="38"/>
  <c r="H33" i="34"/>
  <c r="D34" i="37"/>
  <c r="D13" i="35"/>
  <c r="B25" i="37"/>
  <c r="B38" i="34"/>
  <c r="T29" i="37"/>
  <c r="B21" i="34"/>
  <c r="T16" i="32"/>
  <c r="B22" i="37"/>
  <c r="B16" i="38"/>
  <c r="B39" i="29"/>
  <c r="B22" i="34"/>
  <c r="H15" i="37"/>
  <c r="H25" i="31"/>
  <c r="P12" i="40"/>
  <c r="H21" i="32"/>
  <c r="T20" i="37"/>
  <c r="D34" i="31"/>
  <c r="D20" i="35"/>
  <c r="T12" i="38"/>
  <c r="T24" i="29"/>
  <c r="T34" i="32"/>
  <c r="P29" i="29"/>
  <c r="P12" i="31"/>
  <c r="D15" i="28"/>
  <c r="P20" i="23"/>
  <c r="P12" i="28"/>
  <c r="H25" i="23"/>
  <c r="P24" i="26"/>
  <c r="H22" i="23"/>
  <c r="P22" i="28"/>
  <c r="T13" i="25"/>
  <c r="D4" i="22"/>
  <c r="T15" i="25"/>
  <c r="D29" i="22"/>
  <c r="H25" i="28"/>
  <c r="P15" i="25"/>
  <c r="P15" i="29"/>
  <c r="B39" i="25"/>
  <c r="B21" i="22"/>
  <c r="H20" i="26"/>
  <c r="P12" i="23"/>
  <c r="P20" i="112"/>
  <c r="D25" i="113"/>
  <c r="P13" i="111"/>
  <c r="D5" i="112"/>
  <c r="B13" i="112"/>
  <c r="T12" i="113"/>
  <c r="D16" i="112"/>
  <c r="T34" i="112"/>
  <c r="T20" i="113"/>
  <c r="H12" i="113"/>
  <c r="T12" i="111"/>
  <c r="D34" i="112"/>
  <c r="H29" i="111"/>
  <c r="H21" i="111"/>
  <c r="P33" i="111"/>
  <c r="D24" i="50"/>
  <c r="B39" i="47"/>
  <c r="T34" i="50"/>
  <c r="H15" i="47"/>
  <c r="T24" i="50"/>
  <c r="D16" i="47"/>
  <c r="D4" i="52"/>
  <c r="T25" i="47"/>
  <c r="H21" i="52"/>
  <c r="T24" i="47"/>
  <c r="T15" i="50"/>
  <c r="B16" i="53"/>
  <c r="P20" i="49"/>
  <c r="T12" i="52"/>
  <c r="P20" i="47"/>
  <c r="H25" i="47"/>
  <c r="T20" i="44"/>
  <c r="D21" i="50"/>
  <c r="P13" i="44"/>
  <c r="B22" i="49"/>
  <c r="P24" i="46"/>
  <c r="P16" i="43"/>
  <c r="P13" i="46"/>
  <c r="D5" i="43"/>
  <c r="D12" i="46"/>
  <c r="D4" i="43"/>
  <c r="H25" i="46"/>
  <c r="D29" i="43"/>
  <c r="H24" i="46"/>
  <c r="B13" i="43"/>
  <c r="D33" i="46"/>
  <c r="P24" i="52"/>
  <c r="D22" i="46"/>
  <c r="P12" i="44"/>
  <c r="D34" i="41"/>
  <c r="T21" i="46"/>
  <c r="D29" i="40"/>
  <c r="P12" i="43"/>
  <c r="D22" i="38"/>
  <c r="T29" i="44"/>
  <c r="T22" i="43"/>
  <c r="T33" i="38"/>
  <c r="T13" i="41"/>
  <c r="P13" i="41"/>
  <c r="P20" i="41"/>
  <c r="H33" i="41"/>
  <c r="H25" i="38"/>
  <c r="P33" i="37"/>
  <c r="D4" i="41"/>
  <c r="H12" i="35"/>
  <c r="P16" i="37"/>
  <c r="P29" i="38"/>
  <c r="H29" i="35"/>
  <c r="B39" i="37"/>
  <c r="H29" i="34"/>
  <c r="D33" i="37"/>
  <c r="B39" i="34"/>
  <c r="D24" i="37"/>
  <c r="D34" i="34"/>
  <c r="T25" i="37"/>
  <c r="D20" i="34"/>
  <c r="T13" i="32"/>
  <c r="T16" i="35"/>
  <c r="D16" i="37"/>
  <c r="H24" i="29"/>
  <c r="H34" i="32"/>
  <c r="T24" i="35"/>
  <c r="P15" i="31"/>
  <c r="D15" i="38"/>
  <c r="D13" i="32"/>
  <c r="T13" i="37"/>
  <c r="D33" i="31"/>
  <c r="D21" i="34"/>
  <c r="D20" i="37"/>
  <c r="T22" i="29"/>
  <c r="T33" i="32"/>
  <c r="P25" i="29"/>
  <c r="P21" i="29"/>
  <c r="T12" i="28"/>
  <c r="P16" i="23"/>
  <c r="P34" i="26"/>
  <c r="P15" i="23"/>
  <c r="P22" i="26"/>
  <c r="H13" i="23"/>
  <c r="T20" i="28"/>
  <c r="B38" i="23"/>
  <c r="D25" i="29"/>
  <c r="P13" i="25"/>
  <c r="D25" i="22"/>
  <c r="P15" i="28"/>
  <c r="D5" i="25"/>
  <c r="H24" i="28"/>
  <c r="H24" i="25"/>
  <c r="D20" i="22"/>
  <c r="H16" i="26"/>
  <c r="T34" i="22"/>
  <c r="P16" i="112"/>
  <c r="H21" i="113"/>
  <c r="H12" i="111"/>
  <c r="P20" i="111"/>
  <c r="B39" i="111"/>
  <c r="B22" i="112"/>
  <c r="B25" i="111"/>
  <c r="T33" i="112"/>
  <c r="T16" i="113"/>
  <c r="P34" i="112"/>
  <c r="P20" i="113"/>
  <c r="D6" i="111"/>
  <c r="H15" i="113"/>
  <c r="D21" i="113"/>
  <c r="P24" i="53"/>
  <c r="D22" i="50"/>
  <c r="H24" i="47"/>
  <c r="T33" i="50"/>
  <c r="B39" i="53"/>
  <c r="T22" i="50"/>
  <c r="B38" i="53"/>
  <c r="P34" i="50"/>
  <c r="B25" i="53"/>
  <c r="D13" i="52"/>
  <c r="T22" i="47"/>
  <c r="P13" i="50"/>
  <c r="D15" i="53"/>
  <c r="P16" i="49"/>
  <c r="B39" i="50"/>
  <c r="P16" i="47"/>
  <c r="P15" i="47"/>
  <c r="T16" i="44"/>
  <c r="D22" i="49"/>
  <c r="H12" i="44"/>
  <c r="B21" i="53"/>
  <c r="P22" i="46"/>
  <c r="D12" i="43"/>
  <c r="H12" i="46"/>
  <c r="T15" i="53"/>
  <c r="B38" i="44"/>
  <c r="P20" i="53"/>
  <c r="P15" i="46"/>
  <c r="D25" i="43"/>
  <c r="H22" i="46"/>
  <c r="P33" i="53"/>
  <c r="D29" i="46"/>
  <c r="T20" i="52"/>
  <c r="H20" i="46"/>
  <c r="T34" i="43"/>
  <c r="D33" i="41"/>
  <c r="T12" i="44"/>
  <c r="D25" i="40"/>
  <c r="B22" i="41"/>
  <c r="P29" i="46"/>
  <c r="T34" i="41"/>
  <c r="T24" i="41"/>
  <c r="T29" i="38"/>
  <c r="P34" i="40"/>
  <c r="H12" i="41"/>
  <c r="P16" i="41"/>
  <c r="H29" i="41"/>
  <c r="T24" i="37"/>
  <c r="P29" i="37"/>
  <c r="P29" i="41"/>
  <c r="P24" i="34"/>
  <c r="D12" i="37"/>
  <c r="T24" i="38"/>
  <c r="H25" i="35"/>
  <c r="H24" i="37"/>
  <c r="H25" i="34"/>
  <c r="D29" i="37"/>
  <c r="H24" i="34"/>
  <c r="D22" i="37"/>
  <c r="D33" i="34"/>
  <c r="B16" i="37"/>
  <c r="D16" i="34"/>
  <c r="P34" i="31"/>
  <c r="P33" i="34"/>
  <c r="D21" i="35"/>
  <c r="H22" i="29"/>
  <c r="H33" i="32"/>
  <c r="T25" i="34"/>
  <c r="D5" i="31"/>
  <c r="B21" i="37"/>
  <c r="B39" i="31"/>
  <c r="H15" i="35"/>
  <c r="D29" i="31"/>
  <c r="B22" i="32"/>
  <c r="T22" i="35"/>
  <c r="P12" i="29"/>
  <c r="T29" i="32"/>
  <c r="T21" i="29"/>
  <c r="T15" i="29"/>
  <c r="T24" i="26"/>
  <c r="D12" i="23"/>
  <c r="P33" i="26"/>
  <c r="D5" i="23"/>
  <c r="T20" i="26"/>
  <c r="D4" i="23"/>
  <c r="T16" i="28"/>
  <c r="D34" i="23"/>
  <c r="H21" i="29"/>
  <c r="H12" i="25"/>
  <c r="H21" i="22"/>
  <c r="D5" i="28"/>
  <c r="B21" i="23"/>
  <c r="H22" i="28"/>
  <c r="H22" i="25"/>
  <c r="D16" i="22"/>
  <c r="B13" i="26"/>
  <c r="D12" i="112"/>
  <c r="D13" i="113"/>
  <c r="B25" i="113"/>
  <c r="P16" i="111"/>
  <c r="H24" i="111"/>
  <c r="D21" i="112"/>
  <c r="D24" i="111"/>
  <c r="T29" i="112"/>
  <c r="T13" i="113"/>
  <c r="P33" i="112"/>
  <c r="P16" i="113"/>
  <c r="H25" i="113"/>
  <c r="H21" i="112"/>
  <c r="B38" i="112"/>
  <c r="P22" i="53"/>
  <c r="H20" i="50"/>
  <c r="H22" i="47"/>
  <c r="T29" i="50"/>
  <c r="H24" i="53"/>
  <c r="P12" i="50"/>
  <c r="D34" i="53"/>
  <c r="P33" i="50"/>
  <c r="D24" i="53"/>
  <c r="P24" i="50"/>
  <c r="B22" i="53"/>
  <c r="H12" i="50"/>
  <c r="T12" i="53"/>
  <c r="D12" i="49"/>
  <c r="H24" i="50"/>
  <c r="P25" i="53"/>
  <c r="P12" i="47"/>
  <c r="T13" i="44"/>
  <c r="B13" i="49"/>
  <c r="P24" i="43"/>
  <c r="D16" i="53"/>
  <c r="T20" i="46"/>
  <c r="P34" i="53"/>
  <c r="B39" i="44"/>
  <c r="T16" i="52"/>
  <c r="D34" i="44"/>
  <c r="P21" i="52"/>
  <c r="D5" i="46"/>
  <c r="H21" i="43"/>
  <c r="H13" i="46"/>
  <c r="T24" i="52"/>
  <c r="D25" i="46"/>
  <c r="B22" i="50"/>
  <c r="H16" i="46"/>
  <c r="T33" i="43"/>
  <c r="D29" i="41"/>
  <c r="D20" i="43"/>
  <c r="H21" i="40"/>
  <c r="D21" i="41"/>
  <c r="D12" i="44"/>
  <c r="T33" i="41"/>
  <c r="T22" i="41"/>
  <c r="T25" i="38"/>
  <c r="P33" i="40"/>
  <c r="P24" i="40"/>
  <c r="D12" i="41"/>
  <c r="H25" i="41"/>
  <c r="T22" i="37"/>
  <c r="P25" i="37"/>
  <c r="P20" i="38"/>
  <c r="P22" i="34"/>
  <c r="P20" i="35"/>
  <c r="H13" i="38"/>
  <c r="P15" i="35"/>
  <c r="H22" i="37"/>
  <c r="P15" i="34"/>
  <c r="D25" i="37"/>
  <c r="H22" i="34"/>
  <c r="H20" i="37"/>
  <c r="D29" i="34"/>
  <c r="D15" i="37"/>
  <c r="T22" i="38"/>
  <c r="P33" i="31"/>
  <c r="P21" i="32"/>
  <c r="D22" i="34"/>
  <c r="H13" i="29"/>
  <c r="H29" i="32"/>
  <c r="T12" i="34"/>
  <c r="B25" i="29"/>
  <c r="P24" i="35"/>
  <c r="H24" i="31"/>
  <c r="B25" i="34"/>
  <c r="D25" i="31"/>
  <c r="D21" i="32"/>
  <c r="T34" i="34"/>
  <c r="T34" i="28"/>
  <c r="T25" i="32"/>
  <c r="H24" i="38"/>
  <c r="P13" i="29"/>
  <c r="T22" i="26"/>
  <c r="P21" i="22"/>
  <c r="P29" i="26"/>
  <c r="P20" i="22"/>
  <c r="T16" i="26"/>
  <c r="H34" i="22"/>
  <c r="T13" i="28"/>
  <c r="D33" i="23"/>
  <c r="B39" i="28"/>
  <c r="B25" i="23"/>
  <c r="D13" i="22"/>
  <c r="B39" i="26"/>
  <c r="D20" i="23"/>
  <c r="H13" i="28"/>
  <c r="H13" i="25"/>
  <c r="H20" i="34"/>
  <c r="B38" i="25"/>
  <c r="T13" i="111"/>
  <c r="P34" i="113"/>
  <c r="B22" i="113"/>
  <c r="H33" i="52"/>
  <c r="D22" i="52"/>
  <c r="B16" i="46"/>
  <c r="D4" i="49"/>
  <c r="B38" i="47"/>
  <c r="T12" i="43"/>
  <c r="T12" i="41"/>
  <c r="D12" i="40"/>
  <c r="H25" i="37"/>
  <c r="D22" i="35"/>
  <c r="P21" i="31"/>
  <c r="D21" i="29"/>
  <c r="D20" i="31"/>
  <c r="T16" i="29"/>
  <c r="B13" i="23"/>
  <c r="D13" i="28"/>
  <c r="T24" i="32"/>
  <c r="T12" i="26"/>
  <c r="T13" i="22"/>
  <c r="T20" i="19"/>
  <c r="T21" i="16"/>
  <c r="H20" i="25"/>
  <c r="T15" i="17"/>
  <c r="D21" i="23"/>
  <c r="P16" i="17"/>
  <c r="D12" i="25"/>
  <c r="P15" i="19"/>
  <c r="H33" i="14"/>
  <c r="P33" i="22"/>
  <c r="H13" i="19"/>
  <c r="D5" i="16"/>
  <c r="B38" i="19"/>
  <c r="H21" i="17"/>
  <c r="T24" i="22"/>
  <c r="D24" i="17"/>
  <c r="B25" i="14"/>
  <c r="B22" i="28"/>
  <c r="D21" i="17"/>
  <c r="T33" i="20"/>
  <c r="B22" i="16"/>
  <c r="P22" i="20"/>
  <c r="P25" i="17"/>
  <c r="P15" i="26"/>
  <c r="B25" i="10"/>
  <c r="P33" i="7"/>
  <c r="H24" i="4"/>
  <c r="T12" i="14"/>
  <c r="D21" i="10"/>
  <c r="D24" i="5"/>
  <c r="T25" i="14"/>
  <c r="D20" i="10"/>
  <c r="B25" i="4"/>
  <c r="H29" i="13"/>
  <c r="D15" i="10"/>
  <c r="T29" i="19"/>
  <c r="P34" i="11"/>
  <c r="D4" i="8"/>
  <c r="D15" i="5"/>
  <c r="P24" i="11"/>
  <c r="P12" i="20"/>
  <c r="P21" i="11"/>
  <c r="H20" i="8"/>
  <c r="P29" i="5"/>
  <c r="P20" i="11"/>
  <c r="D22" i="7"/>
  <c r="P25" i="4"/>
  <c r="H29" i="11"/>
  <c r="H15" i="7"/>
  <c r="B39" i="11"/>
  <c r="T33" i="8"/>
  <c r="P21" i="4"/>
  <c r="B16" i="14"/>
  <c r="D34" i="10"/>
  <c r="T22" i="7"/>
  <c r="D5" i="4"/>
  <c r="T24" i="5"/>
  <c r="H21" i="4"/>
  <c r="D21" i="4"/>
  <c r="D4" i="7"/>
  <c r="D33" i="8"/>
  <c r="T25" i="4"/>
  <c r="H16" i="5"/>
  <c r="B38" i="7"/>
  <c r="P13" i="5"/>
  <c r="D25" i="10"/>
  <c r="D33" i="11"/>
  <c r="P34" i="49"/>
  <c r="T33" i="44"/>
  <c r="P12" i="25"/>
  <c r="P24" i="19"/>
  <c r="P22" i="29"/>
  <c r="H16" i="20"/>
  <c r="D24" i="22"/>
  <c r="T13" i="8"/>
  <c r="T12" i="11"/>
  <c r="T25" i="5"/>
  <c r="H25" i="13"/>
  <c r="D5" i="10"/>
  <c r="H25" i="4"/>
  <c r="H21" i="8"/>
  <c r="H34" i="112"/>
  <c r="B16" i="112"/>
  <c r="P25" i="111"/>
  <c r="T33" i="49"/>
  <c r="P22" i="49"/>
  <c r="P33" i="43"/>
  <c r="H22" i="44"/>
  <c r="B22" i="44"/>
  <c r="H21" i="41"/>
  <c r="T34" i="40"/>
  <c r="P25" i="44"/>
  <c r="P20" i="34"/>
  <c r="H21" i="34"/>
  <c r="H34" i="28"/>
  <c r="B25" i="32"/>
  <c r="P34" i="32"/>
  <c r="P34" i="25"/>
  <c r="T29" i="29"/>
  <c r="D33" i="25"/>
  <c r="T12" i="31"/>
  <c r="B21" i="25"/>
  <c r="H33" i="26"/>
  <c r="T16" i="19"/>
  <c r="P24" i="14"/>
  <c r="B13" i="25"/>
  <c r="P13" i="17"/>
  <c r="H15" i="23"/>
  <c r="D12" i="17"/>
  <c r="P33" i="23"/>
  <c r="D5" i="19"/>
  <c r="H29" i="14"/>
  <c r="P25" i="22"/>
  <c r="D4" i="19"/>
  <c r="D15" i="31"/>
  <c r="D34" i="19"/>
  <c r="D13" i="17"/>
  <c r="P12" i="22"/>
  <c r="D22" i="17"/>
  <c r="D24" i="14"/>
  <c r="B22" i="26"/>
  <c r="H15" i="17"/>
  <c r="T29" i="20"/>
  <c r="D21" i="16"/>
  <c r="T20" i="20"/>
  <c r="T21" i="17"/>
  <c r="T33" i="19"/>
  <c r="D24" i="10"/>
  <c r="P29" i="7"/>
  <c r="H22" i="4"/>
  <c r="H33" i="13"/>
  <c r="H15" i="10"/>
  <c r="D22" i="5"/>
  <c r="P12" i="14"/>
  <c r="D16" i="10"/>
  <c r="D24" i="4"/>
  <c r="D22" i="13"/>
  <c r="T12" i="10"/>
  <c r="T33" i="17"/>
  <c r="P33" i="11"/>
  <c r="H34" i="7"/>
  <c r="T12" i="5"/>
  <c r="P22" i="11"/>
  <c r="T12" i="17"/>
  <c r="T15" i="11"/>
  <c r="H16" i="8"/>
  <c r="P25" i="5"/>
  <c r="P16" i="11"/>
  <c r="H20" i="7"/>
  <c r="T21" i="4"/>
  <c r="H25" i="11"/>
  <c r="P21" i="5"/>
  <c r="H24" i="11"/>
  <c r="T29" i="8"/>
  <c r="T15" i="4"/>
  <c r="T33" i="13"/>
  <c r="D33" i="10"/>
  <c r="P12" i="7"/>
  <c r="T34" i="7"/>
  <c r="P12" i="5"/>
  <c r="T34" i="19"/>
  <c r="T16" i="4"/>
  <c r="T20" i="4"/>
  <c r="D13" i="8"/>
  <c r="D16" i="14"/>
  <c r="T15" i="8"/>
  <c r="H12" i="11"/>
  <c r="P29" i="23"/>
  <c r="D20" i="13"/>
  <c r="H13" i="10"/>
  <c r="P22" i="4"/>
  <c r="P29" i="111"/>
  <c r="B22" i="40"/>
  <c r="P22" i="35"/>
  <c r="T20" i="22"/>
  <c r="D12" i="19"/>
  <c r="H25" i="16"/>
  <c r="H21" i="16"/>
  <c r="H16" i="22"/>
  <c r="D13" i="5"/>
  <c r="T22" i="14"/>
  <c r="B39" i="13"/>
  <c r="B25" i="7"/>
  <c r="B39" i="14"/>
  <c r="P12" i="8"/>
  <c r="H25" i="112"/>
  <c r="B22" i="111"/>
  <c r="H25" i="111"/>
  <c r="B16" i="49"/>
  <c r="T13" i="49"/>
  <c r="T21" i="43"/>
  <c r="H34" i="43"/>
  <c r="B25" i="43"/>
  <c r="H24" i="40"/>
  <c r="T25" i="40"/>
  <c r="T21" i="38"/>
  <c r="B39" i="41"/>
  <c r="P33" i="41"/>
  <c r="P21" i="38"/>
  <c r="H20" i="32"/>
  <c r="P25" i="32"/>
  <c r="P25" i="25"/>
  <c r="P16" i="28"/>
  <c r="D29" i="25"/>
  <c r="H33" i="29"/>
  <c r="D20" i="25"/>
  <c r="H25" i="26"/>
  <c r="T13" i="19"/>
  <c r="P22" i="14"/>
  <c r="P34" i="22"/>
  <c r="H12" i="17"/>
  <c r="H34" i="20"/>
  <c r="P21" i="16"/>
  <c r="P25" i="23"/>
  <c r="H34" i="17"/>
  <c r="H25" i="14"/>
  <c r="B38" i="20"/>
  <c r="B39" i="17"/>
  <c r="H15" i="28"/>
  <c r="D33" i="19"/>
  <c r="B39" i="16"/>
  <c r="B22" i="20"/>
  <c r="H20" i="17"/>
  <c r="D22" i="14"/>
  <c r="D22" i="25"/>
  <c r="B25" i="16"/>
  <c r="T25" i="20"/>
  <c r="H15" i="16"/>
  <c r="T16" i="20"/>
  <c r="T24" i="16"/>
  <c r="D15" i="19"/>
  <c r="D22" i="10"/>
  <c r="P25" i="7"/>
  <c r="H13" i="4"/>
  <c r="T29" i="13"/>
  <c r="P21" i="8"/>
  <c r="H20" i="5"/>
  <c r="B21" i="13"/>
  <c r="P20" i="8"/>
  <c r="D22" i="4"/>
  <c r="H16" i="13"/>
  <c r="H34" i="8"/>
  <c r="D15" i="17"/>
  <c r="P29" i="11"/>
  <c r="H33" i="7"/>
  <c r="B21" i="4"/>
  <c r="T20" i="11"/>
  <c r="D20" i="16"/>
  <c r="P13" i="11"/>
  <c r="B13" i="8"/>
  <c r="T21" i="5"/>
  <c r="D12" i="11"/>
  <c r="H16" i="7"/>
  <c r="P34" i="28"/>
  <c r="P15" i="11"/>
  <c r="T15" i="5"/>
  <c r="H22" i="11"/>
  <c r="T25" i="8"/>
  <c r="P13" i="4"/>
  <c r="H21" i="13"/>
  <c r="D29" i="10"/>
  <c r="B39" i="5"/>
  <c r="B16" i="7"/>
  <c r="D29" i="4"/>
  <c r="P13" i="13"/>
  <c r="D13" i="4"/>
  <c r="T12" i="4"/>
  <c r="T34" i="4"/>
  <c r="B22" i="4"/>
  <c r="H20" i="4"/>
  <c r="D20" i="4"/>
  <c r="T24" i="4"/>
  <c r="D5" i="11"/>
  <c r="H12" i="4"/>
  <c r="T13" i="4"/>
  <c r="B39" i="113"/>
  <c r="H16" i="44"/>
  <c r="P22" i="31"/>
  <c r="T12" i="22"/>
  <c r="H12" i="19"/>
  <c r="T20" i="23"/>
  <c r="B13" i="19"/>
  <c r="P33" i="17"/>
  <c r="T13" i="7"/>
  <c r="T20" i="13"/>
  <c r="D24" i="8"/>
  <c r="B22" i="7"/>
  <c r="B38" i="8"/>
  <c r="D22" i="113"/>
  <c r="T22" i="112"/>
  <c r="T16" i="53"/>
  <c r="D29" i="53"/>
  <c r="D20" i="52"/>
  <c r="D29" i="47"/>
  <c r="B25" i="49"/>
  <c r="D33" i="50"/>
  <c r="D24" i="41"/>
  <c r="P25" i="46"/>
  <c r="P34" i="35"/>
  <c r="D4" i="37"/>
  <c r="T34" i="35"/>
  <c r="P15" i="32"/>
  <c r="D13" i="31"/>
  <c r="T22" i="32"/>
  <c r="H29" i="22"/>
  <c r="H22" i="26"/>
  <c r="H21" i="25"/>
  <c r="B21" i="28"/>
  <c r="D16" i="25"/>
  <c r="P20" i="25"/>
  <c r="P24" i="17"/>
  <c r="T20" i="14"/>
  <c r="T21" i="22"/>
  <c r="P24" i="16"/>
  <c r="H33" i="20"/>
  <c r="T15" i="16"/>
  <c r="B39" i="20"/>
  <c r="H33" i="17"/>
  <c r="P15" i="14"/>
  <c r="D34" i="20"/>
  <c r="H24" i="17"/>
  <c r="B25" i="22"/>
  <c r="D29" i="19"/>
  <c r="H24" i="16"/>
  <c r="D21" i="20"/>
  <c r="H16" i="17"/>
  <c r="H20" i="14"/>
  <c r="H16" i="25"/>
  <c r="D24" i="16"/>
  <c r="B16" i="20"/>
  <c r="B21" i="14"/>
  <c r="T13" i="20"/>
  <c r="T22" i="16"/>
  <c r="T25" i="17"/>
  <c r="H20" i="10"/>
  <c r="T21" i="7"/>
  <c r="D4" i="4"/>
  <c r="P24" i="13"/>
  <c r="D13" i="13"/>
  <c r="B13" i="13"/>
  <c r="H33" i="8"/>
  <c r="B21" i="16"/>
  <c r="P25" i="11"/>
  <c r="H29" i="7"/>
  <c r="D33" i="14"/>
  <c r="B13" i="7"/>
  <c r="B16" i="8"/>
  <c r="H34" i="5"/>
  <c r="D5" i="5"/>
  <c r="B13" i="113"/>
  <c r="D20" i="111"/>
  <c r="P33" i="52"/>
  <c r="D13" i="53"/>
  <c r="H33" i="50"/>
  <c r="T24" i="46"/>
  <c r="H20" i="47"/>
  <c r="D24" i="47"/>
  <c r="H16" i="41"/>
  <c r="D16" i="43"/>
  <c r="P25" i="35"/>
  <c r="H22" i="35"/>
  <c r="T25" i="35"/>
  <c r="P16" i="31"/>
  <c r="D16" i="29"/>
  <c r="D33" i="29"/>
  <c r="D5" i="22"/>
  <c r="H34" i="25"/>
  <c r="D13" i="25"/>
  <c r="D20" i="28"/>
  <c r="P21" i="23"/>
  <c r="P34" i="23"/>
  <c r="P22" i="17"/>
  <c r="T16" i="14"/>
  <c r="P20" i="20"/>
  <c r="P22" i="16"/>
  <c r="H29" i="20"/>
  <c r="P13" i="16"/>
  <c r="H24" i="20"/>
  <c r="H29" i="17"/>
  <c r="D5" i="14"/>
  <c r="D33" i="20"/>
  <c r="H22" i="17"/>
  <c r="H20" i="22"/>
  <c r="D25" i="19"/>
  <c r="H22" i="16"/>
  <c r="H15" i="20"/>
  <c r="B13" i="17"/>
  <c r="H16" i="14"/>
  <c r="P24" i="23"/>
  <c r="D22" i="16"/>
  <c r="D15" i="20"/>
  <c r="P29" i="28"/>
  <c r="P34" i="19"/>
  <c r="P12" i="16"/>
  <c r="B38" i="14"/>
  <c r="H16" i="10"/>
  <c r="B38" i="5"/>
  <c r="H15" i="26"/>
  <c r="H22" i="13"/>
  <c r="P13" i="8"/>
  <c r="B13" i="5"/>
  <c r="T34" i="11"/>
  <c r="D12" i="8"/>
  <c r="H16" i="4"/>
  <c r="T24" i="11"/>
  <c r="H29" i="8"/>
  <c r="H15" i="14"/>
  <c r="T21" i="11"/>
  <c r="H25" i="7"/>
  <c r="D16" i="4"/>
  <c r="T13" i="11"/>
  <c r="D29" i="14"/>
  <c r="P24" i="10"/>
  <c r="D34" i="7"/>
  <c r="T22" i="4"/>
  <c r="T15" i="10"/>
  <c r="P24" i="5"/>
  <c r="T25" i="19"/>
  <c r="P20" i="10"/>
  <c r="H12" i="5"/>
  <c r="D4" i="11"/>
  <c r="D15" i="8"/>
  <c r="H20" i="28"/>
  <c r="D12" i="13"/>
  <c r="H21" i="10"/>
  <c r="H22" i="5"/>
  <c r="D20" i="5"/>
  <c r="T15" i="13"/>
  <c r="T29" i="4"/>
  <c r="H22" i="10"/>
  <c r="D13" i="11"/>
  <c r="B16" i="4"/>
  <c r="D13" i="14"/>
  <c r="D25" i="11"/>
  <c r="T24" i="113"/>
  <c r="B22" i="46"/>
  <c r="D34" i="32"/>
  <c r="B16" i="26"/>
  <c r="H16" i="28"/>
  <c r="H24" i="19"/>
  <c r="D25" i="13"/>
  <c r="D21" i="11"/>
  <c r="T33" i="14"/>
  <c r="H22" i="8"/>
  <c r="P34" i="5"/>
  <c r="H20" i="13"/>
  <c r="B13" i="11"/>
  <c r="D34" i="11"/>
  <c r="B21" i="113"/>
  <c r="P25" i="112"/>
  <c r="B13" i="50"/>
  <c r="P25" i="50"/>
  <c r="T22" i="53"/>
  <c r="T20" i="43"/>
  <c r="D29" i="44"/>
  <c r="D13" i="46"/>
  <c r="B38" i="38"/>
  <c r="P25" i="40"/>
  <c r="D12" i="38"/>
  <c r="P25" i="41"/>
  <c r="T16" i="37"/>
  <c r="H24" i="32"/>
  <c r="B25" i="31"/>
  <c r="T34" i="25"/>
  <c r="T15" i="26"/>
  <c r="B22" i="22"/>
  <c r="T33" i="22"/>
  <c r="D16" i="28"/>
  <c r="T15" i="23"/>
  <c r="T21" i="23"/>
  <c r="T20" i="17"/>
  <c r="T13" i="14"/>
  <c r="P16" i="20"/>
  <c r="T20" i="16"/>
  <c r="H25" i="20"/>
  <c r="H12" i="16"/>
  <c r="H22" i="20"/>
  <c r="H25" i="17"/>
  <c r="P20" i="13"/>
  <c r="D29" i="20"/>
  <c r="H13" i="17"/>
  <c r="B13" i="22"/>
  <c r="H21" i="19"/>
  <c r="H13" i="16"/>
  <c r="B25" i="19"/>
  <c r="B38" i="16"/>
  <c r="B13" i="14"/>
  <c r="B21" i="20"/>
  <c r="H20" i="16"/>
  <c r="T12" i="20"/>
  <c r="B21" i="26"/>
  <c r="P33" i="19"/>
  <c r="P34" i="14"/>
  <c r="D34" i="14"/>
  <c r="B13" i="10"/>
  <c r="D34" i="5"/>
  <c r="T16" i="23"/>
  <c r="D21" i="13"/>
  <c r="H12" i="8"/>
  <c r="B38" i="4"/>
  <c r="T33" i="11"/>
  <c r="P21" i="7"/>
  <c r="B13" i="4"/>
  <c r="T22" i="11"/>
  <c r="H25" i="8"/>
  <c r="D4" i="14"/>
  <c r="T24" i="10"/>
  <c r="P15" i="7"/>
  <c r="P29" i="22"/>
  <c r="P34" i="10"/>
  <c r="D25" i="14"/>
  <c r="P22" i="10"/>
  <c r="D33" i="7"/>
  <c r="P12" i="4"/>
  <c r="P13" i="10"/>
  <c r="P22" i="5"/>
  <c r="T29" i="17"/>
  <c r="P16" i="10"/>
  <c r="P29" i="20"/>
  <c r="H34" i="10"/>
  <c r="T12" i="8"/>
  <c r="D21" i="26"/>
  <c r="B25" i="11"/>
  <c r="D13" i="10"/>
  <c r="H13" i="5"/>
  <c r="T33" i="4"/>
  <c r="B21" i="5"/>
  <c r="D16" i="16"/>
  <c r="T24" i="8"/>
  <c r="T22" i="8"/>
  <c r="D12" i="4"/>
  <c r="H12" i="13"/>
  <c r="T22" i="5"/>
  <c r="P21" i="14"/>
  <c r="D21" i="5"/>
  <c r="B25" i="112"/>
  <c r="T33" i="111"/>
  <c r="D33" i="49"/>
  <c r="T22" i="49"/>
  <c r="T33" i="52"/>
  <c r="P16" i="53"/>
  <c r="D13" i="44"/>
  <c r="D16" i="44"/>
  <c r="D29" i="38"/>
  <c r="D16" i="46"/>
  <c r="P13" i="37"/>
  <c r="H20" i="38"/>
  <c r="D15" i="34"/>
  <c r="D4" i="32"/>
  <c r="H20" i="31"/>
  <c r="T25" i="25"/>
  <c r="P24" i="25"/>
  <c r="D24" i="34"/>
  <c r="T29" i="22"/>
  <c r="T34" i="26"/>
  <c r="P13" i="23"/>
  <c r="P21" i="20"/>
  <c r="T16" i="17"/>
  <c r="P34" i="13"/>
  <c r="D12" i="20"/>
  <c r="T16" i="16"/>
  <c r="P15" i="20"/>
  <c r="P20" i="14"/>
  <c r="H13" i="20"/>
  <c r="P15" i="17"/>
  <c r="P16" i="13"/>
  <c r="D25" i="20"/>
  <c r="D4" i="17"/>
  <c r="B25" i="20"/>
  <c r="D13" i="19"/>
  <c r="D4" i="16"/>
  <c r="D24" i="19"/>
  <c r="D34" i="16"/>
  <c r="B38" i="13"/>
  <c r="D20" i="20"/>
  <c r="H16" i="16"/>
  <c r="B21" i="19"/>
  <c r="D21" i="25"/>
  <c r="P29" i="19"/>
  <c r="P33" i="14"/>
  <c r="H21" i="14"/>
  <c r="P24" i="8"/>
  <c r="D33" i="5"/>
  <c r="P25" i="20"/>
  <c r="H13" i="13"/>
  <c r="P24" i="7"/>
  <c r="T24" i="20"/>
  <c r="T29" i="11"/>
  <c r="T15" i="7"/>
  <c r="P34" i="20"/>
  <c r="P12" i="11"/>
  <c r="P15" i="8"/>
  <c r="T34" i="13"/>
  <c r="T22" i="10"/>
  <c r="D5" i="7"/>
  <c r="P33" i="20"/>
  <c r="P33" i="10"/>
  <c r="D15" i="14"/>
  <c r="T20" i="10"/>
  <c r="D29" i="7"/>
  <c r="T33" i="29"/>
  <c r="H12" i="10"/>
  <c r="T20" i="5"/>
  <c r="T34" i="14"/>
  <c r="D12" i="10"/>
  <c r="T25" i="16"/>
  <c r="H33" i="10"/>
  <c r="B21" i="7"/>
  <c r="P22" i="23"/>
  <c r="D24" i="11"/>
  <c r="P34" i="8"/>
  <c r="D4" i="5"/>
  <c r="D15" i="4"/>
  <c r="T25" i="7"/>
  <c r="B38" i="11"/>
  <c r="T12" i="7"/>
  <c r="T29" i="7"/>
  <c r="B39" i="7"/>
  <c r="D4" i="10"/>
  <c r="H24" i="10"/>
  <c r="H29" i="5"/>
  <c r="B21" i="49"/>
  <c r="P13" i="34"/>
  <c r="P20" i="26"/>
  <c r="P29" i="16"/>
  <c r="H29" i="19"/>
  <c r="H29" i="26"/>
  <c r="D20" i="17"/>
  <c r="D21" i="14"/>
  <c r="D12" i="7"/>
  <c r="D15" i="13"/>
  <c r="H34" i="11"/>
  <c r="T21" i="8"/>
  <c r="H15" i="4"/>
  <c r="H13" i="111"/>
  <c r="P24" i="112"/>
  <c r="H33" i="53"/>
  <c r="H20" i="53"/>
  <c r="H13" i="50"/>
  <c r="P20" i="50"/>
  <c r="D20" i="50"/>
  <c r="H20" i="49"/>
  <c r="B25" i="40"/>
  <c r="T20" i="40"/>
  <c r="T16" i="34"/>
  <c r="D13" i="37"/>
  <c r="P25" i="31"/>
  <c r="D22" i="29"/>
  <c r="B16" i="34"/>
  <c r="P13" i="22"/>
  <c r="D25" i="23"/>
  <c r="B38" i="26"/>
  <c r="T25" i="22"/>
  <c r="T33" i="26"/>
  <c r="H12" i="23"/>
  <c r="T15" i="20"/>
  <c r="T13" i="17"/>
  <c r="P33" i="13"/>
  <c r="P21" i="19"/>
  <c r="T13" i="16"/>
  <c r="D5" i="20"/>
  <c r="P16" i="14"/>
  <c r="D4" i="20"/>
  <c r="D5" i="17"/>
  <c r="B16" i="31"/>
  <c r="H21" i="20"/>
  <c r="H34" i="16"/>
  <c r="D24" i="20"/>
  <c r="B38" i="17"/>
  <c r="D15" i="29"/>
  <c r="D22" i="19"/>
  <c r="D33" i="16"/>
  <c r="D34" i="13"/>
  <c r="D16" i="20"/>
  <c r="B13" i="16"/>
  <c r="D20" i="19"/>
  <c r="H15" i="25"/>
  <c r="P25" i="19"/>
  <c r="P29" i="14"/>
  <c r="P15" i="13"/>
  <c r="P22" i="8"/>
  <c r="D29" i="5"/>
  <c r="T22" i="19"/>
  <c r="D4" i="13"/>
  <c r="P22" i="7"/>
  <c r="T12" i="19"/>
  <c r="T25" i="11"/>
  <c r="P13" i="7"/>
  <c r="P12" i="19"/>
  <c r="T34" i="10"/>
  <c r="D5" i="8"/>
  <c r="T25" i="13"/>
  <c r="P12" i="10"/>
  <c r="T34" i="5"/>
  <c r="T22" i="17"/>
  <c r="P29" i="10"/>
  <c r="H34" i="13"/>
  <c r="T16" i="10"/>
  <c r="D25" i="7"/>
  <c r="T21" i="20"/>
  <c r="B22" i="8"/>
  <c r="T16" i="5"/>
  <c r="D20" i="14"/>
  <c r="B21" i="8"/>
  <c r="T24" i="14"/>
  <c r="H29" i="10"/>
  <c r="D20" i="7"/>
  <c r="T24" i="19"/>
  <c r="D22" i="11"/>
  <c r="P33" i="8"/>
  <c r="H34" i="4"/>
  <c r="T33" i="7"/>
  <c r="D29" i="8"/>
  <c r="T33" i="113"/>
  <c r="T16" i="112"/>
  <c r="P15" i="53"/>
  <c r="B38" i="52"/>
  <c r="H33" i="49"/>
  <c r="P34" i="47"/>
  <c r="P13" i="47"/>
  <c r="P25" i="47"/>
  <c r="H20" i="40"/>
  <c r="P24" i="38"/>
  <c r="H25" i="40"/>
  <c r="D33" i="35"/>
  <c r="P16" i="29"/>
  <c r="B13" i="29"/>
  <c r="D16" i="32"/>
  <c r="T12" i="29"/>
  <c r="B39" i="22"/>
  <c r="D29" i="26"/>
  <c r="B16" i="22"/>
  <c r="T29" i="26"/>
  <c r="P24" i="22"/>
  <c r="P13" i="20"/>
  <c r="P34" i="16"/>
  <c r="P29" i="13"/>
  <c r="T15" i="19"/>
  <c r="T34" i="31"/>
  <c r="P20" i="19"/>
  <c r="D12" i="14"/>
  <c r="H34" i="19"/>
  <c r="P20" i="16"/>
  <c r="D24" i="28"/>
  <c r="D13" i="20"/>
  <c r="H33" i="16"/>
  <c r="D22" i="20"/>
  <c r="D34" i="17"/>
  <c r="D22" i="28"/>
  <c r="H20" i="19"/>
  <c r="D29" i="16"/>
  <c r="D33" i="13"/>
  <c r="B22" i="19"/>
  <c r="D16" i="26"/>
  <c r="D16" i="19"/>
  <c r="B22" i="23"/>
  <c r="T21" i="19"/>
  <c r="P25" i="14"/>
  <c r="D5" i="13"/>
  <c r="T20" i="8"/>
  <c r="D25" i="5"/>
  <c r="T33" i="16"/>
  <c r="B21" i="11"/>
  <c r="T20" i="7"/>
  <c r="T34" i="17"/>
  <c r="B16" i="11"/>
  <c r="H12" i="7"/>
  <c r="T24" i="17"/>
  <c r="T33" i="10"/>
  <c r="P20" i="7"/>
  <c r="H24" i="13"/>
  <c r="B39" i="8"/>
  <c r="T33" i="5"/>
  <c r="T29" i="16"/>
  <c r="P25" i="10"/>
  <c r="D24" i="13"/>
  <c r="T13" i="10"/>
  <c r="H21" i="7"/>
  <c r="P12" i="17"/>
  <c r="D21" i="8"/>
  <c r="T13" i="5"/>
  <c r="P13" i="14"/>
  <c r="D20" i="8"/>
  <c r="H13" i="14"/>
  <c r="H25" i="10"/>
  <c r="D16" i="7"/>
  <c r="T34" i="16"/>
  <c r="H20" i="11"/>
  <c r="P29" i="8"/>
  <c r="H33" i="4"/>
  <c r="D34" i="4"/>
  <c r="D15" i="7"/>
  <c r="D25" i="8"/>
  <c r="P16" i="4"/>
  <c r="D16" i="5"/>
  <c r="T16" i="13"/>
  <c r="H25" i="5"/>
  <c r="H29" i="44"/>
  <c r="B38" i="111"/>
  <c r="D4" i="111"/>
  <c r="B16" i="50"/>
  <c r="T20" i="50"/>
  <c r="T22" i="52"/>
  <c r="T13" i="46"/>
  <c r="D24" i="44"/>
  <c r="T15" i="52"/>
  <c r="B21" i="41"/>
  <c r="T15" i="40"/>
  <c r="D12" i="35"/>
  <c r="D4" i="34"/>
  <c r="P13" i="32"/>
  <c r="P25" i="34"/>
  <c r="T29" i="28"/>
  <c r="T21" i="26"/>
  <c r="T15" i="28"/>
  <c r="T34" i="23"/>
  <c r="D15" i="22"/>
  <c r="T25" i="26"/>
  <c r="P22" i="22"/>
  <c r="H12" i="20"/>
  <c r="P33" i="16"/>
  <c r="P25" i="13"/>
  <c r="P13" i="19"/>
  <c r="B25" i="28"/>
  <c r="P16" i="19"/>
  <c r="T33" i="31"/>
  <c r="H33" i="19"/>
  <c r="P16" i="16"/>
  <c r="D24" i="25"/>
  <c r="B39" i="19"/>
  <c r="H29" i="16"/>
  <c r="H20" i="20"/>
  <c r="D33" i="17"/>
  <c r="B13" i="28"/>
  <c r="H16" i="19"/>
  <c r="D25" i="16"/>
  <c r="D29" i="13"/>
  <c r="D21" i="19"/>
  <c r="B22" i="25"/>
  <c r="B21" i="17"/>
  <c r="D22" i="22"/>
  <c r="P34" i="17"/>
  <c r="T21" i="14"/>
  <c r="B22" i="11"/>
  <c r="T16" i="8"/>
  <c r="H21" i="5"/>
  <c r="D15" i="16"/>
  <c r="D20" i="11"/>
  <c r="T16" i="7"/>
  <c r="B16" i="17"/>
  <c r="D15" i="11"/>
  <c r="B22" i="5"/>
  <c r="T12" i="16"/>
  <c r="T29" i="10"/>
  <c r="P16" i="7"/>
  <c r="B22" i="13"/>
  <c r="H24" i="8"/>
  <c r="T29" i="5"/>
  <c r="H22" i="14"/>
  <c r="T21" i="10"/>
  <c r="B16" i="13"/>
  <c r="B25" i="8"/>
  <c r="D13" i="7"/>
  <c r="B22" i="14"/>
  <c r="H15" i="8"/>
  <c r="P34" i="4"/>
  <c r="P21" i="13"/>
  <c r="D16" i="8"/>
  <c r="B25" i="13"/>
  <c r="P15" i="10"/>
  <c r="P20" i="5"/>
  <c r="B16" i="16"/>
  <c r="H16" i="11"/>
  <c r="P25" i="8"/>
  <c r="H29" i="4"/>
  <c r="H21" i="11"/>
  <c r="H33" i="5"/>
  <c r="H22" i="7"/>
  <c r="P22" i="13"/>
  <c r="P20" i="4"/>
  <c r="D29" i="11"/>
  <c r="D25" i="4"/>
  <c r="P22" i="111"/>
  <c r="H20" i="111"/>
  <c r="D29" i="111"/>
  <c r="H13" i="53"/>
  <c r="H15" i="53"/>
  <c r="T33" i="46"/>
  <c r="P12" i="52"/>
  <c r="D20" i="53"/>
  <c r="T25" i="43"/>
  <c r="T25" i="41"/>
  <c r="D5" i="41"/>
  <c r="H34" i="37"/>
  <c r="B13" i="37"/>
  <c r="P20" i="32"/>
  <c r="H13" i="31"/>
  <c r="D15" i="32"/>
  <c r="D12" i="22"/>
  <c r="D22" i="23"/>
  <c r="D29" i="29"/>
  <c r="H24" i="41"/>
  <c r="D15" i="26"/>
  <c r="T16" i="22"/>
  <c r="P22" i="19"/>
  <c r="P25" i="16"/>
  <c r="B25" i="25"/>
  <c r="P21" i="17"/>
  <c r="D20" i="26"/>
  <c r="P20" i="17"/>
  <c r="D5" i="26"/>
  <c r="H25" i="19"/>
  <c r="H34" i="14"/>
  <c r="T13" i="23"/>
  <c r="H22" i="19"/>
  <c r="P15" i="16"/>
  <c r="B13" i="20"/>
  <c r="D25" i="17"/>
  <c r="P16" i="25"/>
  <c r="B25" i="17"/>
  <c r="D13" i="16"/>
  <c r="T13" i="29"/>
  <c r="B22" i="17"/>
  <c r="T34" i="20"/>
  <c r="D16" i="17"/>
  <c r="P24" i="20"/>
  <c r="P29" i="17"/>
  <c r="T22" i="13"/>
  <c r="H15" i="11"/>
  <c r="P34" i="7"/>
  <c r="B39" i="4"/>
  <c r="T15" i="14"/>
  <c r="B22" i="10"/>
  <c r="B25" i="5"/>
  <c r="T29" i="14"/>
  <c r="B21" i="10"/>
  <c r="H15" i="5"/>
  <c r="H12" i="14"/>
  <c r="B16" i="10"/>
  <c r="T22" i="20"/>
  <c r="H15" i="13"/>
  <c r="H13" i="8"/>
  <c r="B16" i="5"/>
  <c r="D16" i="13"/>
  <c r="T22" i="22"/>
  <c r="T12" i="13"/>
  <c r="D22" i="8"/>
  <c r="P33" i="5"/>
  <c r="P12" i="13"/>
  <c r="D24" i="7"/>
  <c r="P29" i="4"/>
  <c r="H33" i="11"/>
  <c r="D21" i="7"/>
  <c r="T13" i="13"/>
  <c r="T34" i="8"/>
  <c r="D12" i="5"/>
  <c r="H24" i="14"/>
  <c r="B38" i="10"/>
  <c r="T24" i="7"/>
  <c r="P15" i="4"/>
  <c r="H24" i="7"/>
  <c r="P24" i="4"/>
  <c r="D33" i="4"/>
  <c r="D34" i="8"/>
  <c r="B39" i="10"/>
  <c r="P15" i="5"/>
  <c r="P16" i="8"/>
  <c r="T16" i="11"/>
  <c r="P21" i="10"/>
  <c r="H13" i="11"/>
  <c r="H24" i="5"/>
  <c r="D21" i="28"/>
  <c r="B16" i="19"/>
  <c r="B39" i="49"/>
  <c r="H34" i="38"/>
  <c r="T25" i="23"/>
  <c r="T21" i="13"/>
  <c r="D12" i="16"/>
  <c r="D29" i="17"/>
  <c r="H15" i="19"/>
  <c r="T24" i="13"/>
  <c r="D16" i="11"/>
  <c r="T25" i="10"/>
  <c r="H34" i="26"/>
  <c r="P33" i="4"/>
  <c r="P16" i="5"/>
  <c r="H13" i="7"/>
  <c r="Z24" i="93" l="1"/>
  <c r="N18" i="109"/>
  <c r="X27" i="45"/>
  <c r="X24" i="96"/>
  <c r="Z24" i="96" s="1"/>
  <c r="N39" i="33"/>
  <c r="Z24" i="84"/>
  <c r="L72" i="24"/>
  <c r="N72" i="24" s="1"/>
  <c r="Z54" i="77"/>
  <c r="N63" i="30"/>
  <c r="H74" i="70"/>
  <c r="H78" i="70" s="1"/>
  <c r="X25" i="106"/>
  <c r="Z25" i="106" s="1"/>
  <c r="Z18" i="55"/>
  <c r="Z18" i="58"/>
  <c r="L24" i="101"/>
  <c r="X25" i="104"/>
  <c r="Z169" i="18"/>
  <c r="H76" i="94"/>
  <c r="N24" i="101"/>
  <c r="P76" i="58"/>
  <c r="P80" i="58" s="1"/>
  <c r="Z25" i="89"/>
  <c r="L24" i="108"/>
  <c r="N24" i="108" s="1"/>
  <c r="N27" i="45"/>
  <c r="N49" i="85"/>
  <c r="J25" i="102"/>
  <c r="X24" i="70"/>
  <c r="Z24" i="70" s="1"/>
  <c r="L55" i="71"/>
  <c r="L31" i="76"/>
  <c r="N31" i="76" s="1"/>
  <c r="L18" i="92"/>
  <c r="L18" i="55"/>
  <c r="N18" i="55" s="1"/>
  <c r="L18" i="56"/>
  <c r="N18" i="56" s="1"/>
  <c r="D59" i="68"/>
  <c r="X24" i="88"/>
  <c r="Z25" i="94"/>
  <c r="L55" i="27"/>
  <c r="X39" i="33"/>
  <c r="X38" i="39"/>
  <c r="X55" i="71"/>
  <c r="Z55" i="71" s="1"/>
  <c r="Z31" i="76"/>
  <c r="X54" i="77"/>
  <c r="Z24" i="88"/>
  <c r="X25" i="98"/>
  <c r="Z25" i="98" s="1"/>
  <c r="N152" i="12"/>
  <c r="Z72" i="24"/>
  <c r="L24" i="105"/>
  <c r="N24" i="105" s="1"/>
  <c r="N15" i="4"/>
  <c r="L25" i="4"/>
  <c r="N25" i="5"/>
  <c r="L29" i="8"/>
  <c r="J36" i="13"/>
  <c r="J34" i="13"/>
  <c r="J33" i="13"/>
  <c r="J31" i="13"/>
  <c r="J29" i="13"/>
  <c r="J27" i="13"/>
  <c r="J25" i="13"/>
  <c r="J22" i="13"/>
  <c r="J16" i="13"/>
  <c r="J24" i="13"/>
  <c r="J15" i="13"/>
  <c r="J18" i="13"/>
  <c r="H18" i="13"/>
  <c r="J20" i="13"/>
  <c r="N12" i="13"/>
  <c r="J21" i="13"/>
  <c r="L13" i="14"/>
  <c r="L16" i="14"/>
  <c r="Z25" i="4"/>
  <c r="X15" i="5"/>
  <c r="R21" i="8"/>
  <c r="R20" i="8"/>
  <c r="R18" i="8"/>
  <c r="R16" i="8"/>
  <c r="P18" i="8"/>
  <c r="R15" i="8"/>
  <c r="X12" i="8"/>
  <c r="R24" i="8"/>
  <c r="R22" i="8"/>
  <c r="R27" i="8"/>
  <c r="R36" i="8"/>
  <c r="R25" i="8"/>
  <c r="R34" i="8"/>
  <c r="R33" i="8"/>
  <c r="R31" i="8"/>
  <c r="R29" i="8"/>
  <c r="L29" i="11"/>
  <c r="Z16" i="13"/>
  <c r="X21" i="14"/>
  <c r="F36" i="4"/>
  <c r="F34" i="4"/>
  <c r="F33" i="4"/>
  <c r="F31" i="4"/>
  <c r="F29" i="4"/>
  <c r="F27" i="4"/>
  <c r="F25" i="4"/>
  <c r="F21" i="4"/>
  <c r="D18" i="4"/>
  <c r="F15" i="4"/>
  <c r="F18" i="4"/>
  <c r="F24" i="4"/>
  <c r="F16" i="4"/>
  <c r="L12" i="4"/>
  <c r="F20" i="4"/>
  <c r="F22" i="4"/>
  <c r="X22" i="4"/>
  <c r="Z34" i="4"/>
  <c r="L13" i="8"/>
  <c r="L33" i="8"/>
  <c r="N21" i="8"/>
  <c r="X20" i="4"/>
  <c r="L16" i="5"/>
  <c r="N29" i="5"/>
  <c r="Z29" i="7"/>
  <c r="Z22" i="8"/>
  <c r="L13" i="11"/>
  <c r="L33" i="11"/>
  <c r="V36" i="4"/>
  <c r="V34" i="4"/>
  <c r="V33" i="4"/>
  <c r="V31" i="4"/>
  <c r="V29" i="4"/>
  <c r="V27" i="4"/>
  <c r="V25" i="4"/>
  <c r="V21" i="4"/>
  <c r="V20" i="4"/>
  <c r="V18" i="4"/>
  <c r="V16" i="4"/>
  <c r="V24" i="4"/>
  <c r="T18" i="4"/>
  <c r="Z12" i="4"/>
  <c r="V22" i="4"/>
  <c r="V15" i="4"/>
  <c r="Z20" i="4"/>
  <c r="L34" i="8"/>
  <c r="L34" i="11"/>
  <c r="X22" i="13"/>
  <c r="X16" i="4"/>
  <c r="Z22" i="5"/>
  <c r="V20" i="7"/>
  <c r="V18" i="7"/>
  <c r="V16" i="7"/>
  <c r="T18" i="7"/>
  <c r="V15" i="7"/>
  <c r="Z12" i="7"/>
  <c r="V36" i="7"/>
  <c r="V34" i="7"/>
  <c r="V33" i="7"/>
  <c r="V31" i="7"/>
  <c r="V29" i="7"/>
  <c r="V27" i="7"/>
  <c r="V25" i="7"/>
  <c r="V21" i="7"/>
  <c r="V24" i="7"/>
  <c r="V22" i="7"/>
  <c r="Z24" i="8"/>
  <c r="N22" i="10"/>
  <c r="L21" i="28"/>
  <c r="L13" i="4"/>
  <c r="Z16" i="4"/>
  <c r="L21" i="4"/>
  <c r="L33" i="4"/>
  <c r="N13" i="7"/>
  <c r="N22" i="7"/>
  <c r="L25" i="8"/>
  <c r="N24" i="10"/>
  <c r="L16" i="16"/>
  <c r="Z29" i="4"/>
  <c r="N13" i="10"/>
  <c r="X13" i="13"/>
  <c r="Z34" i="19"/>
  <c r="N21" i="4"/>
  <c r="X24" i="4"/>
  <c r="N33" i="5"/>
  <c r="L15" i="7"/>
  <c r="Z33" i="7"/>
  <c r="Z25" i="7"/>
  <c r="Z15" i="13"/>
  <c r="Z13" i="4"/>
  <c r="L29" i="4"/>
  <c r="R24" i="5"/>
  <c r="R22" i="5"/>
  <c r="R21" i="5"/>
  <c r="R20" i="5"/>
  <c r="R18" i="5"/>
  <c r="R16" i="5"/>
  <c r="P18" i="5"/>
  <c r="R15" i="5"/>
  <c r="X12" i="5"/>
  <c r="R25" i="5"/>
  <c r="R33" i="5"/>
  <c r="R36" i="5"/>
  <c r="R31" i="5"/>
  <c r="R29" i="5"/>
  <c r="R27" i="5"/>
  <c r="R34" i="5"/>
  <c r="Z24" i="5"/>
  <c r="N24" i="7"/>
  <c r="N21" i="11"/>
  <c r="L34" i="4"/>
  <c r="L25" i="11"/>
  <c r="L15" i="4"/>
  <c r="Z33" i="4"/>
  <c r="L20" i="5"/>
  <c r="N34" i="5"/>
  <c r="Z34" i="7"/>
  <c r="X15" i="4"/>
  <c r="N25" i="4"/>
  <c r="N29" i="4"/>
  <c r="N33" i="4"/>
  <c r="N34" i="4"/>
  <c r="N13" i="5"/>
  <c r="N22" i="5"/>
  <c r="N24" i="5"/>
  <c r="R24" i="7"/>
  <c r="R22" i="7"/>
  <c r="R21" i="7"/>
  <c r="R20" i="7"/>
  <c r="R18" i="7"/>
  <c r="R16" i="7"/>
  <c r="P18" i="7"/>
  <c r="R15" i="7"/>
  <c r="X12" i="7"/>
  <c r="R36" i="7"/>
  <c r="R34" i="7"/>
  <c r="R33" i="7"/>
  <c r="R31" i="7"/>
  <c r="R29" i="7"/>
  <c r="R27" i="7"/>
  <c r="R25" i="7"/>
  <c r="Z22" i="7"/>
  <c r="Z24" i="7"/>
  <c r="Z21" i="8"/>
  <c r="X25" i="8"/>
  <c r="X29" i="8"/>
  <c r="X33" i="8"/>
  <c r="X34" i="8"/>
  <c r="L13" i="10"/>
  <c r="N21" i="10"/>
  <c r="L25" i="10"/>
  <c r="L29" i="10"/>
  <c r="L33" i="10"/>
  <c r="L34" i="10"/>
  <c r="N16" i="11"/>
  <c r="N20" i="11"/>
  <c r="L22" i="11"/>
  <c r="L24" i="11"/>
  <c r="F36" i="13"/>
  <c r="F27" i="13"/>
  <c r="F21" i="13"/>
  <c r="F33" i="13"/>
  <c r="F22" i="13"/>
  <c r="F29" i="13"/>
  <c r="F16" i="13"/>
  <c r="F24" i="13"/>
  <c r="F15" i="13"/>
  <c r="F34" i="13"/>
  <c r="F18" i="13"/>
  <c r="F25" i="13"/>
  <c r="D18" i="13"/>
  <c r="F31" i="13"/>
  <c r="L12" i="13"/>
  <c r="F20" i="13"/>
  <c r="L20" i="13"/>
  <c r="N21" i="13"/>
  <c r="Z33" i="13"/>
  <c r="N24" i="14"/>
  <c r="Z34" i="16"/>
  <c r="Z24" i="19"/>
  <c r="X22" i="23"/>
  <c r="L21" i="26"/>
  <c r="N20" i="28"/>
  <c r="J21" i="4"/>
  <c r="H18" i="4"/>
  <c r="J15" i="4"/>
  <c r="N12" i="4"/>
  <c r="J24" i="4"/>
  <c r="J22" i="4"/>
  <c r="J29" i="4"/>
  <c r="J18" i="4"/>
  <c r="J33" i="4"/>
  <c r="J36" i="4"/>
  <c r="J27" i="4"/>
  <c r="J16" i="4"/>
  <c r="J25" i="4"/>
  <c r="J31" i="4"/>
  <c r="J20" i="4"/>
  <c r="J34" i="4"/>
  <c r="X13" i="4"/>
  <c r="Z15" i="4"/>
  <c r="X21" i="4"/>
  <c r="F24" i="5"/>
  <c r="F22" i="5"/>
  <c r="F21" i="5"/>
  <c r="F20" i="5"/>
  <c r="F18" i="5"/>
  <c r="F16" i="5"/>
  <c r="L12" i="5"/>
  <c r="F36" i="5"/>
  <c r="F34" i="5"/>
  <c r="F33" i="5"/>
  <c r="F31" i="5"/>
  <c r="F29" i="5"/>
  <c r="F27" i="5"/>
  <c r="F25" i="5"/>
  <c r="D18" i="5"/>
  <c r="F15" i="5"/>
  <c r="X16" i="5"/>
  <c r="X20" i="5"/>
  <c r="L16" i="7"/>
  <c r="L20" i="7"/>
  <c r="T18" i="8"/>
  <c r="V15" i="8"/>
  <c r="Z12" i="8"/>
  <c r="V36" i="8"/>
  <c r="V34" i="8"/>
  <c r="V33" i="8"/>
  <c r="V31" i="8"/>
  <c r="V29" i="8"/>
  <c r="V27" i="8"/>
  <c r="V25" i="8"/>
  <c r="V24" i="8"/>
  <c r="V22" i="8"/>
  <c r="V20" i="8"/>
  <c r="V18" i="8"/>
  <c r="V16" i="8"/>
  <c r="V21" i="8"/>
  <c r="L15" i="8"/>
  <c r="Z25" i="8"/>
  <c r="Z29" i="8"/>
  <c r="Z33" i="8"/>
  <c r="Z34" i="8"/>
  <c r="X15" i="10"/>
  <c r="N25" i="10"/>
  <c r="N29" i="10"/>
  <c r="N33" i="10"/>
  <c r="N34" i="10"/>
  <c r="N13" i="11"/>
  <c r="N22" i="11"/>
  <c r="N24" i="11"/>
  <c r="Z13" i="13"/>
  <c r="N20" i="13"/>
  <c r="N13" i="14"/>
  <c r="Z24" i="14"/>
  <c r="Z25" i="16"/>
  <c r="X29" i="20"/>
  <c r="J20" i="5"/>
  <c r="J18" i="5"/>
  <c r="J16" i="5"/>
  <c r="H18" i="5"/>
  <c r="J15" i="5"/>
  <c r="N12" i="5"/>
  <c r="J36" i="5"/>
  <c r="J34" i="5"/>
  <c r="J33" i="5"/>
  <c r="J31" i="5"/>
  <c r="J29" i="5"/>
  <c r="J27" i="5"/>
  <c r="J25" i="5"/>
  <c r="J21" i="5"/>
  <c r="J24" i="5"/>
  <c r="J22" i="5"/>
  <c r="X13" i="5"/>
  <c r="Z15" i="5"/>
  <c r="X21" i="5"/>
  <c r="N15" i="7"/>
  <c r="L21" i="7"/>
  <c r="L16" i="8"/>
  <c r="L20" i="8"/>
  <c r="F21" i="10"/>
  <c r="F20" i="10"/>
  <c r="F18" i="10"/>
  <c r="F16" i="10"/>
  <c r="D18" i="10"/>
  <c r="F15" i="10"/>
  <c r="L12" i="10"/>
  <c r="F24" i="10"/>
  <c r="F22" i="10"/>
  <c r="F29" i="10"/>
  <c r="F27" i="10"/>
  <c r="F25" i="10"/>
  <c r="F33" i="10"/>
  <c r="F36" i="10"/>
  <c r="F34" i="10"/>
  <c r="F31" i="10"/>
  <c r="X16" i="10"/>
  <c r="X20" i="10"/>
  <c r="X15" i="11"/>
  <c r="N25" i="11"/>
  <c r="N29" i="11"/>
  <c r="N33" i="11"/>
  <c r="N34" i="11"/>
  <c r="X21" i="13"/>
  <c r="X13" i="14"/>
  <c r="L20" i="14"/>
  <c r="Z34" i="14"/>
  <c r="Z29" i="17"/>
  <c r="Z25" i="19"/>
  <c r="X29" i="23"/>
  <c r="X34" i="28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H18" i="10"/>
  <c r="J15" i="10"/>
  <c r="N12" i="10"/>
  <c r="J36" i="10"/>
  <c r="J34" i="10"/>
  <c r="J33" i="10"/>
  <c r="J31" i="10"/>
  <c r="J29" i="10"/>
  <c r="J27" i="10"/>
  <c r="J25" i="10"/>
  <c r="J24" i="10"/>
  <c r="J22" i="10"/>
  <c r="J20" i="10"/>
  <c r="J18" i="10"/>
  <c r="J16" i="10"/>
  <c r="J21" i="10"/>
  <c r="X13" i="10"/>
  <c r="Z15" i="10"/>
  <c r="X21" i="10"/>
  <c r="F20" i="11"/>
  <c r="F18" i="11"/>
  <c r="F16" i="11"/>
  <c r="D18" i="11"/>
  <c r="F15" i="11"/>
  <c r="L12" i="11"/>
  <c r="F36" i="11"/>
  <c r="F34" i="11"/>
  <c r="F33" i="11"/>
  <c r="F31" i="11"/>
  <c r="F29" i="11"/>
  <c r="F27" i="11"/>
  <c r="F25" i="11"/>
  <c r="F21" i="11"/>
  <c r="F22" i="11"/>
  <c r="F24" i="11"/>
  <c r="X16" i="11"/>
  <c r="X20" i="11"/>
  <c r="R24" i="13"/>
  <c r="R22" i="13"/>
  <c r="P18" i="13"/>
  <c r="R36" i="13"/>
  <c r="R34" i="13"/>
  <c r="R33" i="13"/>
  <c r="R31" i="13"/>
  <c r="R29" i="13"/>
  <c r="R27" i="13"/>
  <c r="R25" i="13"/>
  <c r="R18" i="13"/>
  <c r="R20" i="13"/>
  <c r="X12" i="13"/>
  <c r="R21" i="13"/>
  <c r="R16" i="13"/>
  <c r="R15" i="13"/>
  <c r="N25" i="13"/>
  <c r="R21" i="17"/>
  <c r="R20" i="17"/>
  <c r="R18" i="17"/>
  <c r="R16" i="17"/>
  <c r="P18" i="17"/>
  <c r="R15" i="17"/>
  <c r="X12" i="17"/>
  <c r="R24" i="17"/>
  <c r="R22" i="17"/>
  <c r="R36" i="17"/>
  <c r="R25" i="17"/>
  <c r="R34" i="17"/>
  <c r="R33" i="17"/>
  <c r="R31" i="17"/>
  <c r="R29" i="17"/>
  <c r="R27" i="17"/>
  <c r="Z21" i="20"/>
  <c r="Z33" i="29"/>
  <c r="X12" i="4"/>
  <c r="R36" i="4"/>
  <c r="R34" i="4"/>
  <c r="R33" i="4"/>
  <c r="R31" i="4"/>
  <c r="R29" i="4"/>
  <c r="R27" i="4"/>
  <c r="R25" i="4"/>
  <c r="R24" i="4"/>
  <c r="R22" i="4"/>
  <c r="R20" i="4"/>
  <c r="R18" i="4"/>
  <c r="R16" i="4"/>
  <c r="R21" i="4"/>
  <c r="R15" i="4"/>
  <c r="P18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Z13" i="10"/>
  <c r="Z16" i="10"/>
  <c r="Z20" i="10"/>
  <c r="X22" i="10"/>
  <c r="X24" i="10"/>
  <c r="N12" i="11"/>
  <c r="J36" i="11"/>
  <c r="J34" i="11"/>
  <c r="J33" i="11"/>
  <c r="J31" i="11"/>
  <c r="J29" i="11"/>
  <c r="J27" i="11"/>
  <c r="J25" i="11"/>
  <c r="J24" i="11"/>
  <c r="J22" i="11"/>
  <c r="J21" i="11"/>
  <c r="H18" i="11"/>
  <c r="J15" i="11"/>
  <c r="J20" i="11"/>
  <c r="J18" i="11"/>
  <c r="J16" i="11"/>
  <c r="X13" i="11"/>
  <c r="Z15" i="11"/>
  <c r="X21" i="11"/>
  <c r="V20" i="13"/>
  <c r="V18" i="13"/>
  <c r="V16" i="13"/>
  <c r="V21" i="13"/>
  <c r="V29" i="13"/>
  <c r="V24" i="13"/>
  <c r="T18" i="13"/>
  <c r="V34" i="13"/>
  <c r="V25" i="13"/>
  <c r="Z12" i="13"/>
  <c r="V31" i="13"/>
  <c r="V27" i="13"/>
  <c r="V36" i="13"/>
  <c r="V22" i="13"/>
  <c r="V15" i="13"/>
  <c r="V33" i="13"/>
  <c r="L15" i="13"/>
  <c r="L24" i="13"/>
  <c r="N34" i="13"/>
  <c r="L15" i="14"/>
  <c r="L25" i="14"/>
  <c r="L29" i="14"/>
  <c r="L33" i="14"/>
  <c r="L20" i="16"/>
  <c r="T18" i="17"/>
  <c r="V15" i="17"/>
  <c r="Z12" i="17"/>
  <c r="V36" i="17"/>
  <c r="V34" i="17"/>
  <c r="V33" i="17"/>
  <c r="V31" i="17"/>
  <c r="V29" i="17"/>
  <c r="V27" i="17"/>
  <c r="V25" i="17"/>
  <c r="V20" i="17"/>
  <c r="V18" i="17"/>
  <c r="V16" i="17"/>
  <c r="V24" i="17"/>
  <c r="V22" i="17"/>
  <c r="V21" i="17"/>
  <c r="R20" i="20"/>
  <c r="R18" i="20"/>
  <c r="R16" i="20"/>
  <c r="P18" i="20"/>
  <c r="R15" i="20"/>
  <c r="X12" i="20"/>
  <c r="R21" i="20"/>
  <c r="R36" i="20"/>
  <c r="R25" i="20"/>
  <c r="R34" i="20"/>
  <c r="R24" i="20"/>
  <c r="R33" i="20"/>
  <c r="R22" i="20"/>
  <c r="R31" i="20"/>
  <c r="R29" i="20"/>
  <c r="R27" i="20"/>
  <c r="Z22" i="22"/>
  <c r="N34" i="26"/>
  <c r="Z21" i="10"/>
  <c r="X25" i="10"/>
  <c r="X29" i="10"/>
  <c r="X33" i="10"/>
  <c r="X34" i="10"/>
  <c r="Z13" i="11"/>
  <c r="Z16" i="11"/>
  <c r="Z20" i="11"/>
  <c r="X22" i="11"/>
  <c r="X24" i="11"/>
  <c r="L16" i="13"/>
  <c r="N22" i="14"/>
  <c r="Z29" i="16"/>
  <c r="Z22" i="17"/>
  <c r="X33" i="20"/>
  <c r="X29" i="22"/>
  <c r="L16" i="4"/>
  <c r="L20" i="4"/>
  <c r="Z12" i="5"/>
  <c r="V36" i="5"/>
  <c r="V34" i="5"/>
  <c r="V33" i="5"/>
  <c r="V31" i="5"/>
  <c r="V29" i="5"/>
  <c r="V27" i="5"/>
  <c r="V24" i="5"/>
  <c r="V22" i="5"/>
  <c r="V20" i="5"/>
  <c r="V18" i="5"/>
  <c r="V16" i="5"/>
  <c r="T18" i="5"/>
  <c r="V15" i="5"/>
  <c r="V21" i="5"/>
  <c r="V25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X12" i="10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Z22" i="10"/>
  <c r="Z24" i="10"/>
  <c r="Z21" i="11"/>
  <c r="X25" i="11"/>
  <c r="X29" i="11"/>
  <c r="X33" i="11"/>
  <c r="X34" i="11"/>
  <c r="N15" i="13"/>
  <c r="Z20" i="13"/>
  <c r="N24" i="13"/>
  <c r="Z25" i="13"/>
  <c r="Z34" i="13"/>
  <c r="N15" i="14"/>
  <c r="L15" i="17"/>
  <c r="Z33" i="17"/>
  <c r="Z29" i="19"/>
  <c r="Z22" i="20"/>
  <c r="L12" i="7"/>
  <c r="F24" i="7"/>
  <c r="F22" i="7"/>
  <c r="F21" i="7"/>
  <c r="F20" i="7"/>
  <c r="F18" i="7"/>
  <c r="F16" i="7"/>
  <c r="D18" i="7"/>
  <c r="F15" i="7"/>
  <c r="F34" i="7"/>
  <c r="F27" i="7"/>
  <c r="F33" i="7"/>
  <c r="F31" i="7"/>
  <c r="F29" i="7"/>
  <c r="F36" i="7"/>
  <c r="F25" i="7"/>
  <c r="X16" i="7"/>
  <c r="X20" i="7"/>
  <c r="X15" i="8"/>
  <c r="N25" i="8"/>
  <c r="N29" i="8"/>
  <c r="N33" i="8"/>
  <c r="N34" i="8"/>
  <c r="Z12" i="10"/>
  <c r="V36" i="10"/>
  <c r="V34" i="10"/>
  <c r="V33" i="10"/>
  <c r="V31" i="10"/>
  <c r="V29" i="10"/>
  <c r="V27" i="10"/>
  <c r="V25" i="10"/>
  <c r="V24" i="10"/>
  <c r="V22" i="10"/>
  <c r="V21" i="10"/>
  <c r="V20" i="10"/>
  <c r="V18" i="10"/>
  <c r="V16" i="10"/>
  <c r="T18" i="10"/>
  <c r="V15" i="10"/>
  <c r="L15" i="10"/>
  <c r="Z25" i="10"/>
  <c r="Z29" i="10"/>
  <c r="Z33" i="10"/>
  <c r="Z34" i="10"/>
  <c r="X12" i="11"/>
  <c r="R36" i="11"/>
  <c r="R34" i="11"/>
  <c r="R33" i="11"/>
  <c r="R31" i="11"/>
  <c r="R29" i="11"/>
  <c r="R27" i="11"/>
  <c r="R25" i="11"/>
  <c r="R24" i="11"/>
  <c r="R22" i="11"/>
  <c r="R21" i="11"/>
  <c r="R20" i="11"/>
  <c r="R18" i="11"/>
  <c r="R16" i="11"/>
  <c r="P18" i="11"/>
  <c r="R15" i="11"/>
  <c r="Z22" i="11"/>
  <c r="Z24" i="11"/>
  <c r="N16" i="13"/>
  <c r="L22" i="13"/>
  <c r="N29" i="13"/>
  <c r="J36" i="14"/>
  <c r="J34" i="14"/>
  <c r="J33" i="14"/>
  <c r="J31" i="14"/>
  <c r="J29" i="14"/>
  <c r="J27" i="14"/>
  <c r="J25" i="14"/>
  <c r="J24" i="14"/>
  <c r="J22" i="14"/>
  <c r="H18" i="14"/>
  <c r="J15" i="14"/>
  <c r="N12" i="14"/>
  <c r="J18" i="14"/>
  <c r="J20" i="14"/>
  <c r="J16" i="14"/>
  <c r="J21" i="14"/>
  <c r="Z22" i="14"/>
  <c r="V20" i="16"/>
  <c r="V18" i="16"/>
  <c r="V16" i="16"/>
  <c r="T18" i="16"/>
  <c r="V15" i="16"/>
  <c r="Z12" i="16"/>
  <c r="V21" i="16"/>
  <c r="V33" i="16"/>
  <c r="V22" i="16"/>
  <c r="V31" i="16"/>
  <c r="V29" i="16"/>
  <c r="V27" i="16"/>
  <c r="V36" i="16"/>
  <c r="V25" i="16"/>
  <c r="V24" i="16"/>
  <c r="V34" i="16"/>
  <c r="Z24" i="17"/>
  <c r="R21" i="19"/>
  <c r="R20" i="19"/>
  <c r="R18" i="19"/>
  <c r="R16" i="19"/>
  <c r="P18" i="19"/>
  <c r="R15" i="19"/>
  <c r="X12" i="19"/>
  <c r="R24" i="19"/>
  <c r="R22" i="19"/>
  <c r="R33" i="19"/>
  <c r="R31" i="19"/>
  <c r="R29" i="19"/>
  <c r="R27" i="19"/>
  <c r="R36" i="19"/>
  <c r="R25" i="19"/>
  <c r="R34" i="19"/>
  <c r="X34" i="20"/>
  <c r="N16" i="4"/>
  <c r="N20" i="4"/>
  <c r="L22" i="4"/>
  <c r="L24" i="4"/>
  <c r="N15" i="5"/>
  <c r="L21" i="5"/>
  <c r="N12" i="7"/>
  <c r="J36" i="7"/>
  <c r="J34" i="7"/>
  <c r="J33" i="7"/>
  <c r="J31" i="7"/>
  <c r="J29" i="7"/>
  <c r="J27" i="7"/>
  <c r="J25" i="7"/>
  <c r="J24" i="7"/>
  <c r="J22" i="7"/>
  <c r="J20" i="7"/>
  <c r="J18" i="7"/>
  <c r="J16" i="7"/>
  <c r="H18" i="7"/>
  <c r="J15" i="7"/>
  <c r="J21" i="7"/>
  <c r="X13" i="7"/>
  <c r="Z15" i="7"/>
  <c r="X21" i="7"/>
  <c r="L12" i="8"/>
  <c r="F36" i="8"/>
  <c r="F34" i="8"/>
  <c r="F33" i="8"/>
  <c r="F31" i="8"/>
  <c r="F29" i="8"/>
  <c r="F27" i="8"/>
  <c r="F25" i="8"/>
  <c r="F21" i="8"/>
  <c r="F20" i="8"/>
  <c r="F18" i="8"/>
  <c r="F16" i="8"/>
  <c r="D18" i="8"/>
  <c r="F15" i="8"/>
  <c r="F24" i="8"/>
  <c r="F22" i="8"/>
  <c r="X16" i="8"/>
  <c r="X20" i="8"/>
  <c r="L16" i="10"/>
  <c r="L20" i="10"/>
  <c r="Z12" i="11"/>
  <c r="V36" i="11"/>
  <c r="V34" i="11"/>
  <c r="V33" i="11"/>
  <c r="V31" i="11"/>
  <c r="V29" i="11"/>
  <c r="V27" i="11"/>
  <c r="V25" i="11"/>
  <c r="V24" i="11"/>
  <c r="V22" i="11"/>
  <c r="V21" i="11"/>
  <c r="V20" i="11"/>
  <c r="V18" i="11"/>
  <c r="V16" i="11"/>
  <c r="T18" i="11"/>
  <c r="V15" i="11"/>
  <c r="L15" i="11"/>
  <c r="Z25" i="11"/>
  <c r="Z29" i="11"/>
  <c r="Z33" i="11"/>
  <c r="Z34" i="11"/>
  <c r="L13" i="13"/>
  <c r="R21" i="14"/>
  <c r="P18" i="14"/>
  <c r="R15" i="14"/>
  <c r="R24" i="14"/>
  <c r="R22" i="14"/>
  <c r="X12" i="14"/>
  <c r="R36" i="14"/>
  <c r="R33" i="14"/>
  <c r="R29" i="14"/>
  <c r="R25" i="14"/>
  <c r="R20" i="14"/>
  <c r="R16" i="14"/>
  <c r="R34" i="14"/>
  <c r="R31" i="14"/>
  <c r="R27" i="14"/>
  <c r="R18" i="14"/>
  <c r="Z25" i="14"/>
  <c r="Z29" i="14"/>
  <c r="Z33" i="14"/>
  <c r="Z34" i="17"/>
  <c r="T18" i="19"/>
  <c r="V15" i="19"/>
  <c r="Z12" i="19"/>
  <c r="V36" i="19"/>
  <c r="V34" i="19"/>
  <c r="V33" i="19"/>
  <c r="V31" i="19"/>
  <c r="V29" i="19"/>
  <c r="V27" i="19"/>
  <c r="V25" i="19"/>
  <c r="V20" i="19"/>
  <c r="V18" i="19"/>
  <c r="V16" i="19"/>
  <c r="V22" i="19"/>
  <c r="V21" i="19"/>
  <c r="V24" i="19"/>
  <c r="Z24" i="20"/>
  <c r="N16" i="5"/>
  <c r="N20" i="5"/>
  <c r="L22" i="5"/>
  <c r="L24" i="5"/>
  <c r="Z13" i="7"/>
  <c r="Z16" i="7"/>
  <c r="Z20" i="7"/>
  <c r="X22" i="7"/>
  <c r="X24" i="7"/>
  <c r="J36" i="8"/>
  <c r="J34" i="8"/>
  <c r="J33" i="8"/>
  <c r="J31" i="8"/>
  <c r="J29" i="8"/>
  <c r="J27" i="8"/>
  <c r="J25" i="8"/>
  <c r="J24" i="8"/>
  <c r="J22" i="8"/>
  <c r="J21" i="8"/>
  <c r="H18" i="8"/>
  <c r="J15" i="8"/>
  <c r="N12" i="8"/>
  <c r="J18" i="8"/>
  <c r="J16" i="8"/>
  <c r="J20" i="8"/>
  <c r="X13" i="8"/>
  <c r="Z15" i="8"/>
  <c r="X21" i="8"/>
  <c r="N15" i="10"/>
  <c r="L21" i="10"/>
  <c r="L16" i="11"/>
  <c r="L20" i="11"/>
  <c r="N13" i="13"/>
  <c r="L21" i="13"/>
  <c r="N22" i="13"/>
  <c r="X24" i="13"/>
  <c r="Z29" i="13"/>
  <c r="N33" i="13"/>
  <c r="T18" i="14"/>
  <c r="V15" i="14"/>
  <c r="V36" i="14"/>
  <c r="V34" i="14"/>
  <c r="V33" i="14"/>
  <c r="V31" i="14"/>
  <c r="V29" i="14"/>
  <c r="V27" i="14"/>
  <c r="V25" i="14"/>
  <c r="V20" i="14"/>
  <c r="V18" i="14"/>
  <c r="V16" i="14"/>
  <c r="V22" i="14"/>
  <c r="V24" i="14"/>
  <c r="V21" i="14"/>
  <c r="Z12" i="14"/>
  <c r="Z15" i="14"/>
  <c r="L21" i="14"/>
  <c r="L15" i="16"/>
  <c r="Z33" i="16"/>
  <c r="Z22" i="19"/>
  <c r="X25" i="20"/>
  <c r="Z16" i="23"/>
  <c r="N15" i="26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N16" i="10"/>
  <c r="N20" i="10"/>
  <c r="L22" i="10"/>
  <c r="L24" i="10"/>
  <c r="N15" i="11"/>
  <c r="L21" i="11"/>
  <c r="X15" i="13"/>
  <c r="N21" i="14"/>
  <c r="L34" i="14"/>
  <c r="Z25" i="17"/>
  <c r="L15" i="19"/>
  <c r="Z33" i="19"/>
  <c r="X15" i="26"/>
  <c r="Z22" i="13"/>
  <c r="Z24" i="13"/>
  <c r="Z21" i="14"/>
  <c r="X25" i="14"/>
  <c r="X29" i="14"/>
  <c r="X33" i="14"/>
  <c r="X34" i="14"/>
  <c r="R24" i="16"/>
  <c r="R22" i="16"/>
  <c r="R21" i="16"/>
  <c r="R20" i="16"/>
  <c r="R18" i="16"/>
  <c r="R16" i="16"/>
  <c r="P18" i="16"/>
  <c r="R15" i="16"/>
  <c r="R36" i="16"/>
  <c r="R34" i="16"/>
  <c r="R33" i="16"/>
  <c r="R31" i="16"/>
  <c r="R29" i="16"/>
  <c r="R27" i="16"/>
  <c r="R25" i="16"/>
  <c r="X12" i="16"/>
  <c r="Z22" i="16"/>
  <c r="Z24" i="16"/>
  <c r="Z21" i="17"/>
  <c r="X25" i="17"/>
  <c r="X29" i="17"/>
  <c r="X33" i="17"/>
  <c r="X34" i="17"/>
  <c r="Z21" i="19"/>
  <c r="X25" i="19"/>
  <c r="X29" i="19"/>
  <c r="X33" i="19"/>
  <c r="X34" i="19"/>
  <c r="Z13" i="20"/>
  <c r="Z16" i="20"/>
  <c r="Z20" i="20"/>
  <c r="X22" i="20"/>
  <c r="X24" i="20"/>
  <c r="N16" i="22"/>
  <c r="L22" i="22"/>
  <c r="N15" i="25"/>
  <c r="L21" i="25"/>
  <c r="X29" i="28"/>
  <c r="N15" i="16"/>
  <c r="L21" i="16"/>
  <c r="L16" i="17"/>
  <c r="L20" i="17"/>
  <c r="L16" i="19"/>
  <c r="L20" i="19"/>
  <c r="Z12" i="20"/>
  <c r="V36" i="20"/>
  <c r="V34" i="20"/>
  <c r="V33" i="20"/>
  <c r="V31" i="20"/>
  <c r="V29" i="20"/>
  <c r="V27" i="20"/>
  <c r="V25" i="20"/>
  <c r="V24" i="20"/>
  <c r="V22" i="20"/>
  <c r="T18" i="20"/>
  <c r="V15" i="20"/>
  <c r="V16" i="20"/>
  <c r="V21" i="20"/>
  <c r="V20" i="20"/>
  <c r="V18" i="20"/>
  <c r="L15" i="20"/>
  <c r="Z25" i="20"/>
  <c r="Z29" i="20"/>
  <c r="Z33" i="20"/>
  <c r="Z34" i="20"/>
  <c r="L24" i="22"/>
  <c r="L16" i="26"/>
  <c r="N16" i="16"/>
  <c r="N20" i="16"/>
  <c r="L22" i="16"/>
  <c r="L24" i="16"/>
  <c r="N15" i="17"/>
  <c r="L21" i="17"/>
  <c r="N15" i="19"/>
  <c r="L21" i="19"/>
  <c r="L16" i="20"/>
  <c r="L20" i="20"/>
  <c r="X24" i="23"/>
  <c r="N16" i="25"/>
  <c r="L22" i="25"/>
  <c r="Z13" i="29"/>
  <c r="L25" i="13"/>
  <c r="L29" i="13"/>
  <c r="L33" i="13"/>
  <c r="L34" i="13"/>
  <c r="N16" i="14"/>
  <c r="N20" i="14"/>
  <c r="L22" i="14"/>
  <c r="L24" i="14"/>
  <c r="L13" i="16"/>
  <c r="N21" i="16"/>
  <c r="L25" i="16"/>
  <c r="L29" i="16"/>
  <c r="L33" i="16"/>
  <c r="L34" i="16"/>
  <c r="N16" i="17"/>
  <c r="N20" i="17"/>
  <c r="L22" i="17"/>
  <c r="L24" i="17"/>
  <c r="N16" i="19"/>
  <c r="N20" i="19"/>
  <c r="L22" i="19"/>
  <c r="L24" i="19"/>
  <c r="N15" i="20"/>
  <c r="L21" i="20"/>
  <c r="R20" i="22"/>
  <c r="R18" i="22"/>
  <c r="R16" i="22"/>
  <c r="P18" i="22"/>
  <c r="R15" i="22"/>
  <c r="X12" i="22"/>
  <c r="R21" i="22"/>
  <c r="R34" i="22"/>
  <c r="R27" i="22"/>
  <c r="R33" i="22"/>
  <c r="R25" i="22"/>
  <c r="R31" i="22"/>
  <c r="R24" i="22"/>
  <c r="R36" i="22"/>
  <c r="R29" i="22"/>
  <c r="R22" i="22"/>
  <c r="Z24" i="22"/>
  <c r="X16" i="25"/>
  <c r="N29" i="26"/>
  <c r="L22" i="28"/>
  <c r="L15" i="29"/>
  <c r="N13" i="16"/>
  <c r="N22" i="16"/>
  <c r="N24" i="16"/>
  <c r="L13" i="17"/>
  <c r="N21" i="17"/>
  <c r="L25" i="17"/>
  <c r="L29" i="17"/>
  <c r="L33" i="17"/>
  <c r="L34" i="17"/>
  <c r="L13" i="19"/>
  <c r="N21" i="19"/>
  <c r="L25" i="19"/>
  <c r="L29" i="19"/>
  <c r="L33" i="19"/>
  <c r="L34" i="19"/>
  <c r="N16" i="20"/>
  <c r="N20" i="20"/>
  <c r="L22" i="20"/>
  <c r="L24" i="20"/>
  <c r="N20" i="22"/>
  <c r="N15" i="28"/>
  <c r="L15" i="31"/>
  <c r="X15" i="16"/>
  <c r="N25" i="16"/>
  <c r="N29" i="16"/>
  <c r="N33" i="16"/>
  <c r="N34" i="16"/>
  <c r="N13" i="17"/>
  <c r="N22" i="17"/>
  <c r="N24" i="17"/>
  <c r="N13" i="19"/>
  <c r="N22" i="19"/>
  <c r="N24" i="19"/>
  <c r="L13" i="20"/>
  <c r="N21" i="20"/>
  <c r="L25" i="20"/>
  <c r="L29" i="20"/>
  <c r="L33" i="20"/>
  <c r="L34" i="20"/>
  <c r="X25" i="22"/>
  <c r="X33" i="22"/>
  <c r="Z13" i="23"/>
  <c r="Z20" i="23"/>
  <c r="L24" i="25"/>
  <c r="L24" i="28"/>
  <c r="X16" i="13"/>
  <c r="X20" i="13"/>
  <c r="X15" i="14"/>
  <c r="N25" i="14"/>
  <c r="N29" i="14"/>
  <c r="N33" i="14"/>
  <c r="N34" i="14"/>
  <c r="L12" i="16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F15" i="16"/>
  <c r="D18" i="16"/>
  <c r="X16" i="16"/>
  <c r="X20" i="16"/>
  <c r="X15" i="17"/>
  <c r="N25" i="17"/>
  <c r="N29" i="17"/>
  <c r="N33" i="17"/>
  <c r="N34" i="17"/>
  <c r="X15" i="19"/>
  <c r="N25" i="19"/>
  <c r="N29" i="19"/>
  <c r="N33" i="19"/>
  <c r="N34" i="19"/>
  <c r="N13" i="20"/>
  <c r="N22" i="20"/>
  <c r="N24" i="20"/>
  <c r="X25" i="23"/>
  <c r="X33" i="23"/>
  <c r="L12" i="25"/>
  <c r="F36" i="25"/>
  <c r="F34" i="25"/>
  <c r="F33" i="25"/>
  <c r="F31" i="25"/>
  <c r="F29" i="25"/>
  <c r="F27" i="25"/>
  <c r="F25" i="25"/>
  <c r="F24" i="25"/>
  <c r="F22" i="25"/>
  <c r="D18" i="25"/>
  <c r="F15" i="25"/>
  <c r="F20" i="25"/>
  <c r="F18" i="25"/>
  <c r="F16" i="25"/>
  <c r="F21" i="25"/>
  <c r="X22" i="29"/>
  <c r="Z33" i="31"/>
  <c r="L12" i="14"/>
  <c r="F21" i="14"/>
  <c r="F24" i="14"/>
  <c r="F18" i="14"/>
  <c r="D18" i="14"/>
  <c r="F36" i="14"/>
  <c r="F33" i="14"/>
  <c r="F29" i="14"/>
  <c r="F25" i="14"/>
  <c r="F15" i="14"/>
  <c r="F22" i="14"/>
  <c r="F20" i="14"/>
  <c r="F16" i="14"/>
  <c r="F34" i="14"/>
  <c r="F31" i="14"/>
  <c r="F27" i="14"/>
  <c r="X16" i="14"/>
  <c r="X20" i="14"/>
  <c r="N12" i="16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J15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D18" i="17"/>
  <c r="F15" i="17"/>
  <c r="X16" i="17"/>
  <c r="X20" i="17"/>
  <c r="L12" i="19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X16" i="19"/>
  <c r="X20" i="19"/>
  <c r="X15" i="20"/>
  <c r="N25" i="20"/>
  <c r="N29" i="20"/>
  <c r="N33" i="20"/>
  <c r="N34" i="20"/>
  <c r="N15" i="23"/>
  <c r="L21" i="23"/>
  <c r="L20" i="26"/>
  <c r="N16" i="28"/>
  <c r="Z34" i="31"/>
  <c r="Z13" i="16"/>
  <c r="Z16" i="16"/>
  <c r="Z20" i="16"/>
  <c r="X22" i="16"/>
  <c r="X24" i="16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N12" i="17"/>
  <c r="X13" i="17"/>
  <c r="Z15" i="17"/>
  <c r="X21" i="17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N12" i="19"/>
  <c r="X13" i="19"/>
  <c r="Z15" i="19"/>
  <c r="X21" i="19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L12" i="20"/>
  <c r="X16" i="20"/>
  <c r="X20" i="20"/>
  <c r="Z21" i="22"/>
  <c r="X34" i="22"/>
  <c r="N20" i="25"/>
  <c r="Z21" i="13"/>
  <c r="X25" i="13"/>
  <c r="X29" i="13"/>
  <c r="X33" i="13"/>
  <c r="X34" i="13"/>
  <c r="Z13" i="14"/>
  <c r="Z16" i="14"/>
  <c r="Z20" i="14"/>
  <c r="X22" i="14"/>
  <c r="X24" i="14"/>
  <c r="Z21" i="16"/>
  <c r="X25" i="16"/>
  <c r="X29" i="16"/>
  <c r="X33" i="16"/>
  <c r="X34" i="16"/>
  <c r="Z13" i="17"/>
  <c r="Z16" i="17"/>
  <c r="Z20" i="17"/>
  <c r="X22" i="17"/>
  <c r="X24" i="17"/>
  <c r="Z13" i="19"/>
  <c r="Z16" i="19"/>
  <c r="Z20" i="19"/>
  <c r="X22" i="19"/>
  <c r="X24" i="19"/>
  <c r="J36" i="20"/>
  <c r="J34" i="20"/>
  <c r="J33" i="20"/>
  <c r="J31" i="20"/>
  <c r="J29" i="20"/>
  <c r="J27" i="20"/>
  <c r="J25" i="20"/>
  <c r="J24" i="20"/>
  <c r="J22" i="20"/>
  <c r="J21" i="20"/>
  <c r="J20" i="20"/>
  <c r="J18" i="20"/>
  <c r="J16" i="20"/>
  <c r="H18" i="20"/>
  <c r="J15" i="20"/>
  <c r="N12" i="20"/>
  <c r="X13" i="20"/>
  <c r="Z15" i="20"/>
  <c r="X21" i="20"/>
  <c r="Z21" i="23"/>
  <c r="X34" i="23"/>
  <c r="X20" i="25"/>
  <c r="N25" i="26"/>
  <c r="N33" i="26"/>
  <c r="Z13" i="22"/>
  <c r="Z16" i="22"/>
  <c r="Z20" i="22"/>
  <c r="X22" i="22"/>
  <c r="X24" i="22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N12" i="23"/>
  <c r="X13" i="23"/>
  <c r="Z15" i="23"/>
  <c r="X21" i="23"/>
  <c r="L16" i="25"/>
  <c r="L20" i="25"/>
  <c r="V21" i="26"/>
  <c r="V20" i="26"/>
  <c r="V18" i="26"/>
  <c r="V16" i="26"/>
  <c r="T18" i="26"/>
  <c r="V15" i="26"/>
  <c r="V24" i="26"/>
  <c r="V22" i="26"/>
  <c r="Z12" i="26"/>
  <c r="V31" i="26"/>
  <c r="V36" i="26"/>
  <c r="V29" i="26"/>
  <c r="V34" i="26"/>
  <c r="V27" i="26"/>
  <c r="V33" i="26"/>
  <c r="V25" i="26"/>
  <c r="L15" i="26"/>
  <c r="Z25" i="26"/>
  <c r="Z29" i="26"/>
  <c r="Z33" i="26"/>
  <c r="Z34" i="26"/>
  <c r="L16" i="28"/>
  <c r="L20" i="28"/>
  <c r="N33" i="29"/>
  <c r="V20" i="31"/>
  <c r="V18" i="31"/>
  <c r="V16" i="31"/>
  <c r="T18" i="31"/>
  <c r="V15" i="31"/>
  <c r="Z12" i="31"/>
  <c r="V36" i="31"/>
  <c r="V34" i="31"/>
  <c r="V33" i="31"/>
  <c r="V31" i="31"/>
  <c r="V29" i="31"/>
  <c r="V27" i="31"/>
  <c r="V25" i="31"/>
  <c r="V21" i="31"/>
  <c r="V24" i="31"/>
  <c r="V22" i="31"/>
  <c r="Z24" i="32"/>
  <c r="N24" i="41"/>
  <c r="Z12" i="22"/>
  <c r="V36" i="22"/>
  <c r="V34" i="22"/>
  <c r="V33" i="22"/>
  <c r="V31" i="22"/>
  <c r="V29" i="22"/>
  <c r="V27" i="22"/>
  <c r="V25" i="22"/>
  <c r="V24" i="22"/>
  <c r="V22" i="22"/>
  <c r="T18" i="22"/>
  <c r="V15" i="22"/>
  <c r="V21" i="22"/>
  <c r="V20" i="22"/>
  <c r="V18" i="22"/>
  <c r="V16" i="22"/>
  <c r="L15" i="22"/>
  <c r="Z25" i="22"/>
  <c r="Z29" i="22"/>
  <c r="Z33" i="22"/>
  <c r="Z34" i="22"/>
  <c r="P18" i="23"/>
  <c r="R15" i="23"/>
  <c r="X12" i="23"/>
  <c r="R36" i="23"/>
  <c r="R34" i="23"/>
  <c r="R33" i="23"/>
  <c r="R31" i="23"/>
  <c r="R29" i="23"/>
  <c r="R27" i="23"/>
  <c r="R25" i="23"/>
  <c r="R20" i="23"/>
  <c r="R18" i="23"/>
  <c r="R16" i="23"/>
  <c r="R21" i="23"/>
  <c r="R24" i="23"/>
  <c r="R22" i="23"/>
  <c r="Z22" i="23"/>
  <c r="Z24" i="23"/>
  <c r="L13" i="25"/>
  <c r="N21" i="25"/>
  <c r="L25" i="25"/>
  <c r="L29" i="25"/>
  <c r="L33" i="25"/>
  <c r="L34" i="25"/>
  <c r="N16" i="26"/>
  <c r="N20" i="26"/>
  <c r="L22" i="26"/>
  <c r="L24" i="26"/>
  <c r="L13" i="28"/>
  <c r="N21" i="28"/>
  <c r="L25" i="28"/>
  <c r="L29" i="29"/>
  <c r="L34" i="29"/>
  <c r="N20" i="34"/>
  <c r="L16" i="22"/>
  <c r="L20" i="22"/>
  <c r="V36" i="23"/>
  <c r="V34" i="23"/>
  <c r="V33" i="23"/>
  <c r="V31" i="23"/>
  <c r="V29" i="23"/>
  <c r="V27" i="23"/>
  <c r="V25" i="23"/>
  <c r="V24" i="23"/>
  <c r="V22" i="23"/>
  <c r="V21" i="23"/>
  <c r="V15" i="23"/>
  <c r="V20" i="23"/>
  <c r="Z12" i="23"/>
  <c r="V18" i="23"/>
  <c r="T18" i="23"/>
  <c r="V16" i="23"/>
  <c r="L15" i="23"/>
  <c r="Z25" i="23"/>
  <c r="Z29" i="23"/>
  <c r="Z33" i="23"/>
  <c r="Z34" i="23"/>
  <c r="N13" i="25"/>
  <c r="N22" i="25"/>
  <c r="N24" i="25"/>
  <c r="L13" i="26"/>
  <c r="N21" i="26"/>
  <c r="L25" i="26"/>
  <c r="L29" i="26"/>
  <c r="L33" i="26"/>
  <c r="L34" i="26"/>
  <c r="N13" i="28"/>
  <c r="N22" i="28"/>
  <c r="N24" i="28"/>
  <c r="X15" i="29"/>
  <c r="N29" i="29"/>
  <c r="N34" i="29"/>
  <c r="R21" i="32"/>
  <c r="R20" i="32"/>
  <c r="R18" i="32"/>
  <c r="R16" i="32"/>
  <c r="P18" i="32"/>
  <c r="R15" i="32"/>
  <c r="X12" i="32"/>
  <c r="R24" i="32"/>
  <c r="R22" i="32"/>
  <c r="R36" i="32"/>
  <c r="R34" i="32"/>
  <c r="R33" i="32"/>
  <c r="R31" i="32"/>
  <c r="R29" i="32"/>
  <c r="R27" i="32"/>
  <c r="R25" i="32"/>
  <c r="L24" i="34"/>
  <c r="N15" i="22"/>
  <c r="L21" i="22"/>
  <c r="L16" i="23"/>
  <c r="L20" i="23"/>
  <c r="X15" i="25"/>
  <c r="N25" i="25"/>
  <c r="N29" i="25"/>
  <c r="N33" i="25"/>
  <c r="N34" i="25"/>
  <c r="N13" i="26"/>
  <c r="N22" i="26"/>
  <c r="N24" i="26"/>
  <c r="X15" i="28"/>
  <c r="N25" i="28"/>
  <c r="Z20" i="29"/>
  <c r="X24" i="29"/>
  <c r="F34" i="28"/>
  <c r="F29" i="28"/>
  <c r="L12" i="28"/>
  <c r="F33" i="28"/>
  <c r="F27" i="28"/>
  <c r="F25" i="28"/>
  <c r="F36" i="28"/>
  <c r="F31" i="28"/>
  <c r="F24" i="28"/>
  <c r="F22" i="28"/>
  <c r="D18" i="28"/>
  <c r="F15" i="28"/>
  <c r="F18" i="28"/>
  <c r="F16" i="28"/>
  <c r="F21" i="28"/>
  <c r="F20" i="28"/>
  <c r="X16" i="28"/>
  <c r="X20" i="28"/>
  <c r="Z29" i="29"/>
  <c r="Z34" i="29"/>
  <c r="L13" i="22"/>
  <c r="N21" i="22"/>
  <c r="L25" i="22"/>
  <c r="L29" i="22"/>
  <c r="L33" i="22"/>
  <c r="L34" i="22"/>
  <c r="N16" i="23"/>
  <c r="N20" i="23"/>
  <c r="L22" i="23"/>
  <c r="L24" i="23"/>
  <c r="N12" i="25"/>
  <c r="J24" i="25"/>
  <c r="J22" i="25"/>
  <c r="J21" i="25"/>
  <c r="J20" i="25"/>
  <c r="J18" i="25"/>
  <c r="J16" i="25"/>
  <c r="J33" i="25"/>
  <c r="J25" i="25"/>
  <c r="J31" i="25"/>
  <c r="H18" i="25"/>
  <c r="J36" i="25"/>
  <c r="J29" i="25"/>
  <c r="J34" i="25"/>
  <c r="J27" i="25"/>
  <c r="J15" i="25"/>
  <c r="X13" i="25"/>
  <c r="Z15" i="25"/>
  <c r="X21" i="25"/>
  <c r="L12" i="26"/>
  <c r="F36" i="26"/>
  <c r="F34" i="26"/>
  <c r="F33" i="26"/>
  <c r="F31" i="26"/>
  <c r="F29" i="26"/>
  <c r="F27" i="26"/>
  <c r="F25" i="26"/>
  <c r="F24" i="26"/>
  <c r="F22" i="26"/>
  <c r="F21" i="26"/>
  <c r="F20" i="26"/>
  <c r="F18" i="26"/>
  <c r="D18" i="26"/>
  <c r="F16" i="26"/>
  <c r="F15" i="26"/>
  <c r="X16" i="26"/>
  <c r="X20" i="26"/>
  <c r="N12" i="28"/>
  <c r="J33" i="28"/>
  <c r="J27" i="28"/>
  <c r="J25" i="28"/>
  <c r="J24" i="28"/>
  <c r="J22" i="28"/>
  <c r="J36" i="28"/>
  <c r="J31" i="28"/>
  <c r="J21" i="28"/>
  <c r="J20" i="28"/>
  <c r="J18" i="28"/>
  <c r="J16" i="28"/>
  <c r="J34" i="28"/>
  <c r="J29" i="28"/>
  <c r="H18" i="28"/>
  <c r="J15" i="28"/>
  <c r="X13" i="28"/>
  <c r="Z15" i="28"/>
  <c r="X21" i="28"/>
  <c r="N21" i="29"/>
  <c r="L25" i="29"/>
  <c r="N13" i="22"/>
  <c r="N22" i="22"/>
  <c r="N24" i="22"/>
  <c r="L13" i="23"/>
  <c r="N21" i="23"/>
  <c r="L25" i="23"/>
  <c r="L29" i="23"/>
  <c r="L33" i="23"/>
  <c r="L34" i="23"/>
  <c r="Z13" i="25"/>
  <c r="Z16" i="25"/>
  <c r="Z20" i="25"/>
  <c r="X22" i="25"/>
  <c r="X24" i="25"/>
  <c r="N12" i="26"/>
  <c r="J36" i="26"/>
  <c r="J34" i="26"/>
  <c r="J33" i="26"/>
  <c r="J31" i="26"/>
  <c r="J29" i="26"/>
  <c r="J27" i="26"/>
  <c r="J25" i="26"/>
  <c r="J21" i="26"/>
  <c r="J20" i="26"/>
  <c r="J18" i="26"/>
  <c r="J16" i="26"/>
  <c r="H18" i="26"/>
  <c r="J15" i="26"/>
  <c r="J24" i="26"/>
  <c r="J22" i="26"/>
  <c r="X13" i="26"/>
  <c r="Z15" i="26"/>
  <c r="X21" i="26"/>
  <c r="Z13" i="28"/>
  <c r="Z16" i="28"/>
  <c r="Z20" i="28"/>
  <c r="X22" i="28"/>
  <c r="X24" i="28"/>
  <c r="N25" i="29"/>
  <c r="X15" i="22"/>
  <c r="N25" i="22"/>
  <c r="N29" i="22"/>
  <c r="N33" i="22"/>
  <c r="N34" i="22"/>
  <c r="N13" i="23"/>
  <c r="N22" i="23"/>
  <c r="N24" i="23"/>
  <c r="Z21" i="25"/>
  <c r="X25" i="25"/>
  <c r="X29" i="25"/>
  <c r="X33" i="25"/>
  <c r="X34" i="25"/>
  <c r="Z13" i="26"/>
  <c r="Z16" i="26"/>
  <c r="Z20" i="26"/>
  <c r="X22" i="26"/>
  <c r="X24" i="26"/>
  <c r="Z21" i="28"/>
  <c r="X25" i="28"/>
  <c r="X33" i="28"/>
  <c r="Z16" i="29"/>
  <c r="Z25" i="31"/>
  <c r="F36" i="22"/>
  <c r="F34" i="22"/>
  <c r="F33" i="22"/>
  <c r="F31" i="22"/>
  <c r="F29" i="22"/>
  <c r="F27" i="22"/>
  <c r="F25" i="22"/>
  <c r="F24" i="22"/>
  <c r="F22" i="22"/>
  <c r="F20" i="22"/>
  <c r="F18" i="22"/>
  <c r="F16" i="22"/>
  <c r="D18" i="22"/>
  <c r="F15" i="22"/>
  <c r="L12" i="22"/>
  <c r="F21" i="22"/>
  <c r="X16" i="22"/>
  <c r="X20" i="22"/>
  <c r="X15" i="23"/>
  <c r="N25" i="23"/>
  <c r="N29" i="23"/>
  <c r="N33" i="23"/>
  <c r="N34" i="23"/>
  <c r="R36" i="25"/>
  <c r="R34" i="25"/>
  <c r="R33" i="25"/>
  <c r="R31" i="25"/>
  <c r="R29" i="25"/>
  <c r="R27" i="25"/>
  <c r="R25" i="25"/>
  <c r="R24" i="25"/>
  <c r="R22" i="25"/>
  <c r="R21" i="25"/>
  <c r="R20" i="25"/>
  <c r="R18" i="25"/>
  <c r="R16" i="25"/>
  <c r="X12" i="25"/>
  <c r="P18" i="25"/>
  <c r="R15" i="25"/>
  <c r="Z22" i="25"/>
  <c r="Z24" i="25"/>
  <c r="Z21" i="26"/>
  <c r="X25" i="26"/>
  <c r="X29" i="26"/>
  <c r="X33" i="26"/>
  <c r="X34" i="26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P18" i="28"/>
  <c r="R15" i="28"/>
  <c r="X12" i="28"/>
  <c r="Z22" i="28"/>
  <c r="Z24" i="28"/>
  <c r="L29" i="28"/>
  <c r="Z12" i="29"/>
  <c r="V36" i="29"/>
  <c r="V34" i="29"/>
  <c r="V33" i="29"/>
  <c r="V31" i="29"/>
  <c r="V29" i="29"/>
  <c r="V27" i="29"/>
  <c r="V25" i="29"/>
  <c r="V21" i="29"/>
  <c r="V20" i="29"/>
  <c r="V18" i="29"/>
  <c r="V16" i="29"/>
  <c r="V24" i="29"/>
  <c r="V15" i="29"/>
  <c r="V22" i="29"/>
  <c r="T18" i="29"/>
  <c r="Z25" i="29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J15" i="22"/>
  <c r="N12" i="22"/>
  <c r="H18" i="22"/>
  <c r="X13" i="22"/>
  <c r="Z15" i="22"/>
  <c r="X21" i="22"/>
  <c r="F36" i="23"/>
  <c r="F34" i="23"/>
  <c r="F33" i="23"/>
  <c r="F31" i="23"/>
  <c r="F29" i="23"/>
  <c r="F27" i="23"/>
  <c r="F25" i="23"/>
  <c r="F24" i="23"/>
  <c r="F22" i="23"/>
  <c r="F21" i="23"/>
  <c r="D18" i="23"/>
  <c r="F15" i="23"/>
  <c r="F20" i="23"/>
  <c r="L12" i="23"/>
  <c r="F18" i="23"/>
  <c r="F16" i="23"/>
  <c r="X16" i="23"/>
  <c r="X20" i="23"/>
  <c r="V24" i="25"/>
  <c r="V22" i="25"/>
  <c r="V21" i="25"/>
  <c r="V20" i="25"/>
  <c r="V18" i="25"/>
  <c r="V16" i="25"/>
  <c r="T18" i="25"/>
  <c r="V15" i="25"/>
  <c r="V36" i="25"/>
  <c r="V34" i="25"/>
  <c r="V33" i="25"/>
  <c r="V31" i="25"/>
  <c r="V29" i="25"/>
  <c r="V27" i="25"/>
  <c r="V25" i="25"/>
  <c r="Z12" i="25"/>
  <c r="L15" i="25"/>
  <c r="Z25" i="25"/>
  <c r="Z29" i="25"/>
  <c r="Z33" i="25"/>
  <c r="Z34" i="25"/>
  <c r="R36" i="26"/>
  <c r="R34" i="26"/>
  <c r="R33" i="26"/>
  <c r="R31" i="26"/>
  <c r="R29" i="26"/>
  <c r="R27" i="26"/>
  <c r="R25" i="26"/>
  <c r="R24" i="26"/>
  <c r="R22" i="26"/>
  <c r="R21" i="26"/>
  <c r="R20" i="26"/>
  <c r="R18" i="26"/>
  <c r="R16" i="26"/>
  <c r="P18" i="26"/>
  <c r="R15" i="26"/>
  <c r="X12" i="26"/>
  <c r="Z22" i="26"/>
  <c r="Z24" i="26"/>
  <c r="V24" i="28"/>
  <c r="V22" i="28"/>
  <c r="V33" i="28"/>
  <c r="V21" i="28"/>
  <c r="V27" i="28"/>
  <c r="V20" i="28"/>
  <c r="V18" i="28"/>
  <c r="V16" i="28"/>
  <c r="T18" i="28"/>
  <c r="V15" i="28"/>
  <c r="V36" i="28"/>
  <c r="V31" i="28"/>
  <c r="V25" i="28"/>
  <c r="Z12" i="28"/>
  <c r="V34" i="28"/>
  <c r="V29" i="28"/>
  <c r="L15" i="28"/>
  <c r="Z25" i="28"/>
  <c r="L13" i="29"/>
  <c r="L33" i="29"/>
  <c r="Z29" i="31"/>
  <c r="Z22" i="32"/>
  <c r="J36" i="29"/>
  <c r="J34" i="29"/>
  <c r="J33" i="29"/>
  <c r="J31" i="29"/>
  <c r="J29" i="29"/>
  <c r="J27" i="29"/>
  <c r="J25" i="29"/>
  <c r="J21" i="29"/>
  <c r="H18" i="29"/>
  <c r="J15" i="29"/>
  <c r="N12" i="29"/>
  <c r="J18" i="29"/>
  <c r="J16" i="29"/>
  <c r="J24" i="29"/>
  <c r="J20" i="29"/>
  <c r="J22" i="29"/>
  <c r="X13" i="29"/>
  <c r="Z15" i="29"/>
  <c r="X21" i="29"/>
  <c r="R24" i="31"/>
  <c r="R22" i="31"/>
  <c r="R21" i="31"/>
  <c r="R20" i="31"/>
  <c r="R18" i="31"/>
  <c r="R16" i="31"/>
  <c r="P18" i="31"/>
  <c r="R15" i="31"/>
  <c r="X12" i="31"/>
  <c r="R36" i="31"/>
  <c r="R34" i="31"/>
  <c r="R33" i="31"/>
  <c r="R31" i="31"/>
  <c r="R29" i="31"/>
  <c r="R27" i="31"/>
  <c r="R25" i="31"/>
  <c r="Z22" i="31"/>
  <c r="Z24" i="31"/>
  <c r="Z21" i="32"/>
  <c r="X25" i="32"/>
  <c r="X29" i="32"/>
  <c r="X33" i="32"/>
  <c r="X34" i="32"/>
  <c r="N15" i="34"/>
  <c r="N24" i="38"/>
  <c r="Z21" i="29"/>
  <c r="X25" i="29"/>
  <c r="X29" i="29"/>
  <c r="X33" i="29"/>
  <c r="X34" i="29"/>
  <c r="L16" i="31"/>
  <c r="L20" i="31"/>
  <c r="T18" i="32"/>
  <c r="V15" i="32"/>
  <c r="Z12" i="32"/>
  <c r="V36" i="32"/>
  <c r="V34" i="32"/>
  <c r="V33" i="32"/>
  <c r="V31" i="32"/>
  <c r="V29" i="32"/>
  <c r="V27" i="32"/>
  <c r="V25" i="32"/>
  <c r="V24" i="32"/>
  <c r="V22" i="32"/>
  <c r="V20" i="32"/>
  <c r="V18" i="32"/>
  <c r="V16" i="32"/>
  <c r="V21" i="32"/>
  <c r="L15" i="32"/>
  <c r="Z25" i="32"/>
  <c r="Z29" i="32"/>
  <c r="Z33" i="32"/>
  <c r="Z34" i="32"/>
  <c r="X29" i="34"/>
  <c r="X34" i="34"/>
  <c r="Z13" i="35"/>
  <c r="X22" i="35"/>
  <c r="X24" i="37"/>
  <c r="N12" i="38"/>
  <c r="J33" i="38"/>
  <c r="J27" i="38"/>
  <c r="J21" i="38"/>
  <c r="J22" i="38"/>
  <c r="J20" i="38"/>
  <c r="J18" i="38"/>
  <c r="J16" i="38"/>
  <c r="J34" i="38"/>
  <c r="J29" i="38"/>
  <c r="H18" i="38"/>
  <c r="J15" i="38"/>
  <c r="J36" i="38"/>
  <c r="J31" i="38"/>
  <c r="J25" i="38"/>
  <c r="J24" i="38"/>
  <c r="Z29" i="28"/>
  <c r="Z33" i="28"/>
  <c r="Z34" i="28"/>
  <c r="P18" i="29"/>
  <c r="R15" i="29"/>
  <c r="X12" i="29"/>
  <c r="R36" i="29"/>
  <c r="R34" i="29"/>
  <c r="R33" i="29"/>
  <c r="R31" i="29"/>
  <c r="R29" i="29"/>
  <c r="R27" i="29"/>
  <c r="R25" i="29"/>
  <c r="R24" i="29"/>
  <c r="R22" i="29"/>
  <c r="R20" i="29"/>
  <c r="R18" i="29"/>
  <c r="R16" i="29"/>
  <c r="R21" i="29"/>
  <c r="Z22" i="29"/>
  <c r="Z24" i="29"/>
  <c r="N15" i="31"/>
  <c r="L21" i="31"/>
  <c r="L16" i="32"/>
  <c r="L20" i="32"/>
  <c r="Z29" i="34"/>
  <c r="Z34" i="34"/>
  <c r="Z22" i="35"/>
  <c r="L20" i="37"/>
  <c r="V21" i="38"/>
  <c r="V20" i="38"/>
  <c r="V18" i="38"/>
  <c r="V16" i="38"/>
  <c r="V22" i="38"/>
  <c r="T18" i="38"/>
  <c r="V15" i="38"/>
  <c r="V34" i="38"/>
  <c r="V29" i="38"/>
  <c r="V24" i="38"/>
  <c r="V36" i="38"/>
  <c r="V31" i="38"/>
  <c r="V25" i="38"/>
  <c r="Z12" i="38"/>
  <c r="V33" i="38"/>
  <c r="V27" i="38"/>
  <c r="N15" i="52"/>
  <c r="N16" i="31"/>
  <c r="N20" i="31"/>
  <c r="L22" i="31"/>
  <c r="L24" i="31"/>
  <c r="N15" i="32"/>
  <c r="L21" i="32"/>
  <c r="L21" i="34"/>
  <c r="L20" i="35"/>
  <c r="L20" i="38"/>
  <c r="X25" i="38"/>
  <c r="X34" i="41"/>
  <c r="L16" i="29"/>
  <c r="L20" i="29"/>
  <c r="L13" i="31"/>
  <c r="N21" i="31"/>
  <c r="L25" i="31"/>
  <c r="L29" i="31"/>
  <c r="L33" i="31"/>
  <c r="L34" i="31"/>
  <c r="N16" i="32"/>
  <c r="N20" i="32"/>
  <c r="L22" i="32"/>
  <c r="L24" i="32"/>
  <c r="N16" i="34"/>
  <c r="N15" i="35"/>
  <c r="Z13" i="37"/>
  <c r="Z20" i="37"/>
  <c r="X13" i="38"/>
  <c r="N15" i="29"/>
  <c r="L21" i="29"/>
  <c r="N13" i="31"/>
  <c r="N22" i="31"/>
  <c r="N24" i="31"/>
  <c r="L13" i="32"/>
  <c r="N21" i="32"/>
  <c r="L25" i="32"/>
  <c r="L29" i="32"/>
  <c r="L33" i="32"/>
  <c r="L34" i="32"/>
  <c r="Z21" i="34"/>
  <c r="X25" i="34"/>
  <c r="Z20" i="35"/>
  <c r="X24" i="35"/>
  <c r="L15" i="38"/>
  <c r="X12" i="40"/>
  <c r="R24" i="40"/>
  <c r="R22" i="40"/>
  <c r="R21" i="40"/>
  <c r="R20" i="40"/>
  <c r="R18" i="40"/>
  <c r="R16" i="40"/>
  <c r="P18" i="40"/>
  <c r="R15" i="40"/>
  <c r="R27" i="40"/>
  <c r="R36" i="40"/>
  <c r="R25" i="40"/>
  <c r="R34" i="40"/>
  <c r="R33" i="40"/>
  <c r="R29" i="40"/>
  <c r="R31" i="40"/>
  <c r="L33" i="28"/>
  <c r="L34" i="28"/>
  <c r="N16" i="29"/>
  <c r="N20" i="29"/>
  <c r="L22" i="29"/>
  <c r="L24" i="29"/>
  <c r="X15" i="31"/>
  <c r="N25" i="31"/>
  <c r="N29" i="31"/>
  <c r="N33" i="31"/>
  <c r="N34" i="31"/>
  <c r="N13" i="32"/>
  <c r="N22" i="32"/>
  <c r="N24" i="32"/>
  <c r="V21" i="34"/>
  <c r="T18" i="34"/>
  <c r="V15" i="34"/>
  <c r="V36" i="34"/>
  <c r="V34" i="34"/>
  <c r="V33" i="34"/>
  <c r="V31" i="34"/>
  <c r="V29" i="34"/>
  <c r="V27" i="34"/>
  <c r="V25" i="34"/>
  <c r="V22" i="34"/>
  <c r="V18" i="34"/>
  <c r="Z12" i="34"/>
  <c r="V16" i="34"/>
  <c r="V24" i="34"/>
  <c r="V20" i="34"/>
  <c r="Z25" i="34"/>
  <c r="Z24" i="35"/>
  <c r="N15" i="37"/>
  <c r="L21" i="37"/>
  <c r="L12" i="31"/>
  <c r="F36" i="31"/>
  <c r="F34" i="31"/>
  <c r="F33" i="31"/>
  <c r="F31" i="31"/>
  <c r="F29" i="31"/>
  <c r="F27" i="31"/>
  <c r="F25" i="31"/>
  <c r="F24" i="31"/>
  <c r="F22" i="31"/>
  <c r="F21" i="31"/>
  <c r="F20" i="31"/>
  <c r="F18" i="31"/>
  <c r="F16" i="31"/>
  <c r="D18" i="31"/>
  <c r="F15" i="31"/>
  <c r="X16" i="31"/>
  <c r="X20" i="31"/>
  <c r="X15" i="32"/>
  <c r="N25" i="32"/>
  <c r="N29" i="32"/>
  <c r="N33" i="32"/>
  <c r="N34" i="32"/>
  <c r="L16" i="35"/>
  <c r="Z15" i="38"/>
  <c r="X21" i="38"/>
  <c r="N29" i="28"/>
  <c r="N33" i="28"/>
  <c r="N34" i="28"/>
  <c r="N13" i="29"/>
  <c r="N22" i="29"/>
  <c r="N24" i="29"/>
  <c r="N12" i="31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H18" i="31"/>
  <c r="J15" i="31"/>
  <c r="X13" i="31"/>
  <c r="Z15" i="31"/>
  <c r="X21" i="31"/>
  <c r="L12" i="32"/>
  <c r="F36" i="32"/>
  <c r="F34" i="32"/>
  <c r="F33" i="32"/>
  <c r="F31" i="32"/>
  <c r="F29" i="32"/>
  <c r="F27" i="32"/>
  <c r="F25" i="32"/>
  <c r="F24" i="32"/>
  <c r="F22" i="32"/>
  <c r="F21" i="32"/>
  <c r="F20" i="32"/>
  <c r="F18" i="32"/>
  <c r="F16" i="32"/>
  <c r="D18" i="32"/>
  <c r="F15" i="32"/>
  <c r="X16" i="32"/>
  <c r="X20" i="32"/>
  <c r="L22" i="34"/>
  <c r="L21" i="35"/>
  <c r="L16" i="37"/>
  <c r="Z13" i="31"/>
  <c r="Z16" i="31"/>
  <c r="Z20" i="31"/>
  <c r="X22" i="31"/>
  <c r="X24" i="31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J15" i="32"/>
  <c r="N12" i="32"/>
  <c r="X13" i="32"/>
  <c r="Z15" i="32"/>
  <c r="X21" i="32"/>
  <c r="X33" i="34"/>
  <c r="Z16" i="35"/>
  <c r="L16" i="38"/>
  <c r="F36" i="29"/>
  <c r="F34" i="29"/>
  <c r="F33" i="29"/>
  <c r="F31" i="29"/>
  <c r="F29" i="29"/>
  <c r="F27" i="29"/>
  <c r="F25" i="29"/>
  <c r="F21" i="29"/>
  <c r="F20" i="29"/>
  <c r="F18" i="29"/>
  <c r="F16" i="29"/>
  <c r="D18" i="29"/>
  <c r="F15" i="29"/>
  <c r="F22" i="29"/>
  <c r="L12" i="29"/>
  <c r="F24" i="29"/>
  <c r="X16" i="29"/>
  <c r="X20" i="29"/>
  <c r="Z21" i="31"/>
  <c r="X25" i="31"/>
  <c r="X29" i="31"/>
  <c r="X33" i="31"/>
  <c r="X34" i="31"/>
  <c r="Z13" i="32"/>
  <c r="Z16" i="32"/>
  <c r="Z20" i="32"/>
  <c r="X22" i="32"/>
  <c r="X24" i="32"/>
  <c r="L15" i="34"/>
  <c r="Z33" i="34"/>
  <c r="R24" i="35"/>
  <c r="R22" i="35"/>
  <c r="R20" i="35"/>
  <c r="R18" i="35"/>
  <c r="R16" i="35"/>
  <c r="P18" i="35"/>
  <c r="R15" i="35"/>
  <c r="R36" i="35"/>
  <c r="R31" i="35"/>
  <c r="R25" i="35"/>
  <c r="R21" i="35"/>
  <c r="R34" i="35"/>
  <c r="R29" i="35"/>
  <c r="R33" i="35"/>
  <c r="R27" i="35"/>
  <c r="X12" i="35"/>
  <c r="Z16" i="37"/>
  <c r="X22" i="37"/>
  <c r="Z22" i="38"/>
  <c r="L16" i="34"/>
  <c r="L20" i="34"/>
  <c r="V20" i="35"/>
  <c r="V18" i="35"/>
  <c r="V16" i="35"/>
  <c r="V24" i="35"/>
  <c r="V22" i="35"/>
  <c r="V21" i="35"/>
  <c r="V34" i="35"/>
  <c r="V29" i="35"/>
  <c r="V15" i="35"/>
  <c r="V33" i="35"/>
  <c r="V27" i="35"/>
  <c r="T18" i="35"/>
  <c r="V36" i="35"/>
  <c r="V31" i="35"/>
  <c r="V25" i="35"/>
  <c r="Z12" i="35"/>
  <c r="L15" i="35"/>
  <c r="Z25" i="35"/>
  <c r="Z29" i="35"/>
  <c r="Z33" i="35"/>
  <c r="Z34" i="35"/>
  <c r="V21" i="37"/>
  <c r="V20" i="37"/>
  <c r="V18" i="37"/>
  <c r="V16" i="37"/>
  <c r="V24" i="37"/>
  <c r="V22" i="37"/>
  <c r="V34" i="37"/>
  <c r="V27" i="37"/>
  <c r="V15" i="37"/>
  <c r="V33" i="37"/>
  <c r="V25" i="37"/>
  <c r="Z12" i="37"/>
  <c r="V31" i="37"/>
  <c r="T18" i="37"/>
  <c r="V36" i="37"/>
  <c r="V29" i="37"/>
  <c r="L15" i="37"/>
  <c r="Z25" i="37"/>
  <c r="Z29" i="37"/>
  <c r="Z33" i="37"/>
  <c r="Z34" i="37"/>
  <c r="R21" i="38"/>
  <c r="R33" i="38"/>
  <c r="R27" i="38"/>
  <c r="R22" i="38"/>
  <c r="P18" i="38"/>
  <c r="R15" i="38"/>
  <c r="R34" i="38"/>
  <c r="R29" i="38"/>
  <c r="R24" i="38"/>
  <c r="R36" i="38"/>
  <c r="R31" i="38"/>
  <c r="R25" i="38"/>
  <c r="R16" i="38"/>
  <c r="R20" i="38"/>
  <c r="X12" i="38"/>
  <c r="R18" i="38"/>
  <c r="X33" i="41"/>
  <c r="X33" i="44"/>
  <c r="L13" i="34"/>
  <c r="N21" i="34"/>
  <c r="L25" i="34"/>
  <c r="L29" i="34"/>
  <c r="L33" i="34"/>
  <c r="L34" i="34"/>
  <c r="N16" i="35"/>
  <c r="N20" i="35"/>
  <c r="L22" i="35"/>
  <c r="L24" i="35"/>
  <c r="N16" i="37"/>
  <c r="N20" i="37"/>
  <c r="L22" i="37"/>
  <c r="L24" i="37"/>
  <c r="N15" i="38"/>
  <c r="L21" i="38"/>
  <c r="N29" i="38"/>
  <c r="N34" i="38"/>
  <c r="N33" i="40"/>
  <c r="X13" i="49"/>
  <c r="N13" i="34"/>
  <c r="N22" i="34"/>
  <c r="N24" i="34"/>
  <c r="L13" i="35"/>
  <c r="N21" i="35"/>
  <c r="L25" i="35"/>
  <c r="L29" i="35"/>
  <c r="L33" i="35"/>
  <c r="L34" i="35"/>
  <c r="L13" i="37"/>
  <c r="N21" i="37"/>
  <c r="L25" i="37"/>
  <c r="L29" i="37"/>
  <c r="L33" i="37"/>
  <c r="L34" i="37"/>
  <c r="N16" i="38"/>
  <c r="N20" i="38"/>
  <c r="N22" i="38"/>
  <c r="Z22" i="40"/>
  <c r="X25" i="41"/>
  <c r="X15" i="34"/>
  <c r="N25" i="34"/>
  <c r="N29" i="34"/>
  <c r="N33" i="34"/>
  <c r="N34" i="34"/>
  <c r="N13" i="35"/>
  <c r="N22" i="35"/>
  <c r="N24" i="35"/>
  <c r="N13" i="37"/>
  <c r="N22" i="37"/>
  <c r="N24" i="37"/>
  <c r="L13" i="38"/>
  <c r="N21" i="38"/>
  <c r="X15" i="40"/>
  <c r="N34" i="40"/>
  <c r="L12" i="34"/>
  <c r="F36" i="34"/>
  <c r="F34" i="34"/>
  <c r="F33" i="34"/>
  <c r="F31" i="34"/>
  <c r="F29" i="34"/>
  <c r="F27" i="34"/>
  <c r="F25" i="34"/>
  <c r="F24" i="34"/>
  <c r="F22" i="34"/>
  <c r="D18" i="34"/>
  <c r="F15" i="34"/>
  <c r="F18" i="34"/>
  <c r="F21" i="34"/>
  <c r="F16" i="34"/>
  <c r="F20" i="34"/>
  <c r="X16" i="34"/>
  <c r="X20" i="34"/>
  <c r="X15" i="35"/>
  <c r="N25" i="35"/>
  <c r="N29" i="35"/>
  <c r="N33" i="35"/>
  <c r="N34" i="35"/>
  <c r="X15" i="37"/>
  <c r="N25" i="37"/>
  <c r="N29" i="37"/>
  <c r="N33" i="37"/>
  <c r="N34" i="37"/>
  <c r="N13" i="38"/>
  <c r="Z24" i="38"/>
  <c r="X29" i="38"/>
  <c r="X34" i="38"/>
  <c r="Z24" i="40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N12" i="34"/>
  <c r="J15" i="34"/>
  <c r="X13" i="34"/>
  <c r="Z15" i="34"/>
  <c r="X21" i="34"/>
  <c r="F36" i="35"/>
  <c r="F34" i="35"/>
  <c r="F33" i="35"/>
  <c r="F31" i="35"/>
  <c r="F29" i="35"/>
  <c r="F27" i="35"/>
  <c r="F25" i="35"/>
  <c r="F24" i="35"/>
  <c r="F22" i="35"/>
  <c r="F21" i="35"/>
  <c r="L12" i="35"/>
  <c r="F16" i="35"/>
  <c r="F20" i="35"/>
  <c r="F15" i="35"/>
  <c r="D18" i="35"/>
  <c r="F18" i="35"/>
  <c r="X16" i="35"/>
  <c r="X20" i="35"/>
  <c r="F36" i="37"/>
  <c r="F34" i="37"/>
  <c r="F33" i="37"/>
  <c r="F31" i="37"/>
  <c r="F29" i="37"/>
  <c r="F27" i="37"/>
  <c r="F25" i="37"/>
  <c r="F24" i="37"/>
  <c r="F22" i="37"/>
  <c r="F21" i="37"/>
  <c r="F16" i="37"/>
  <c r="F15" i="37"/>
  <c r="F20" i="37"/>
  <c r="L12" i="37"/>
  <c r="D18" i="37"/>
  <c r="F18" i="37"/>
  <c r="X16" i="37"/>
  <c r="X20" i="37"/>
  <c r="X15" i="38"/>
  <c r="N33" i="38"/>
  <c r="N25" i="40"/>
  <c r="X16" i="44"/>
  <c r="Z13" i="34"/>
  <c r="Z16" i="34"/>
  <c r="Z20" i="34"/>
  <c r="X22" i="34"/>
  <c r="X24" i="34"/>
  <c r="N12" i="35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X13" i="35"/>
  <c r="Z15" i="35"/>
  <c r="X21" i="35"/>
  <c r="N12" i="37"/>
  <c r="J36" i="37"/>
  <c r="J34" i="37"/>
  <c r="J33" i="37"/>
  <c r="J31" i="37"/>
  <c r="J29" i="37"/>
  <c r="J27" i="37"/>
  <c r="J25" i="37"/>
  <c r="J24" i="37"/>
  <c r="J22" i="37"/>
  <c r="J21" i="37"/>
  <c r="J20" i="37"/>
  <c r="J18" i="37"/>
  <c r="J16" i="37"/>
  <c r="H18" i="37"/>
  <c r="J15" i="37"/>
  <c r="X13" i="37"/>
  <c r="Z15" i="37"/>
  <c r="X21" i="37"/>
  <c r="F24" i="38"/>
  <c r="F36" i="38"/>
  <c r="F31" i="38"/>
  <c r="F25" i="38"/>
  <c r="L12" i="38"/>
  <c r="F33" i="38"/>
  <c r="F27" i="38"/>
  <c r="F21" i="38"/>
  <c r="F22" i="38"/>
  <c r="F20" i="38"/>
  <c r="F18" i="38"/>
  <c r="F16" i="38"/>
  <c r="F29" i="38"/>
  <c r="F15" i="38"/>
  <c r="F34" i="38"/>
  <c r="D18" i="38"/>
  <c r="X16" i="38"/>
  <c r="X20" i="38"/>
  <c r="X29" i="41"/>
  <c r="R36" i="34"/>
  <c r="R34" i="34"/>
  <c r="R33" i="34"/>
  <c r="R31" i="34"/>
  <c r="R29" i="34"/>
  <c r="R27" i="34"/>
  <c r="R25" i="34"/>
  <c r="R21" i="34"/>
  <c r="R20" i="34"/>
  <c r="R18" i="34"/>
  <c r="R16" i="34"/>
  <c r="P18" i="34"/>
  <c r="R15" i="34"/>
  <c r="X12" i="34"/>
  <c r="R22" i="34"/>
  <c r="R24" i="34"/>
  <c r="Z22" i="34"/>
  <c r="Z24" i="34"/>
  <c r="Z21" i="35"/>
  <c r="X25" i="35"/>
  <c r="X29" i="35"/>
  <c r="X33" i="35"/>
  <c r="X34" i="35"/>
  <c r="Z21" i="37"/>
  <c r="X25" i="37"/>
  <c r="X29" i="37"/>
  <c r="X33" i="37"/>
  <c r="X34" i="37"/>
  <c r="Z13" i="38"/>
  <c r="Z16" i="38"/>
  <c r="Z20" i="38"/>
  <c r="Z21" i="38"/>
  <c r="X33" i="38"/>
  <c r="Z21" i="41"/>
  <c r="X25" i="44"/>
  <c r="R36" i="37"/>
  <c r="R34" i="37"/>
  <c r="R33" i="37"/>
  <c r="R31" i="37"/>
  <c r="R29" i="37"/>
  <c r="R27" i="37"/>
  <c r="R25" i="37"/>
  <c r="R24" i="37"/>
  <c r="R22" i="37"/>
  <c r="R20" i="37"/>
  <c r="R18" i="37"/>
  <c r="R16" i="37"/>
  <c r="P18" i="37"/>
  <c r="R15" i="37"/>
  <c r="R21" i="37"/>
  <c r="X12" i="37"/>
  <c r="Z22" i="37"/>
  <c r="Z24" i="37"/>
  <c r="N25" i="38"/>
  <c r="N29" i="40"/>
  <c r="N13" i="41"/>
  <c r="N22" i="41"/>
  <c r="X33" i="46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D18" i="40"/>
  <c r="F15" i="40"/>
  <c r="L12" i="40"/>
  <c r="X16" i="40"/>
  <c r="X20" i="40"/>
  <c r="X15" i="41"/>
  <c r="N25" i="41"/>
  <c r="N29" i="41"/>
  <c r="N33" i="41"/>
  <c r="N34" i="41"/>
  <c r="L15" i="44"/>
  <c r="Z25" i="44"/>
  <c r="Z33" i="44"/>
  <c r="J21" i="40"/>
  <c r="J20" i="40"/>
  <c r="J18" i="40"/>
  <c r="J16" i="40"/>
  <c r="H18" i="40"/>
  <c r="J15" i="40"/>
  <c r="N12" i="40"/>
  <c r="J36" i="40"/>
  <c r="J34" i="40"/>
  <c r="J33" i="40"/>
  <c r="J31" i="40"/>
  <c r="J29" i="40"/>
  <c r="J27" i="40"/>
  <c r="J25" i="40"/>
  <c r="J24" i="40"/>
  <c r="J22" i="40"/>
  <c r="X13" i="40"/>
  <c r="Z15" i="40"/>
  <c r="X21" i="40"/>
  <c r="F24" i="41"/>
  <c r="F22" i="41"/>
  <c r="F21" i="41"/>
  <c r="F20" i="41"/>
  <c r="F18" i="41"/>
  <c r="F16" i="41"/>
  <c r="D18" i="41"/>
  <c r="F15" i="41"/>
  <c r="L12" i="41"/>
  <c r="F33" i="41"/>
  <c r="F31" i="41"/>
  <c r="F29" i="41"/>
  <c r="F27" i="41"/>
  <c r="F36" i="41"/>
  <c r="F25" i="41"/>
  <c r="F34" i="41"/>
  <c r="X16" i="41"/>
  <c r="X20" i="41"/>
  <c r="Z15" i="43"/>
  <c r="X21" i="43"/>
  <c r="X34" i="46"/>
  <c r="X22" i="38"/>
  <c r="X24" i="38"/>
  <c r="Z13" i="40"/>
  <c r="Z16" i="40"/>
  <c r="Z20" i="40"/>
  <c r="X22" i="40"/>
  <c r="X24" i="40"/>
  <c r="J20" i="41"/>
  <c r="J18" i="41"/>
  <c r="J16" i="41"/>
  <c r="H18" i="41"/>
  <c r="J15" i="41"/>
  <c r="J36" i="41"/>
  <c r="J34" i="41"/>
  <c r="J33" i="41"/>
  <c r="J31" i="41"/>
  <c r="J29" i="41"/>
  <c r="J27" i="41"/>
  <c r="J25" i="41"/>
  <c r="J24" i="41"/>
  <c r="J22" i="41"/>
  <c r="N12" i="41"/>
  <c r="J21" i="41"/>
  <c r="X13" i="41"/>
  <c r="Z15" i="41"/>
  <c r="X21" i="41"/>
  <c r="Z21" i="44"/>
  <c r="X34" i="44"/>
  <c r="L16" i="46"/>
  <c r="X22" i="47"/>
  <c r="Z21" i="40"/>
  <c r="X25" i="40"/>
  <c r="X29" i="40"/>
  <c r="X33" i="40"/>
  <c r="X34" i="40"/>
  <c r="Z13" i="41"/>
  <c r="Z16" i="41"/>
  <c r="Z20" i="41"/>
  <c r="X22" i="41"/>
  <c r="X24" i="41"/>
  <c r="L16" i="43"/>
  <c r="Z34" i="44"/>
  <c r="X25" i="46"/>
  <c r="Z25" i="38"/>
  <c r="Z29" i="38"/>
  <c r="Z33" i="38"/>
  <c r="Z34" i="38"/>
  <c r="Z12" i="40"/>
  <c r="V36" i="40"/>
  <c r="V34" i="40"/>
  <c r="V33" i="40"/>
  <c r="V31" i="40"/>
  <c r="V29" i="40"/>
  <c r="V27" i="40"/>
  <c r="V25" i="40"/>
  <c r="V24" i="40"/>
  <c r="V22" i="40"/>
  <c r="V20" i="40"/>
  <c r="V18" i="40"/>
  <c r="V16" i="40"/>
  <c r="T18" i="40"/>
  <c r="V15" i="40"/>
  <c r="V21" i="40"/>
  <c r="L15" i="40"/>
  <c r="Z25" i="40"/>
  <c r="Z29" i="40"/>
  <c r="Z33" i="40"/>
  <c r="Z34" i="40"/>
  <c r="X12" i="41"/>
  <c r="R36" i="41"/>
  <c r="R34" i="41"/>
  <c r="R33" i="41"/>
  <c r="R31" i="41"/>
  <c r="R29" i="41"/>
  <c r="R27" i="41"/>
  <c r="R25" i="41"/>
  <c r="R21" i="41"/>
  <c r="R20" i="41"/>
  <c r="R18" i="41"/>
  <c r="R16" i="41"/>
  <c r="P18" i="41"/>
  <c r="R15" i="41"/>
  <c r="R22" i="41"/>
  <c r="R24" i="41"/>
  <c r="Z22" i="41"/>
  <c r="Z24" i="41"/>
  <c r="Z22" i="43"/>
  <c r="X29" i="44"/>
  <c r="L16" i="40"/>
  <c r="L20" i="40"/>
  <c r="Z12" i="41"/>
  <c r="V36" i="41"/>
  <c r="V34" i="41"/>
  <c r="V33" i="41"/>
  <c r="V31" i="41"/>
  <c r="V29" i="41"/>
  <c r="V27" i="41"/>
  <c r="V25" i="41"/>
  <c r="V24" i="41"/>
  <c r="V22" i="41"/>
  <c r="V21" i="41"/>
  <c r="T18" i="41"/>
  <c r="V15" i="41"/>
  <c r="V20" i="41"/>
  <c r="V18" i="41"/>
  <c r="V16" i="41"/>
  <c r="L15" i="41"/>
  <c r="Z25" i="41"/>
  <c r="Z29" i="41"/>
  <c r="Z33" i="41"/>
  <c r="Z34" i="41"/>
  <c r="Z29" i="44"/>
  <c r="L20" i="46"/>
  <c r="Z12" i="47"/>
  <c r="V36" i="47"/>
  <c r="V34" i="47"/>
  <c r="V33" i="47"/>
  <c r="V31" i="47"/>
  <c r="V29" i="47"/>
  <c r="V27" i="47"/>
  <c r="V25" i="47"/>
  <c r="V24" i="47"/>
  <c r="V21" i="47"/>
  <c r="V20" i="47"/>
  <c r="V18" i="47"/>
  <c r="T18" i="47"/>
  <c r="V22" i="47"/>
  <c r="V15" i="47"/>
  <c r="V16" i="47"/>
  <c r="N15" i="40"/>
  <c r="L21" i="40"/>
  <c r="L16" i="41"/>
  <c r="L20" i="41"/>
  <c r="N12" i="43"/>
  <c r="J36" i="43"/>
  <c r="J34" i="43"/>
  <c r="J33" i="43"/>
  <c r="J31" i="43"/>
  <c r="J29" i="43"/>
  <c r="J27" i="43"/>
  <c r="J25" i="43"/>
  <c r="J24" i="43"/>
  <c r="J22" i="43"/>
  <c r="J21" i="43"/>
  <c r="J20" i="43"/>
  <c r="J18" i="43"/>
  <c r="J16" i="43"/>
  <c r="H18" i="43"/>
  <c r="J15" i="43"/>
  <c r="L12" i="44"/>
  <c r="F36" i="44"/>
  <c r="F34" i="44"/>
  <c r="F33" i="44"/>
  <c r="F31" i="44"/>
  <c r="F29" i="44"/>
  <c r="F27" i="44"/>
  <c r="F25" i="44"/>
  <c r="F24" i="44"/>
  <c r="F22" i="44"/>
  <c r="F21" i="44"/>
  <c r="F20" i="44"/>
  <c r="F18" i="44"/>
  <c r="F16" i="44"/>
  <c r="D18" i="44"/>
  <c r="F15" i="44"/>
  <c r="X29" i="46"/>
  <c r="L22" i="38"/>
  <c r="L24" i="38"/>
  <c r="N16" i="40"/>
  <c r="N20" i="40"/>
  <c r="L22" i="40"/>
  <c r="L24" i="40"/>
  <c r="N15" i="41"/>
  <c r="L21" i="41"/>
  <c r="R24" i="43"/>
  <c r="R22" i="43"/>
  <c r="R21" i="43"/>
  <c r="P18" i="43"/>
  <c r="R15" i="43"/>
  <c r="R20" i="43"/>
  <c r="X12" i="43"/>
  <c r="R31" i="43"/>
  <c r="R18" i="43"/>
  <c r="R36" i="43"/>
  <c r="R29" i="43"/>
  <c r="R34" i="43"/>
  <c r="R27" i="43"/>
  <c r="R16" i="43"/>
  <c r="R33" i="43"/>
  <c r="R25" i="43"/>
  <c r="Z24" i="43"/>
  <c r="Z15" i="47"/>
  <c r="L25" i="38"/>
  <c r="L29" i="38"/>
  <c r="L33" i="38"/>
  <c r="L34" i="38"/>
  <c r="L13" i="40"/>
  <c r="N21" i="40"/>
  <c r="L25" i="40"/>
  <c r="L29" i="40"/>
  <c r="L33" i="40"/>
  <c r="L34" i="40"/>
  <c r="N16" i="41"/>
  <c r="N20" i="41"/>
  <c r="L22" i="41"/>
  <c r="L24" i="41"/>
  <c r="L20" i="43"/>
  <c r="T18" i="44"/>
  <c r="V15" i="44"/>
  <c r="Z12" i="44"/>
  <c r="V36" i="44"/>
  <c r="V34" i="44"/>
  <c r="V33" i="44"/>
  <c r="V31" i="44"/>
  <c r="V29" i="44"/>
  <c r="V27" i="44"/>
  <c r="V25" i="44"/>
  <c r="V21" i="44"/>
  <c r="V24" i="44"/>
  <c r="V18" i="44"/>
  <c r="V22" i="44"/>
  <c r="V16" i="44"/>
  <c r="V20" i="44"/>
  <c r="Z21" i="46"/>
  <c r="F21" i="50"/>
  <c r="L12" i="50"/>
  <c r="F36" i="50"/>
  <c r="F34" i="50"/>
  <c r="F33" i="50"/>
  <c r="F31" i="50"/>
  <c r="F29" i="50"/>
  <c r="F27" i="50"/>
  <c r="F25" i="50"/>
  <c r="F16" i="50"/>
  <c r="F24" i="50"/>
  <c r="F20" i="50"/>
  <c r="F15" i="50"/>
  <c r="F22" i="50"/>
  <c r="F18" i="50"/>
  <c r="D18" i="50"/>
  <c r="N13" i="40"/>
  <c r="N22" i="40"/>
  <c r="N24" i="40"/>
  <c r="L13" i="41"/>
  <c r="N21" i="41"/>
  <c r="L25" i="41"/>
  <c r="L29" i="41"/>
  <c r="L33" i="41"/>
  <c r="L34" i="41"/>
  <c r="X13" i="43"/>
  <c r="X20" i="44"/>
  <c r="X16" i="50"/>
  <c r="V20" i="43"/>
  <c r="V18" i="43"/>
  <c r="V16" i="43"/>
  <c r="T18" i="43"/>
  <c r="V15" i="43"/>
  <c r="Z12" i="43"/>
  <c r="V24" i="43"/>
  <c r="V22" i="43"/>
  <c r="V31" i="43"/>
  <c r="V36" i="43"/>
  <c r="V29" i="43"/>
  <c r="V34" i="43"/>
  <c r="V27" i="43"/>
  <c r="V21" i="43"/>
  <c r="V33" i="43"/>
  <c r="V25" i="43"/>
  <c r="L15" i="43"/>
  <c r="Z25" i="43"/>
  <c r="Z29" i="43"/>
  <c r="Z33" i="43"/>
  <c r="Z34" i="43"/>
  <c r="R21" i="44"/>
  <c r="R20" i="44"/>
  <c r="R18" i="44"/>
  <c r="R16" i="44"/>
  <c r="X12" i="44"/>
  <c r="R36" i="44"/>
  <c r="R34" i="44"/>
  <c r="R33" i="44"/>
  <c r="R31" i="44"/>
  <c r="R29" i="44"/>
  <c r="R27" i="44"/>
  <c r="R25" i="44"/>
  <c r="R24" i="44"/>
  <c r="P18" i="44"/>
  <c r="R22" i="44"/>
  <c r="R15" i="44"/>
  <c r="Z22" i="44"/>
  <c r="Z24" i="44"/>
  <c r="N15" i="46"/>
  <c r="L21" i="46"/>
  <c r="N15" i="49"/>
  <c r="Z15" i="52"/>
  <c r="N16" i="46"/>
  <c r="N20" i="46"/>
  <c r="L22" i="46"/>
  <c r="L24" i="46"/>
  <c r="L13" i="47"/>
  <c r="N21" i="47"/>
  <c r="X25" i="47"/>
  <c r="X29" i="47"/>
  <c r="X33" i="47"/>
  <c r="N20" i="49"/>
  <c r="L24" i="49"/>
  <c r="Z20" i="52"/>
  <c r="X24" i="52"/>
  <c r="X13" i="53"/>
  <c r="N15" i="43"/>
  <c r="L21" i="43"/>
  <c r="L16" i="44"/>
  <c r="L20" i="44"/>
  <c r="L13" i="46"/>
  <c r="N21" i="46"/>
  <c r="L25" i="46"/>
  <c r="L29" i="46"/>
  <c r="L33" i="46"/>
  <c r="L34" i="46"/>
  <c r="N13" i="47"/>
  <c r="L24" i="47"/>
  <c r="N24" i="49"/>
  <c r="L13" i="50"/>
  <c r="L33" i="50"/>
  <c r="Z24" i="52"/>
  <c r="X33" i="53"/>
  <c r="N16" i="43"/>
  <c r="N20" i="43"/>
  <c r="L22" i="43"/>
  <c r="L24" i="43"/>
  <c r="N15" i="44"/>
  <c r="L21" i="44"/>
  <c r="N13" i="46"/>
  <c r="N22" i="46"/>
  <c r="N24" i="46"/>
  <c r="N16" i="47"/>
  <c r="X21" i="47"/>
  <c r="L34" i="47"/>
  <c r="Z15" i="49"/>
  <c r="L21" i="52"/>
  <c r="L20" i="53"/>
  <c r="L13" i="43"/>
  <c r="N21" i="43"/>
  <c r="L25" i="43"/>
  <c r="L29" i="43"/>
  <c r="L33" i="43"/>
  <c r="L34" i="43"/>
  <c r="N16" i="44"/>
  <c r="N20" i="44"/>
  <c r="L22" i="44"/>
  <c r="L24" i="44"/>
  <c r="X15" i="46"/>
  <c r="N25" i="46"/>
  <c r="N29" i="46"/>
  <c r="N33" i="46"/>
  <c r="N34" i="46"/>
  <c r="X13" i="47"/>
  <c r="N34" i="47"/>
  <c r="L21" i="49"/>
  <c r="L20" i="50"/>
  <c r="N12" i="52"/>
  <c r="J36" i="52"/>
  <c r="J34" i="52"/>
  <c r="J33" i="52"/>
  <c r="J31" i="52"/>
  <c r="J29" i="52"/>
  <c r="J27" i="52"/>
  <c r="J25" i="52"/>
  <c r="J24" i="52"/>
  <c r="J22" i="52"/>
  <c r="J21" i="52"/>
  <c r="J20" i="52"/>
  <c r="J18" i="52"/>
  <c r="J16" i="52"/>
  <c r="H18" i="52"/>
  <c r="J15" i="52"/>
  <c r="X21" i="52"/>
  <c r="X20" i="53"/>
  <c r="N13" i="43"/>
  <c r="N22" i="43"/>
  <c r="N24" i="43"/>
  <c r="L13" i="44"/>
  <c r="N21" i="44"/>
  <c r="L25" i="44"/>
  <c r="L29" i="44"/>
  <c r="L33" i="44"/>
  <c r="L34" i="44"/>
  <c r="L12" i="46"/>
  <c r="F36" i="46"/>
  <c r="F34" i="46"/>
  <c r="F33" i="46"/>
  <c r="F31" i="46"/>
  <c r="F29" i="46"/>
  <c r="F27" i="46"/>
  <c r="F25" i="46"/>
  <c r="F24" i="46"/>
  <c r="F22" i="46"/>
  <c r="F21" i="46"/>
  <c r="F20" i="46"/>
  <c r="F18" i="46"/>
  <c r="F16" i="46"/>
  <c r="F15" i="46"/>
  <c r="D18" i="46"/>
  <c r="X16" i="46"/>
  <c r="X20" i="46"/>
  <c r="Z13" i="47"/>
  <c r="N20" i="47"/>
  <c r="Z21" i="47"/>
  <c r="N16" i="49"/>
  <c r="N15" i="50"/>
  <c r="Z16" i="52"/>
  <c r="Z15" i="53"/>
  <c r="X15" i="43"/>
  <c r="N25" i="43"/>
  <c r="N29" i="43"/>
  <c r="N33" i="43"/>
  <c r="N34" i="43"/>
  <c r="N13" i="44"/>
  <c r="N22" i="44"/>
  <c r="N24" i="44"/>
  <c r="J36" i="46"/>
  <c r="J34" i="46"/>
  <c r="J33" i="46"/>
  <c r="J31" i="46"/>
  <c r="J29" i="46"/>
  <c r="J27" i="46"/>
  <c r="J25" i="46"/>
  <c r="J24" i="46"/>
  <c r="J22" i="46"/>
  <c r="J21" i="46"/>
  <c r="J20" i="46"/>
  <c r="J18" i="46"/>
  <c r="J16" i="46"/>
  <c r="H18" i="46"/>
  <c r="J15" i="46"/>
  <c r="N12" i="46"/>
  <c r="X13" i="46"/>
  <c r="Z15" i="46"/>
  <c r="X21" i="46"/>
  <c r="F36" i="47"/>
  <c r="F34" i="47"/>
  <c r="F33" i="47"/>
  <c r="F31" i="47"/>
  <c r="F29" i="47"/>
  <c r="F27" i="47"/>
  <c r="F25" i="47"/>
  <c r="F20" i="47"/>
  <c r="F18" i="47"/>
  <c r="F16" i="47"/>
  <c r="D18" i="47"/>
  <c r="F15" i="47"/>
  <c r="F24" i="47"/>
  <c r="F21" i="47"/>
  <c r="L12" i="47"/>
  <c r="F22" i="47"/>
  <c r="X24" i="47"/>
  <c r="L29" i="50"/>
  <c r="L34" i="50"/>
  <c r="R24" i="52"/>
  <c r="R22" i="52"/>
  <c r="P18" i="52"/>
  <c r="R15" i="52"/>
  <c r="X12" i="52"/>
  <c r="R33" i="52"/>
  <c r="R27" i="52"/>
  <c r="R18" i="52"/>
  <c r="R36" i="52"/>
  <c r="R31" i="52"/>
  <c r="R25" i="52"/>
  <c r="R21" i="52"/>
  <c r="R16" i="52"/>
  <c r="R34" i="52"/>
  <c r="R29" i="52"/>
  <c r="R20" i="52"/>
  <c r="X29" i="53"/>
  <c r="X34" i="53"/>
  <c r="L12" i="43"/>
  <c r="F36" i="43"/>
  <c r="F34" i="43"/>
  <c r="F33" i="43"/>
  <c r="F31" i="43"/>
  <c r="F29" i="43"/>
  <c r="F27" i="43"/>
  <c r="F25" i="43"/>
  <c r="F24" i="43"/>
  <c r="F22" i="43"/>
  <c r="F21" i="43"/>
  <c r="F20" i="43"/>
  <c r="F18" i="43"/>
  <c r="F16" i="43"/>
  <c r="D18" i="43"/>
  <c r="F15" i="43"/>
  <c r="X16" i="43"/>
  <c r="X20" i="43"/>
  <c r="X15" i="44"/>
  <c r="N25" i="44"/>
  <c r="N29" i="44"/>
  <c r="N33" i="44"/>
  <c r="N34" i="44"/>
  <c r="Z13" i="46"/>
  <c r="Z16" i="46"/>
  <c r="Z20" i="46"/>
  <c r="X22" i="46"/>
  <c r="X24" i="46"/>
  <c r="J21" i="47"/>
  <c r="J36" i="47"/>
  <c r="J34" i="47"/>
  <c r="J33" i="47"/>
  <c r="J31" i="47"/>
  <c r="J29" i="47"/>
  <c r="J27" i="47"/>
  <c r="J25" i="47"/>
  <c r="H18" i="47"/>
  <c r="J22" i="47"/>
  <c r="N12" i="47"/>
  <c r="J20" i="47"/>
  <c r="J24" i="47"/>
  <c r="J16" i="47"/>
  <c r="J18" i="47"/>
  <c r="J15" i="47"/>
  <c r="L15" i="47"/>
  <c r="Z16" i="47"/>
  <c r="L22" i="47"/>
  <c r="X34" i="47"/>
  <c r="J20" i="49"/>
  <c r="J18" i="49"/>
  <c r="J16" i="49"/>
  <c r="N12" i="49"/>
  <c r="J36" i="49"/>
  <c r="J34" i="49"/>
  <c r="J33" i="49"/>
  <c r="J31" i="49"/>
  <c r="J29" i="49"/>
  <c r="J27" i="49"/>
  <c r="J25" i="49"/>
  <c r="J24" i="49"/>
  <c r="J22" i="49"/>
  <c r="H18" i="49"/>
  <c r="J21" i="49"/>
  <c r="J15" i="49"/>
  <c r="X21" i="49"/>
  <c r="X20" i="50"/>
  <c r="L16" i="53"/>
  <c r="L16" i="50"/>
  <c r="X13" i="52"/>
  <c r="L12" i="53"/>
  <c r="F36" i="53"/>
  <c r="F34" i="53"/>
  <c r="F33" i="53"/>
  <c r="F31" i="53"/>
  <c r="F29" i="53"/>
  <c r="F27" i="53"/>
  <c r="F25" i="53"/>
  <c r="F24" i="53"/>
  <c r="F22" i="53"/>
  <c r="F21" i="53"/>
  <c r="F20" i="53"/>
  <c r="F18" i="53"/>
  <c r="F16" i="53"/>
  <c r="F15" i="53"/>
  <c r="D18" i="53"/>
  <c r="X16" i="53"/>
  <c r="Z13" i="43"/>
  <c r="Z16" i="43"/>
  <c r="Z20" i="43"/>
  <c r="X22" i="43"/>
  <c r="X24" i="43"/>
  <c r="J24" i="44"/>
  <c r="J22" i="44"/>
  <c r="J21" i="44"/>
  <c r="J20" i="44"/>
  <c r="J18" i="44"/>
  <c r="J16" i="44"/>
  <c r="H18" i="44"/>
  <c r="J15" i="44"/>
  <c r="J33" i="44"/>
  <c r="J25" i="44"/>
  <c r="N12" i="44"/>
  <c r="J31" i="44"/>
  <c r="J34" i="44"/>
  <c r="J27" i="44"/>
  <c r="J29" i="44"/>
  <c r="J36" i="44"/>
  <c r="X13" i="44"/>
  <c r="Z15" i="44"/>
  <c r="X21" i="44"/>
  <c r="R36" i="46"/>
  <c r="R34" i="46"/>
  <c r="R33" i="46"/>
  <c r="R31" i="46"/>
  <c r="R29" i="46"/>
  <c r="R27" i="46"/>
  <c r="R25" i="46"/>
  <c r="R21" i="46"/>
  <c r="R20" i="46"/>
  <c r="R18" i="46"/>
  <c r="R16" i="46"/>
  <c r="P18" i="46"/>
  <c r="R15" i="46"/>
  <c r="X12" i="46"/>
  <c r="R24" i="46"/>
  <c r="R22" i="46"/>
  <c r="Z22" i="46"/>
  <c r="Z24" i="46"/>
  <c r="Z20" i="47"/>
  <c r="L25" i="47"/>
  <c r="L29" i="47"/>
  <c r="L33" i="47"/>
  <c r="L22" i="49"/>
  <c r="L21" i="50"/>
  <c r="Z13" i="52"/>
  <c r="X22" i="52"/>
  <c r="J24" i="53"/>
  <c r="J22" i="53"/>
  <c r="J21" i="53"/>
  <c r="J20" i="53"/>
  <c r="J18" i="53"/>
  <c r="J16" i="53"/>
  <c r="H18" i="53"/>
  <c r="J15" i="53"/>
  <c r="N12" i="53"/>
  <c r="J36" i="53"/>
  <c r="J31" i="53"/>
  <c r="J25" i="53"/>
  <c r="J34" i="53"/>
  <c r="J29" i="53"/>
  <c r="J33" i="53"/>
  <c r="J27" i="53"/>
  <c r="X21" i="53"/>
  <c r="Z21" i="43"/>
  <c r="X25" i="43"/>
  <c r="X29" i="43"/>
  <c r="X33" i="43"/>
  <c r="X34" i="43"/>
  <c r="Z13" i="44"/>
  <c r="Z16" i="44"/>
  <c r="Z20" i="44"/>
  <c r="X22" i="44"/>
  <c r="X24" i="44"/>
  <c r="V24" i="46"/>
  <c r="V22" i="46"/>
  <c r="V21" i="46"/>
  <c r="T18" i="46"/>
  <c r="V15" i="46"/>
  <c r="Z12" i="46"/>
  <c r="V31" i="46"/>
  <c r="V29" i="46"/>
  <c r="V20" i="46"/>
  <c r="V27" i="46"/>
  <c r="V18" i="46"/>
  <c r="V16" i="46"/>
  <c r="V34" i="46"/>
  <c r="V33" i="46"/>
  <c r="V25" i="46"/>
  <c r="V36" i="46"/>
  <c r="L15" i="46"/>
  <c r="Z25" i="46"/>
  <c r="Z29" i="46"/>
  <c r="Z33" i="46"/>
  <c r="Z34" i="46"/>
  <c r="X12" i="47"/>
  <c r="R36" i="47"/>
  <c r="R34" i="47"/>
  <c r="R33" i="47"/>
  <c r="R31" i="47"/>
  <c r="R29" i="47"/>
  <c r="R27" i="47"/>
  <c r="R25" i="47"/>
  <c r="P18" i="47"/>
  <c r="R15" i="47"/>
  <c r="R24" i="47"/>
  <c r="R16" i="47"/>
  <c r="R21" i="47"/>
  <c r="R18" i="47"/>
  <c r="R22" i="47"/>
  <c r="R20" i="47"/>
  <c r="X15" i="47"/>
  <c r="N25" i="47"/>
  <c r="N29" i="47"/>
  <c r="N33" i="47"/>
  <c r="N13" i="49"/>
  <c r="N22" i="49"/>
  <c r="N21" i="50"/>
  <c r="L25" i="50"/>
  <c r="Z22" i="52"/>
  <c r="Z21" i="53"/>
  <c r="X25" i="53"/>
  <c r="X16" i="47"/>
  <c r="X20" i="47"/>
  <c r="X15" i="49"/>
  <c r="N25" i="49"/>
  <c r="N29" i="49"/>
  <c r="N33" i="49"/>
  <c r="N34" i="49"/>
  <c r="N13" i="50"/>
  <c r="N22" i="50"/>
  <c r="N24" i="50"/>
  <c r="V20" i="52"/>
  <c r="V18" i="52"/>
  <c r="V16" i="52"/>
  <c r="V36" i="52"/>
  <c r="V34" i="52"/>
  <c r="V33" i="52"/>
  <c r="V31" i="52"/>
  <c r="V29" i="52"/>
  <c r="V27" i="52"/>
  <c r="V25" i="52"/>
  <c r="V24" i="52"/>
  <c r="V22" i="52"/>
  <c r="T18" i="52"/>
  <c r="Z12" i="52"/>
  <c r="V21" i="52"/>
  <c r="V15" i="52"/>
  <c r="L15" i="52"/>
  <c r="Z25" i="52"/>
  <c r="Z29" i="52"/>
  <c r="Z33" i="52"/>
  <c r="Z34" i="52"/>
  <c r="R21" i="53"/>
  <c r="R36" i="53"/>
  <c r="R34" i="53"/>
  <c r="R33" i="53"/>
  <c r="R31" i="53"/>
  <c r="R29" i="53"/>
  <c r="R27" i="53"/>
  <c r="R25" i="53"/>
  <c r="R16" i="53"/>
  <c r="R24" i="53"/>
  <c r="R20" i="53"/>
  <c r="R15" i="53"/>
  <c r="R22" i="53"/>
  <c r="R18" i="53"/>
  <c r="P18" i="53"/>
  <c r="X12" i="53"/>
  <c r="Z22" i="53"/>
  <c r="Z24" i="53"/>
  <c r="F24" i="49"/>
  <c r="F22" i="49"/>
  <c r="D18" i="49"/>
  <c r="F15" i="49"/>
  <c r="L12" i="49"/>
  <c r="F33" i="49"/>
  <c r="F27" i="49"/>
  <c r="F18" i="49"/>
  <c r="F36" i="49"/>
  <c r="F31" i="49"/>
  <c r="F25" i="49"/>
  <c r="F21" i="49"/>
  <c r="F16" i="49"/>
  <c r="F34" i="49"/>
  <c r="F29" i="49"/>
  <c r="F20" i="49"/>
  <c r="X16" i="49"/>
  <c r="X20" i="49"/>
  <c r="X15" i="50"/>
  <c r="N25" i="50"/>
  <c r="N29" i="50"/>
  <c r="N33" i="50"/>
  <c r="N34" i="50"/>
  <c r="L16" i="52"/>
  <c r="L20" i="52"/>
  <c r="T18" i="53"/>
  <c r="V15" i="53"/>
  <c r="Z12" i="53"/>
  <c r="V24" i="53"/>
  <c r="V22" i="53"/>
  <c r="V21" i="53"/>
  <c r="V16" i="53"/>
  <c r="V34" i="53"/>
  <c r="V29" i="53"/>
  <c r="V20" i="53"/>
  <c r="V33" i="53"/>
  <c r="V27" i="53"/>
  <c r="V18" i="53"/>
  <c r="V36" i="53"/>
  <c r="V31" i="53"/>
  <c r="V25" i="53"/>
  <c r="L15" i="53"/>
  <c r="Z25" i="53"/>
  <c r="Z29" i="53"/>
  <c r="Z33" i="53"/>
  <c r="Z34" i="53"/>
  <c r="Z13" i="49"/>
  <c r="Z16" i="49"/>
  <c r="Z20" i="49"/>
  <c r="X22" i="49"/>
  <c r="X24" i="49"/>
  <c r="H18" i="50"/>
  <c r="J15" i="50"/>
  <c r="N12" i="50"/>
  <c r="J24" i="50"/>
  <c r="J22" i="50"/>
  <c r="J21" i="50"/>
  <c r="J16" i="50"/>
  <c r="J34" i="50"/>
  <c r="J29" i="50"/>
  <c r="J20" i="50"/>
  <c r="J33" i="50"/>
  <c r="J27" i="50"/>
  <c r="J18" i="50"/>
  <c r="J36" i="50"/>
  <c r="J31" i="50"/>
  <c r="J25" i="50"/>
  <c r="X13" i="50"/>
  <c r="Z15" i="50"/>
  <c r="X21" i="50"/>
  <c r="N16" i="52"/>
  <c r="N20" i="52"/>
  <c r="L22" i="52"/>
  <c r="L24" i="52"/>
  <c r="N15" i="53"/>
  <c r="L21" i="53"/>
  <c r="Z22" i="47"/>
  <c r="Z24" i="47"/>
  <c r="Z21" i="49"/>
  <c r="X25" i="49"/>
  <c r="X29" i="49"/>
  <c r="X33" i="49"/>
  <c r="X34" i="49"/>
  <c r="Z13" i="50"/>
  <c r="Z16" i="50"/>
  <c r="Z20" i="50"/>
  <c r="X22" i="50"/>
  <c r="X24" i="50"/>
  <c r="L13" i="52"/>
  <c r="N21" i="52"/>
  <c r="L25" i="52"/>
  <c r="L29" i="52"/>
  <c r="L33" i="52"/>
  <c r="L34" i="52"/>
  <c r="N16" i="53"/>
  <c r="N20" i="53"/>
  <c r="L22" i="53"/>
  <c r="L24" i="53"/>
  <c r="Z25" i="47"/>
  <c r="Z29" i="47"/>
  <c r="Z33" i="47"/>
  <c r="Z34" i="47"/>
  <c r="X12" i="49"/>
  <c r="R36" i="49"/>
  <c r="R34" i="49"/>
  <c r="R33" i="49"/>
  <c r="R31" i="49"/>
  <c r="R29" i="49"/>
  <c r="R27" i="49"/>
  <c r="R25" i="49"/>
  <c r="R24" i="49"/>
  <c r="R22" i="49"/>
  <c r="R21" i="49"/>
  <c r="P18" i="49"/>
  <c r="R15" i="49"/>
  <c r="R16" i="49"/>
  <c r="R20" i="49"/>
  <c r="R18" i="49"/>
  <c r="Z22" i="49"/>
  <c r="Z24" i="49"/>
  <c r="Z21" i="50"/>
  <c r="X25" i="50"/>
  <c r="X29" i="50"/>
  <c r="X33" i="50"/>
  <c r="X34" i="50"/>
  <c r="N13" i="52"/>
  <c r="N22" i="52"/>
  <c r="N24" i="52"/>
  <c r="L13" i="53"/>
  <c r="N21" i="53"/>
  <c r="L25" i="53"/>
  <c r="L29" i="53"/>
  <c r="L33" i="53"/>
  <c r="L34" i="53"/>
  <c r="L16" i="47"/>
  <c r="L20" i="47"/>
  <c r="V36" i="49"/>
  <c r="V34" i="49"/>
  <c r="V33" i="49"/>
  <c r="V31" i="49"/>
  <c r="V29" i="49"/>
  <c r="V27" i="49"/>
  <c r="V25" i="49"/>
  <c r="V24" i="49"/>
  <c r="V22" i="49"/>
  <c r="V21" i="49"/>
  <c r="V20" i="49"/>
  <c r="V18" i="49"/>
  <c r="V16" i="49"/>
  <c r="T18" i="49"/>
  <c r="V15" i="49"/>
  <c r="Z12" i="49"/>
  <c r="L15" i="49"/>
  <c r="Z25" i="49"/>
  <c r="Z29" i="49"/>
  <c r="Z33" i="49"/>
  <c r="Z34" i="49"/>
  <c r="R36" i="50"/>
  <c r="R34" i="50"/>
  <c r="R33" i="50"/>
  <c r="R31" i="50"/>
  <c r="R29" i="50"/>
  <c r="R27" i="50"/>
  <c r="R25" i="50"/>
  <c r="R24" i="50"/>
  <c r="R22" i="50"/>
  <c r="R21" i="50"/>
  <c r="R20" i="50"/>
  <c r="R18" i="50"/>
  <c r="R16" i="50"/>
  <c r="R15" i="50"/>
  <c r="P18" i="50"/>
  <c r="X12" i="50"/>
  <c r="Z22" i="50"/>
  <c r="Z24" i="50"/>
  <c r="X15" i="52"/>
  <c r="N25" i="52"/>
  <c r="N29" i="52"/>
  <c r="N33" i="52"/>
  <c r="N34" i="52"/>
  <c r="N13" i="53"/>
  <c r="N22" i="53"/>
  <c r="N24" i="53"/>
  <c r="N15" i="47"/>
  <c r="L21" i="47"/>
  <c r="L16" i="49"/>
  <c r="L20" i="49"/>
  <c r="V24" i="50"/>
  <c r="V22" i="50"/>
  <c r="V21" i="50"/>
  <c r="V20" i="50"/>
  <c r="V18" i="50"/>
  <c r="V16" i="50"/>
  <c r="T18" i="50"/>
  <c r="V15" i="50"/>
  <c r="V34" i="50"/>
  <c r="V29" i="50"/>
  <c r="V33" i="50"/>
  <c r="V27" i="50"/>
  <c r="Z12" i="50"/>
  <c r="V36" i="50"/>
  <c r="V31" i="50"/>
  <c r="V25" i="50"/>
  <c r="L15" i="50"/>
  <c r="Z25" i="50"/>
  <c r="Z29" i="50"/>
  <c r="Z33" i="50"/>
  <c r="Z34" i="50"/>
  <c r="F36" i="52"/>
  <c r="F34" i="52"/>
  <c r="F33" i="52"/>
  <c r="F31" i="52"/>
  <c r="F29" i="52"/>
  <c r="F27" i="52"/>
  <c r="F25" i="52"/>
  <c r="F24" i="52"/>
  <c r="F22" i="52"/>
  <c r="F21" i="52"/>
  <c r="D18" i="52"/>
  <c r="F15" i="52"/>
  <c r="F18" i="52"/>
  <c r="L12" i="52"/>
  <c r="F16" i="52"/>
  <c r="F20" i="52"/>
  <c r="X16" i="52"/>
  <c r="X20" i="52"/>
  <c r="X15" i="53"/>
  <c r="N25" i="53"/>
  <c r="N29" i="53"/>
  <c r="N33" i="53"/>
  <c r="N34" i="53"/>
  <c r="N22" i="47"/>
  <c r="N24" i="47"/>
  <c r="L13" i="49"/>
  <c r="N21" i="49"/>
  <c r="L25" i="49"/>
  <c r="L29" i="49"/>
  <c r="L33" i="49"/>
  <c r="L34" i="49"/>
  <c r="N16" i="50"/>
  <c r="N20" i="50"/>
  <c r="L22" i="50"/>
  <c r="L24" i="50"/>
  <c r="Z21" i="52"/>
  <c r="X25" i="52"/>
  <c r="X29" i="52"/>
  <c r="X33" i="52"/>
  <c r="X34" i="52"/>
  <c r="Z13" i="53"/>
  <c r="Z16" i="53"/>
  <c r="Z20" i="53"/>
  <c r="X22" i="53"/>
  <c r="X24" i="53"/>
  <c r="X33" i="111"/>
  <c r="N33" i="111"/>
  <c r="L25" i="112"/>
  <c r="L13" i="111"/>
  <c r="L25" i="111"/>
  <c r="N25" i="111"/>
  <c r="N29" i="113"/>
  <c r="Z15" i="112"/>
  <c r="X25" i="111"/>
  <c r="N34" i="111"/>
  <c r="L21" i="113"/>
  <c r="N21" i="111"/>
  <c r="X34" i="111"/>
  <c r="X15" i="111"/>
  <c r="L29" i="112"/>
  <c r="Z21" i="111"/>
  <c r="N33" i="113"/>
  <c r="L29" i="111"/>
  <c r="N21" i="112"/>
  <c r="N15" i="113"/>
  <c r="N29" i="111"/>
  <c r="J36" i="112"/>
  <c r="J34" i="112"/>
  <c r="J33" i="112"/>
  <c r="J31" i="112"/>
  <c r="J29" i="112"/>
  <c r="J27" i="112"/>
  <c r="J25" i="112"/>
  <c r="J24" i="112"/>
  <c r="J22" i="112"/>
  <c r="J21" i="112"/>
  <c r="H18" i="112"/>
  <c r="J15" i="112"/>
  <c r="N12" i="112"/>
  <c r="J20" i="112"/>
  <c r="J18" i="112"/>
  <c r="J16" i="112"/>
  <c r="X21" i="112"/>
  <c r="X15" i="113"/>
  <c r="N34" i="113"/>
  <c r="X29" i="111"/>
  <c r="L13" i="112"/>
  <c r="L33" i="112"/>
  <c r="X13" i="112"/>
  <c r="N25" i="113"/>
  <c r="L34" i="112"/>
  <c r="R21" i="111"/>
  <c r="R20" i="111"/>
  <c r="R18" i="111"/>
  <c r="R16" i="111"/>
  <c r="P18" i="111"/>
  <c r="R15" i="111"/>
  <c r="X12" i="111"/>
  <c r="R36" i="111"/>
  <c r="R34" i="111"/>
  <c r="R33" i="111"/>
  <c r="R31" i="111"/>
  <c r="R29" i="111"/>
  <c r="R27" i="111"/>
  <c r="R25" i="111"/>
  <c r="R22" i="111"/>
  <c r="R24" i="111"/>
  <c r="Z22" i="111"/>
  <c r="Z24" i="111"/>
  <c r="Z13" i="112"/>
  <c r="Z16" i="112"/>
  <c r="Z20" i="112"/>
  <c r="X22" i="112"/>
  <c r="X24" i="112"/>
  <c r="F36" i="113"/>
  <c r="F34" i="113"/>
  <c r="F33" i="113"/>
  <c r="F31" i="113"/>
  <c r="F29" i="113"/>
  <c r="F27" i="113"/>
  <c r="F25" i="113"/>
  <c r="F24" i="113"/>
  <c r="F22" i="113"/>
  <c r="F21" i="113"/>
  <c r="D18" i="113"/>
  <c r="F15" i="113"/>
  <c r="L12" i="113"/>
  <c r="F18" i="113"/>
  <c r="F16" i="113"/>
  <c r="F20" i="113"/>
  <c r="X16" i="113"/>
  <c r="X20" i="113"/>
  <c r="T18" i="111"/>
  <c r="V15" i="111"/>
  <c r="Z12" i="111"/>
  <c r="V36" i="111"/>
  <c r="V34" i="111"/>
  <c r="V33" i="111"/>
  <c r="V31" i="111"/>
  <c r="V29" i="111"/>
  <c r="V27" i="111"/>
  <c r="V25" i="111"/>
  <c r="V24" i="111"/>
  <c r="V22" i="111"/>
  <c r="V21" i="111"/>
  <c r="V16" i="111"/>
  <c r="V20" i="111"/>
  <c r="V18" i="111"/>
  <c r="L15" i="111"/>
  <c r="Z25" i="111"/>
  <c r="Z29" i="111"/>
  <c r="Z33" i="111"/>
  <c r="Z34" i="111"/>
  <c r="Z21" i="112"/>
  <c r="X25" i="112"/>
  <c r="X29" i="112"/>
  <c r="X33" i="112"/>
  <c r="X34" i="112"/>
  <c r="J21" i="113"/>
  <c r="J20" i="113"/>
  <c r="J18" i="113"/>
  <c r="J16" i="113"/>
  <c r="H18" i="113"/>
  <c r="J15" i="113"/>
  <c r="N12" i="113"/>
  <c r="J36" i="113"/>
  <c r="J34" i="113"/>
  <c r="J33" i="113"/>
  <c r="J31" i="113"/>
  <c r="J29" i="113"/>
  <c r="J27" i="113"/>
  <c r="J25" i="113"/>
  <c r="J24" i="113"/>
  <c r="J22" i="113"/>
  <c r="X13" i="113"/>
  <c r="Z15" i="113"/>
  <c r="X21" i="113"/>
  <c r="L16" i="111"/>
  <c r="L20" i="111"/>
  <c r="P18" i="112"/>
  <c r="R15" i="112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Z22" i="112"/>
  <c r="Z24" i="112"/>
  <c r="Z13" i="113"/>
  <c r="Z16" i="113"/>
  <c r="Z20" i="113"/>
  <c r="X22" i="113"/>
  <c r="X24" i="113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Z21" i="113"/>
  <c r="X25" i="113"/>
  <c r="X29" i="113"/>
  <c r="X33" i="113"/>
  <c r="X34" i="113"/>
  <c r="N16" i="111"/>
  <c r="N20" i="111"/>
  <c r="L22" i="111"/>
  <c r="L24" i="111"/>
  <c r="L16" i="112"/>
  <c r="L20" i="112"/>
  <c r="X12" i="113"/>
  <c r="R36" i="113"/>
  <c r="R34" i="113"/>
  <c r="R33" i="113"/>
  <c r="R31" i="113"/>
  <c r="R29" i="113"/>
  <c r="R27" i="113"/>
  <c r="R25" i="113"/>
  <c r="R24" i="113"/>
  <c r="R22" i="113"/>
  <c r="R21" i="113"/>
  <c r="R20" i="113"/>
  <c r="R18" i="113"/>
  <c r="R16" i="113"/>
  <c r="P18" i="113"/>
  <c r="R15" i="113"/>
  <c r="Z22" i="113"/>
  <c r="Z24" i="113"/>
  <c r="L33" i="111"/>
  <c r="L34" i="111"/>
  <c r="N15" i="112"/>
  <c r="L21" i="112"/>
  <c r="V36" i="113"/>
  <c r="V34" i="113"/>
  <c r="V33" i="113"/>
  <c r="V31" i="113"/>
  <c r="V29" i="113"/>
  <c r="V27" i="113"/>
  <c r="V25" i="113"/>
  <c r="V24" i="113"/>
  <c r="V22" i="113"/>
  <c r="V21" i="113"/>
  <c r="V20" i="113"/>
  <c r="V18" i="113"/>
  <c r="V16" i="113"/>
  <c r="T18" i="113"/>
  <c r="V15" i="113"/>
  <c r="Z12" i="113"/>
  <c r="L15" i="113"/>
  <c r="Z25" i="113"/>
  <c r="Z29" i="113"/>
  <c r="Z33" i="113"/>
  <c r="Z34" i="113"/>
  <c r="N13" i="111"/>
  <c r="N22" i="111"/>
  <c r="N24" i="111"/>
  <c r="N16" i="112"/>
  <c r="N20" i="112"/>
  <c r="L22" i="112"/>
  <c r="L24" i="112"/>
  <c r="L16" i="113"/>
  <c r="L20" i="113"/>
  <c r="L12" i="111"/>
  <c r="F36" i="111"/>
  <c r="F34" i="111"/>
  <c r="F33" i="111"/>
  <c r="F31" i="111"/>
  <c r="F29" i="111"/>
  <c r="F27" i="111"/>
  <c r="F25" i="111"/>
  <c r="F21" i="111"/>
  <c r="F20" i="111"/>
  <c r="F18" i="111"/>
  <c r="F16" i="111"/>
  <c r="D18" i="111"/>
  <c r="F15" i="111"/>
  <c r="F24" i="111"/>
  <c r="F22" i="111"/>
  <c r="X16" i="111"/>
  <c r="X20" i="111"/>
  <c r="N13" i="112"/>
  <c r="N22" i="112"/>
  <c r="N24" i="112"/>
  <c r="N16" i="113"/>
  <c r="N20" i="113"/>
  <c r="L22" i="113"/>
  <c r="L24" i="113"/>
  <c r="J36" i="111"/>
  <c r="J34" i="111"/>
  <c r="J33" i="111"/>
  <c r="J31" i="111"/>
  <c r="J29" i="111"/>
  <c r="J27" i="111"/>
  <c r="J25" i="111"/>
  <c r="J21" i="111"/>
  <c r="H18" i="111"/>
  <c r="J15" i="111"/>
  <c r="J24" i="111"/>
  <c r="J18" i="111"/>
  <c r="J22" i="111"/>
  <c r="J16" i="111"/>
  <c r="N12" i="111"/>
  <c r="J20" i="111"/>
  <c r="X13" i="111"/>
  <c r="Z15" i="111"/>
  <c r="X21" i="111"/>
  <c r="X15" i="112"/>
  <c r="N25" i="112"/>
  <c r="N29" i="112"/>
  <c r="N33" i="112"/>
  <c r="N34" i="112"/>
  <c r="L13" i="113"/>
  <c r="N21" i="113"/>
  <c r="L25" i="113"/>
  <c r="L29" i="113"/>
  <c r="L33" i="113"/>
  <c r="L34" i="113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1" i="112"/>
  <c r="F20" i="112"/>
  <c r="F18" i="112"/>
  <c r="F16" i="112"/>
  <c r="D18" i="112"/>
  <c r="F15" i="112"/>
  <c r="L12" i="112"/>
  <c r="F24" i="112"/>
  <c r="F22" i="112"/>
  <c r="X16" i="112"/>
  <c r="X20" i="112"/>
  <c r="N13" i="113"/>
  <c r="N22" i="113"/>
  <c r="N24" i="113"/>
  <c r="Z212" i="3"/>
  <c r="R299" i="3"/>
  <c r="R286" i="3"/>
  <c r="R285" i="3"/>
  <c r="R273" i="3"/>
  <c r="R269" i="3"/>
  <c r="R253" i="3"/>
  <c r="R287" i="3"/>
  <c r="R280" i="3"/>
  <c r="R279" i="3"/>
  <c r="R259" i="3"/>
  <c r="R303" i="3"/>
  <c r="R291" i="3"/>
  <c r="R282" i="3"/>
  <c r="R281" i="3"/>
  <c r="R266" i="3"/>
  <c r="R265" i="3"/>
  <c r="R293" i="3"/>
  <c r="R283" i="3"/>
  <c r="R275" i="3"/>
  <c r="R271" i="3"/>
  <c r="R267" i="3"/>
  <c r="R256" i="3"/>
  <c r="R255" i="3"/>
  <c r="R244" i="3"/>
  <c r="R243" i="3"/>
  <c r="R294" i="3"/>
  <c r="R251" i="3"/>
  <c r="R250" i="3"/>
  <c r="R296" i="3"/>
  <c r="R298" i="3"/>
  <c r="R278" i="3"/>
  <c r="R263" i="3"/>
  <c r="R262" i="3"/>
  <c r="R258" i="3"/>
  <c r="R307" i="3"/>
  <c r="R257" i="3"/>
  <c r="R247" i="3"/>
  <c r="R234" i="3"/>
  <c r="R233" i="3"/>
  <c r="R226" i="3"/>
  <c r="R225" i="3"/>
  <c r="R213" i="3"/>
  <c r="R177" i="3"/>
  <c r="R173" i="3"/>
  <c r="R169" i="3"/>
  <c r="R165" i="3"/>
  <c r="R161" i="3"/>
  <c r="R157" i="3"/>
  <c r="R153" i="3"/>
  <c r="R149" i="3"/>
  <c r="R145" i="3"/>
  <c r="R141" i="3"/>
  <c r="R137" i="3"/>
  <c r="R133" i="3"/>
  <c r="R129" i="3"/>
  <c r="R125" i="3"/>
  <c r="R249" i="3"/>
  <c r="R168" i="3"/>
  <c r="R277" i="3"/>
  <c r="R223" i="3"/>
  <c r="R211" i="3"/>
  <c r="R264" i="3"/>
  <c r="R205" i="3"/>
  <c r="R204" i="3"/>
  <c r="R200" i="3"/>
  <c r="R196" i="3"/>
  <c r="R290" i="3"/>
  <c r="R254" i="3"/>
  <c r="R140" i="3"/>
  <c r="R132" i="3"/>
  <c r="R236" i="3"/>
  <c r="R235" i="3"/>
  <c r="R228" i="3"/>
  <c r="R227" i="3"/>
  <c r="R220" i="3"/>
  <c r="R219" i="3"/>
  <c r="R191" i="3"/>
  <c r="R187" i="3"/>
  <c r="R148" i="3"/>
  <c r="R212" i="3"/>
  <c r="R297" i="3"/>
  <c r="R214" i="3"/>
  <c r="R207" i="3"/>
  <c r="R206" i="3"/>
  <c r="R183" i="3"/>
  <c r="R178" i="3"/>
  <c r="R174" i="3"/>
  <c r="R170" i="3"/>
  <c r="R166" i="3"/>
  <c r="R162" i="3"/>
  <c r="R158" i="3"/>
  <c r="R154" i="3"/>
  <c r="R150" i="3"/>
  <c r="R146" i="3"/>
  <c r="R142" i="3"/>
  <c r="R138" i="3"/>
  <c r="R134" i="3"/>
  <c r="R130" i="3"/>
  <c r="R126" i="3"/>
  <c r="R164" i="3"/>
  <c r="R160" i="3"/>
  <c r="R156" i="3"/>
  <c r="R144" i="3"/>
  <c r="R308" i="3"/>
  <c r="R295" i="3"/>
  <c r="R292" i="3"/>
  <c r="R260" i="3"/>
  <c r="R248" i="3"/>
  <c r="R238" i="3"/>
  <c r="R237" i="3"/>
  <c r="R229" i="3"/>
  <c r="R221" i="3"/>
  <c r="R201" i="3"/>
  <c r="R197" i="3"/>
  <c r="R182" i="3"/>
  <c r="R180" i="3"/>
  <c r="R203" i="3"/>
  <c r="R245" i="3"/>
  <c r="R208" i="3"/>
  <c r="R192" i="3"/>
  <c r="R188" i="3"/>
  <c r="R184" i="3"/>
  <c r="P180" i="3"/>
  <c r="R284" i="3"/>
  <c r="R232" i="3"/>
  <c r="R216" i="3"/>
  <c r="R240" i="3"/>
  <c r="R239" i="3"/>
  <c r="R215" i="3"/>
  <c r="R175" i="3"/>
  <c r="R171" i="3"/>
  <c r="R167" i="3"/>
  <c r="R163" i="3"/>
  <c r="R159" i="3"/>
  <c r="R155" i="3"/>
  <c r="R151" i="3"/>
  <c r="R147" i="3"/>
  <c r="R143" i="3"/>
  <c r="R139" i="3"/>
  <c r="R135" i="3"/>
  <c r="R131" i="3"/>
  <c r="R127" i="3"/>
  <c r="R217" i="3"/>
  <c r="R176" i="3"/>
  <c r="R152" i="3"/>
  <c r="R224" i="3"/>
  <c r="R199" i="3"/>
  <c r="R276" i="3"/>
  <c r="R231" i="3"/>
  <c r="R230" i="3"/>
  <c r="R222" i="3"/>
  <c r="R202" i="3"/>
  <c r="R198" i="3"/>
  <c r="R123" i="3"/>
  <c r="R172" i="3"/>
  <c r="R128" i="3"/>
  <c r="R274" i="3"/>
  <c r="R272" i="3"/>
  <c r="R268" i="3"/>
  <c r="R252" i="3"/>
  <c r="R246" i="3"/>
  <c r="R242" i="3"/>
  <c r="R241" i="3"/>
  <c r="R210" i="3"/>
  <c r="R209" i="3"/>
  <c r="R194" i="3"/>
  <c r="R193" i="3"/>
  <c r="R189" i="3"/>
  <c r="R185" i="3"/>
  <c r="R270" i="3"/>
  <c r="R136" i="3"/>
  <c r="R124" i="3"/>
  <c r="R195" i="3"/>
  <c r="R261" i="3"/>
  <c r="R218" i="3"/>
  <c r="R190" i="3"/>
  <c r="R186" i="3"/>
  <c r="X12" i="3"/>
  <c r="Z12" i="3" s="1"/>
  <c r="N182" i="3"/>
  <c r="N224" i="3"/>
  <c r="F294" i="3"/>
  <c r="F261" i="3"/>
  <c r="F257" i="3"/>
  <c r="F256" i="3"/>
  <c r="F245" i="3"/>
  <c r="F244" i="3"/>
  <c r="F296" i="3"/>
  <c r="F298" i="3"/>
  <c r="F285" i="3"/>
  <c r="F273" i="3"/>
  <c r="F269" i="3"/>
  <c r="F253" i="3"/>
  <c r="F287" i="3"/>
  <c r="F286" i="3"/>
  <c r="F279" i="3"/>
  <c r="F259" i="3"/>
  <c r="F274" i="3"/>
  <c r="F270" i="3"/>
  <c r="F254" i="3"/>
  <c r="F308" i="3"/>
  <c r="F307" i="3"/>
  <c r="F293" i="3"/>
  <c r="F250" i="3"/>
  <c r="F290" i="3"/>
  <c r="F284" i="3"/>
  <c r="F263" i="3"/>
  <c r="F249" i="3"/>
  <c r="F246" i="3"/>
  <c r="F241" i="3"/>
  <c r="F240" i="3"/>
  <c r="F209" i="3"/>
  <c r="F193" i="3"/>
  <c r="F189" i="3"/>
  <c r="F185" i="3"/>
  <c r="F208" i="3"/>
  <c r="F188" i="3"/>
  <c r="F239" i="3"/>
  <c r="F131" i="3"/>
  <c r="F266" i="3"/>
  <c r="F232" i="3"/>
  <c r="F231" i="3"/>
  <c r="F216" i="3"/>
  <c r="F176" i="3"/>
  <c r="F172" i="3"/>
  <c r="F168" i="3"/>
  <c r="F164" i="3"/>
  <c r="F160" i="3"/>
  <c r="F156" i="3"/>
  <c r="F152" i="3"/>
  <c r="F148" i="3"/>
  <c r="F144" i="3"/>
  <c r="F140" i="3"/>
  <c r="F136" i="3"/>
  <c r="F132" i="3"/>
  <c r="F128" i="3"/>
  <c r="F124" i="3"/>
  <c r="F123" i="3"/>
  <c r="L12" i="3"/>
  <c r="F281" i="3"/>
  <c r="F215" i="3"/>
  <c r="F171" i="3"/>
  <c r="F163" i="3"/>
  <c r="F143" i="3"/>
  <c r="F299" i="3"/>
  <c r="F282" i="3"/>
  <c r="F277" i="3"/>
  <c r="F243" i="3"/>
  <c r="F242" i="3"/>
  <c r="F223" i="3"/>
  <c r="F211" i="3"/>
  <c r="F210" i="3"/>
  <c r="F203" i="3"/>
  <c r="F199" i="3"/>
  <c r="F195" i="3"/>
  <c r="F194" i="3"/>
  <c r="F251" i="3"/>
  <c r="F167" i="3"/>
  <c r="F159" i="3"/>
  <c r="F139" i="3"/>
  <c r="F303" i="3"/>
  <c r="F264" i="3"/>
  <c r="F247" i="3"/>
  <c r="F218" i="3"/>
  <c r="F217" i="3"/>
  <c r="F190" i="3"/>
  <c r="F186" i="3"/>
  <c r="F182" i="3"/>
  <c r="F291" i="3"/>
  <c r="F233" i="3"/>
  <c r="F225" i="3"/>
  <c r="F224" i="3"/>
  <c r="F213" i="3"/>
  <c r="F212" i="3"/>
  <c r="F177" i="3"/>
  <c r="F173" i="3"/>
  <c r="F169" i="3"/>
  <c r="F165" i="3"/>
  <c r="F161" i="3"/>
  <c r="F157" i="3"/>
  <c r="F153" i="3"/>
  <c r="F149" i="3"/>
  <c r="F145" i="3"/>
  <c r="F141" i="3"/>
  <c r="F137" i="3"/>
  <c r="F133" i="3"/>
  <c r="F129" i="3"/>
  <c r="F125" i="3"/>
  <c r="F280" i="3"/>
  <c r="F275" i="3"/>
  <c r="F204" i="3"/>
  <c r="F200" i="3"/>
  <c r="F196" i="3"/>
  <c r="F265" i="3"/>
  <c r="F278" i="3"/>
  <c r="F271" i="3"/>
  <c r="F267" i="3"/>
  <c r="F255" i="3"/>
  <c r="F235" i="3"/>
  <c r="F234" i="3"/>
  <c r="F227" i="3"/>
  <c r="F226" i="3"/>
  <c r="F219" i="3"/>
  <c r="F191" i="3"/>
  <c r="F187" i="3"/>
  <c r="F207" i="3"/>
  <c r="F184" i="3"/>
  <c r="F276" i="3"/>
  <c r="F238" i="3"/>
  <c r="F135" i="3"/>
  <c r="F297" i="3"/>
  <c r="F295" i="3"/>
  <c r="F283" i="3"/>
  <c r="F262" i="3"/>
  <c r="F260" i="3"/>
  <c r="F214" i="3"/>
  <c r="F206" i="3"/>
  <c r="F205" i="3"/>
  <c r="F178" i="3"/>
  <c r="F174" i="3"/>
  <c r="F170" i="3"/>
  <c r="F166" i="3"/>
  <c r="F162" i="3"/>
  <c r="F158" i="3"/>
  <c r="F154" i="3"/>
  <c r="F150" i="3"/>
  <c r="F146" i="3"/>
  <c r="F142" i="3"/>
  <c r="F138" i="3"/>
  <c r="F134" i="3"/>
  <c r="F130" i="3"/>
  <c r="F126" i="3"/>
  <c r="F292" i="3"/>
  <c r="F289" i="3"/>
  <c r="F258" i="3"/>
  <c r="F248" i="3"/>
  <c r="F237" i="3"/>
  <c r="F236" i="3"/>
  <c r="F229" i="3"/>
  <c r="F228" i="3"/>
  <c r="F221" i="3"/>
  <c r="F220" i="3"/>
  <c r="F201" i="3"/>
  <c r="F197" i="3"/>
  <c r="F192" i="3"/>
  <c r="F183" i="3"/>
  <c r="F175" i="3"/>
  <c r="F155" i="3"/>
  <c r="F151" i="3"/>
  <c r="F147" i="3"/>
  <c r="F127" i="3"/>
  <c r="F272" i="3"/>
  <c r="F268" i="3"/>
  <c r="F252" i="3"/>
  <c r="F230" i="3"/>
  <c r="F222" i="3"/>
  <c r="F202" i="3"/>
  <c r="F198" i="3"/>
  <c r="D180" i="3"/>
  <c r="Z182" i="3"/>
  <c r="Z224" i="3"/>
  <c r="V177" i="3"/>
  <c r="J185" i="3"/>
  <c r="J189" i="3"/>
  <c r="J193" i="3"/>
  <c r="V205" i="3"/>
  <c r="J209" i="3"/>
  <c r="V213" i="3"/>
  <c r="V225" i="3"/>
  <c r="J231" i="3"/>
  <c r="V233" i="3"/>
  <c r="J241" i="3"/>
  <c r="V244" i="3"/>
  <c r="V247" i="3"/>
  <c r="V259" i="3"/>
  <c r="J266" i="3"/>
  <c r="X277" i="3"/>
  <c r="Z277" i="3" s="1"/>
  <c r="V287" i="3"/>
  <c r="J293" i="3"/>
  <c r="R19" i="9"/>
  <c r="P12" i="12"/>
  <c r="L189" i="12"/>
  <c r="N189" i="12" s="1"/>
  <c r="Z14" i="6"/>
  <c r="X14" i="6"/>
  <c r="X24" i="18"/>
  <c r="P12" i="18"/>
  <c r="Z177" i="12"/>
  <c r="V124" i="3"/>
  <c r="V128" i="3"/>
  <c r="V132" i="3"/>
  <c r="V136" i="3"/>
  <c r="V140" i="3"/>
  <c r="V144" i="3"/>
  <c r="V148" i="3"/>
  <c r="V152" i="3"/>
  <c r="V156" i="3"/>
  <c r="V160" i="3"/>
  <c r="V164" i="3"/>
  <c r="V168" i="3"/>
  <c r="V172" i="3"/>
  <c r="V176" i="3"/>
  <c r="J180" i="3"/>
  <c r="J182" i="3"/>
  <c r="J184" i="3"/>
  <c r="J188" i="3"/>
  <c r="J192" i="3"/>
  <c r="J208" i="3"/>
  <c r="V212" i="3"/>
  <c r="V216" i="3"/>
  <c r="V224" i="3"/>
  <c r="V232" i="3"/>
  <c r="J238" i="3"/>
  <c r="V249" i="3"/>
  <c r="V284" i="3"/>
  <c r="T16" i="6"/>
  <c r="Z20" i="6"/>
  <c r="X20" i="6"/>
  <c r="R86" i="9"/>
  <c r="Z96" i="9"/>
  <c r="X96" i="9"/>
  <c r="J183" i="3"/>
  <c r="V185" i="3"/>
  <c r="V189" i="3"/>
  <c r="V193" i="3"/>
  <c r="J197" i="3"/>
  <c r="J201" i="3"/>
  <c r="J207" i="3"/>
  <c r="V209" i="3"/>
  <c r="V217" i="3"/>
  <c r="J221" i="3"/>
  <c r="J229" i="3"/>
  <c r="J237" i="3"/>
  <c r="V241" i="3"/>
  <c r="J248" i="3"/>
  <c r="V252" i="3"/>
  <c r="Z263" i="3"/>
  <c r="V268" i="3"/>
  <c r="V272" i="3"/>
  <c r="V281" i="3"/>
  <c r="V293" i="3"/>
  <c r="V298" i="3"/>
  <c r="N308" i="3"/>
  <c r="N28" i="6"/>
  <c r="X42" i="9"/>
  <c r="Z42" i="9" s="1"/>
  <c r="Z201" i="12"/>
  <c r="L217" i="12"/>
  <c r="N217" i="12" s="1"/>
  <c r="H110" i="21"/>
  <c r="X203" i="12"/>
  <c r="Z203" i="12" s="1"/>
  <c r="J224" i="18"/>
  <c r="J126" i="3"/>
  <c r="J130" i="3"/>
  <c r="J134" i="3"/>
  <c r="J138" i="3"/>
  <c r="J142" i="3"/>
  <c r="J146" i="3"/>
  <c r="J150" i="3"/>
  <c r="J154" i="3"/>
  <c r="J158" i="3"/>
  <c r="J162" i="3"/>
  <c r="J166" i="3"/>
  <c r="J170" i="3"/>
  <c r="J174" i="3"/>
  <c r="J178" i="3"/>
  <c r="V194" i="3"/>
  <c r="V198" i="3"/>
  <c r="V202" i="3"/>
  <c r="J206" i="3"/>
  <c r="V210" i="3"/>
  <c r="J214" i="3"/>
  <c r="J220" i="3"/>
  <c r="V222" i="3"/>
  <c r="J228" i="3"/>
  <c r="V230" i="3"/>
  <c r="J236" i="3"/>
  <c r="V242" i="3"/>
  <c r="V258" i="3"/>
  <c r="J260" i="3"/>
  <c r="V263" i="3"/>
  <c r="V265" i="3"/>
  <c r="V276" i="3"/>
  <c r="J283" i="3"/>
  <c r="V286" i="3"/>
  <c r="L92" i="9"/>
  <c r="N92" i="9" s="1"/>
  <c r="T98" i="9"/>
  <c r="N153" i="12"/>
  <c r="N207" i="12"/>
  <c r="X54" i="9"/>
  <c r="Z54" i="9" s="1"/>
  <c r="V139" i="3"/>
  <c r="V143" i="3"/>
  <c r="V147" i="3"/>
  <c r="V151" i="3"/>
  <c r="V155" i="3"/>
  <c r="V159" i="3"/>
  <c r="V163" i="3"/>
  <c r="V167" i="3"/>
  <c r="V171" i="3"/>
  <c r="V175" i="3"/>
  <c r="J187" i="3"/>
  <c r="J191" i="3"/>
  <c r="J205" i="3"/>
  <c r="V215" i="3"/>
  <c r="J219" i="3"/>
  <c r="J227" i="3"/>
  <c r="V231" i="3"/>
  <c r="J235" i="3"/>
  <c r="V239" i="3"/>
  <c r="J255" i="3"/>
  <c r="Z256" i="3"/>
  <c r="V262" i="3"/>
  <c r="J267" i="3"/>
  <c r="J271" i="3"/>
  <c r="J285" i="3"/>
  <c r="X12" i="6"/>
  <c r="R22" i="6"/>
  <c r="R20" i="6"/>
  <c r="R18" i="6"/>
  <c r="R16" i="6"/>
  <c r="R14" i="6"/>
  <c r="P16" i="6"/>
  <c r="R24" i="6"/>
  <c r="R28" i="6"/>
  <c r="R94" i="9"/>
  <c r="Z203" i="15"/>
  <c r="X203" i="15"/>
  <c r="V184" i="3"/>
  <c r="V188" i="3"/>
  <c r="V192" i="3"/>
  <c r="J196" i="3"/>
  <c r="J200" i="3"/>
  <c r="J204" i="3"/>
  <c r="V208" i="3"/>
  <c r="J226" i="3"/>
  <c r="J234" i="3"/>
  <c r="V240" i="3"/>
  <c r="J244" i="3"/>
  <c r="J250" i="3"/>
  <c r="J253" i="3"/>
  <c r="J269" i="3"/>
  <c r="J273" i="3"/>
  <c r="V278" i="3"/>
  <c r="V283" i="3"/>
  <c r="X18" i="9"/>
  <c r="Z18" i="9" s="1"/>
  <c r="R39" i="9"/>
  <c r="L60" i="9"/>
  <c r="N60" i="9" s="1"/>
  <c r="Z82" i="9"/>
  <c r="X82" i="9"/>
  <c r="Z266" i="3"/>
  <c r="J295" i="3"/>
  <c r="J284" i="3"/>
  <c r="J276" i="3"/>
  <c r="J272" i="3"/>
  <c r="J268" i="3"/>
  <c r="J252" i="3"/>
  <c r="J246" i="3"/>
  <c r="J297" i="3"/>
  <c r="J278" i="3"/>
  <c r="J262" i="3"/>
  <c r="J258" i="3"/>
  <c r="J299" i="3"/>
  <c r="J286" i="3"/>
  <c r="J264" i="3"/>
  <c r="J280" i="3"/>
  <c r="J274" i="3"/>
  <c r="J270" i="3"/>
  <c r="J254" i="3"/>
  <c r="J303" i="3"/>
  <c r="J290" i="3"/>
  <c r="J289" i="3"/>
  <c r="J281" i="3"/>
  <c r="J265" i="3"/>
  <c r="J249" i="3"/>
  <c r="J308" i="3"/>
  <c r="J307" i="3"/>
  <c r="J292" i="3"/>
  <c r="J294" i="3"/>
  <c r="J261" i="3"/>
  <c r="J257" i="3"/>
  <c r="J251" i="3"/>
  <c r="J245" i="3"/>
  <c r="J125" i="3"/>
  <c r="J129" i="3"/>
  <c r="J133" i="3"/>
  <c r="J137" i="3"/>
  <c r="J141" i="3"/>
  <c r="J145" i="3"/>
  <c r="J149" i="3"/>
  <c r="J153" i="3"/>
  <c r="J157" i="3"/>
  <c r="J161" i="3"/>
  <c r="J165" i="3"/>
  <c r="J169" i="3"/>
  <c r="J173" i="3"/>
  <c r="J177" i="3"/>
  <c r="T180" i="3"/>
  <c r="V197" i="3"/>
  <c r="V201" i="3"/>
  <c r="J213" i="3"/>
  <c r="V221" i="3"/>
  <c r="J225" i="3"/>
  <c r="V229" i="3"/>
  <c r="J233" i="3"/>
  <c r="V237" i="3"/>
  <c r="X240" i="3"/>
  <c r="Z240" i="3" s="1"/>
  <c r="V251" i="3"/>
  <c r="V255" i="3"/>
  <c r="V267" i="3"/>
  <c r="V271" i="3"/>
  <c r="V289" i="3"/>
  <c r="J291" i="3"/>
  <c r="N307" i="3"/>
  <c r="D22" i="6"/>
  <c r="L48" i="9"/>
  <c r="N48" i="9" s="1"/>
  <c r="R74" i="9"/>
  <c r="N87" i="9"/>
  <c r="Z153" i="12"/>
  <c r="D12" i="12"/>
  <c r="L13" i="12"/>
  <c r="N13" i="12" s="1"/>
  <c r="X282" i="3"/>
  <c r="Z282" i="3" s="1"/>
  <c r="N201" i="12"/>
  <c r="N12" i="3"/>
  <c r="V126" i="3"/>
  <c r="V130" i="3"/>
  <c r="V134" i="3"/>
  <c r="V138" i="3"/>
  <c r="V142" i="3"/>
  <c r="V146" i="3"/>
  <c r="V150" i="3"/>
  <c r="V154" i="3"/>
  <c r="V158" i="3"/>
  <c r="V162" i="3"/>
  <c r="V166" i="3"/>
  <c r="V170" i="3"/>
  <c r="V174" i="3"/>
  <c r="V178" i="3"/>
  <c r="V180" i="3"/>
  <c r="V182" i="3"/>
  <c r="J186" i="3"/>
  <c r="J190" i="3"/>
  <c r="V206" i="3"/>
  <c r="J212" i="3"/>
  <c r="V214" i="3"/>
  <c r="J218" i="3"/>
  <c r="J224" i="3"/>
  <c r="V238" i="3"/>
  <c r="J247" i="3"/>
  <c r="J259" i="3"/>
  <c r="V275" i="3"/>
  <c r="X280" i="3"/>
  <c r="Z280" i="3" s="1"/>
  <c r="J287" i="3"/>
  <c r="V308" i="3"/>
  <c r="Z18" i="6"/>
  <c r="X18" i="6"/>
  <c r="H262" i="12"/>
  <c r="J262" i="12" s="1"/>
  <c r="R88" i="9"/>
  <c r="R64" i="9"/>
  <c r="R28" i="9"/>
  <c r="R24" i="9"/>
  <c r="R20" i="9"/>
  <c r="P16" i="9"/>
  <c r="R83" i="9"/>
  <c r="R76" i="9"/>
  <c r="R75" i="9"/>
  <c r="R56" i="9"/>
  <c r="R55" i="9"/>
  <c r="R44" i="9"/>
  <c r="R43" i="9"/>
  <c r="R100" i="9"/>
  <c r="R71" i="9"/>
  <c r="R70" i="9"/>
  <c r="R38" i="9"/>
  <c r="R34" i="9"/>
  <c r="R105" i="9"/>
  <c r="R102" i="9"/>
  <c r="R90" i="9"/>
  <c r="R89" i="9"/>
  <c r="R77" i="9"/>
  <c r="R66" i="9"/>
  <c r="R65" i="9"/>
  <c r="R58" i="9"/>
  <c r="R57" i="9"/>
  <c r="R46" i="9"/>
  <c r="R45" i="9"/>
  <c r="R29" i="9"/>
  <c r="R25" i="9"/>
  <c r="R21" i="9"/>
  <c r="R84" i="9"/>
  <c r="R72" i="9"/>
  <c r="R92" i="9"/>
  <c r="R91" i="9"/>
  <c r="R67" i="9"/>
  <c r="R60" i="9"/>
  <c r="R59" i="9"/>
  <c r="R48" i="9"/>
  <c r="R47" i="9"/>
  <c r="R79" i="9"/>
  <c r="R78" i="9"/>
  <c r="R31" i="9"/>
  <c r="R30" i="9"/>
  <c r="R26" i="9"/>
  <c r="R22" i="9"/>
  <c r="R93" i="9"/>
  <c r="R85" i="9"/>
  <c r="R73" i="9"/>
  <c r="R62" i="9"/>
  <c r="R61" i="9"/>
  <c r="R50" i="9"/>
  <c r="R49" i="9"/>
  <c r="R80" i="9"/>
  <c r="R68" i="9"/>
  <c r="R40" i="9"/>
  <c r="R36" i="9"/>
  <c r="R32" i="9"/>
  <c r="X12" i="9"/>
  <c r="R63" i="9"/>
  <c r="R52" i="9"/>
  <c r="R51" i="9"/>
  <c r="R27" i="9"/>
  <c r="R23" i="9"/>
  <c r="R98" i="9"/>
  <c r="R96" i="9"/>
  <c r="R82" i="9"/>
  <c r="R81" i="9"/>
  <c r="R69" i="9"/>
  <c r="R54" i="9"/>
  <c r="R53" i="9"/>
  <c r="R42" i="9"/>
  <c r="R41" i="9"/>
  <c r="R37" i="9"/>
  <c r="R33" i="9"/>
  <c r="R18" i="9"/>
  <c r="R16" i="9"/>
  <c r="R14" i="9"/>
  <c r="V183" i="3"/>
  <c r="V187" i="3"/>
  <c r="V191" i="3"/>
  <c r="J195" i="3"/>
  <c r="J199" i="3"/>
  <c r="J203" i="3"/>
  <c r="V207" i="3"/>
  <c r="J211" i="3"/>
  <c r="J217" i="3"/>
  <c r="V219" i="3"/>
  <c r="J223" i="3"/>
  <c r="V227" i="3"/>
  <c r="J243" i="3"/>
  <c r="L246" i="3"/>
  <c r="N246" i="3" s="1"/>
  <c r="N282" i="3"/>
  <c r="L282" i="3"/>
  <c r="X291" i="3"/>
  <c r="P289" i="3"/>
  <c r="X289" i="3" s="1"/>
  <c r="Z289" i="3" s="1"/>
  <c r="Z14" i="9"/>
  <c r="X14" i="9"/>
  <c r="R87" i="9"/>
  <c r="X31" i="9"/>
  <c r="Z31" i="9" s="1"/>
  <c r="N209" i="12"/>
  <c r="L209" i="12"/>
  <c r="H301" i="3"/>
  <c r="L286" i="3"/>
  <c r="N286" i="3" s="1"/>
  <c r="X13" i="3"/>
  <c r="Z13" i="3" s="1"/>
  <c r="V280" i="3"/>
  <c r="V264" i="3"/>
  <c r="V248" i="3"/>
  <c r="V290" i="3"/>
  <c r="V282" i="3"/>
  <c r="V274" i="3"/>
  <c r="V270" i="3"/>
  <c r="V266" i="3"/>
  <c r="V254" i="3"/>
  <c r="V292" i="3"/>
  <c r="V260" i="3"/>
  <c r="V256" i="3"/>
  <c r="V294" i="3"/>
  <c r="V250" i="3"/>
  <c r="V246" i="3"/>
  <c r="V295" i="3"/>
  <c r="V277" i="3"/>
  <c r="V261" i="3"/>
  <c r="V257" i="3"/>
  <c r="V245" i="3"/>
  <c r="V297" i="3"/>
  <c r="V299" i="3"/>
  <c r="V285" i="3"/>
  <c r="V273" i="3"/>
  <c r="V269" i="3"/>
  <c r="V253" i="3"/>
  <c r="J124" i="3"/>
  <c r="J128" i="3"/>
  <c r="J132" i="3"/>
  <c r="J136" i="3"/>
  <c r="J140" i="3"/>
  <c r="J144" i="3"/>
  <c r="J148" i="3"/>
  <c r="J152" i="3"/>
  <c r="J156" i="3"/>
  <c r="J160" i="3"/>
  <c r="J164" i="3"/>
  <c r="J168" i="3"/>
  <c r="J172" i="3"/>
  <c r="J176" i="3"/>
  <c r="J194" i="3"/>
  <c r="V196" i="3"/>
  <c r="V200" i="3"/>
  <c r="V204" i="3"/>
  <c r="J210" i="3"/>
  <c r="J216" i="3"/>
  <c r="V220" i="3"/>
  <c r="V228" i="3"/>
  <c r="J232" i="3"/>
  <c r="V236" i="3"/>
  <c r="J242" i="3"/>
  <c r="N266" i="3"/>
  <c r="J277" i="3"/>
  <c r="J279" i="3"/>
  <c r="J282" i="3"/>
  <c r="V291" i="3"/>
  <c r="J296" i="3"/>
  <c r="V303" i="3"/>
  <c r="Z58" i="9"/>
  <c r="Z90" i="9"/>
  <c r="Z98" i="12"/>
  <c r="N177" i="12"/>
  <c r="N213" i="12"/>
  <c r="N229" i="12"/>
  <c r="H16" i="6"/>
  <c r="N12" i="9"/>
  <c r="V20" i="9"/>
  <c r="V24" i="9"/>
  <c r="V28" i="9"/>
  <c r="J32" i="9"/>
  <c r="J36" i="9"/>
  <c r="J40" i="9"/>
  <c r="V44" i="9"/>
  <c r="F48" i="9"/>
  <c r="F49" i="9"/>
  <c r="J50" i="9"/>
  <c r="V56" i="9"/>
  <c r="F60" i="9"/>
  <c r="F61" i="9"/>
  <c r="J62" i="9"/>
  <c r="V64" i="9"/>
  <c r="J68" i="9"/>
  <c r="F73" i="9"/>
  <c r="V76" i="9"/>
  <c r="J80" i="9"/>
  <c r="F85" i="9"/>
  <c r="V88" i="9"/>
  <c r="F92" i="9"/>
  <c r="F93" i="9"/>
  <c r="V101" i="12"/>
  <c r="V105" i="12"/>
  <c r="V109" i="12"/>
  <c r="V113" i="12"/>
  <c r="V117" i="12"/>
  <c r="V121" i="12"/>
  <c r="V125" i="12"/>
  <c r="V129" i="12"/>
  <c r="V133" i="12"/>
  <c r="V137" i="12"/>
  <c r="V141" i="12"/>
  <c r="V145" i="12"/>
  <c r="J157" i="12"/>
  <c r="J161" i="12"/>
  <c r="J175" i="12"/>
  <c r="V185" i="12"/>
  <c r="V193" i="12"/>
  <c r="J199" i="12"/>
  <c r="V205" i="12"/>
  <c r="J211" i="12"/>
  <c r="V225" i="12"/>
  <c r="V241" i="12"/>
  <c r="J245" i="12"/>
  <c r="J253" i="12"/>
  <c r="J254" i="12"/>
  <c r="V259" i="12"/>
  <c r="V97" i="15"/>
  <c r="V101" i="15"/>
  <c r="V105" i="15"/>
  <c r="V109" i="15"/>
  <c r="V137" i="15"/>
  <c r="Z231" i="15"/>
  <c r="X231" i="15"/>
  <c r="V238" i="15"/>
  <c r="V137" i="18"/>
  <c r="V161" i="18"/>
  <c r="X170" i="18"/>
  <c r="Z170" i="18" s="1"/>
  <c r="V217" i="18"/>
  <c r="L224" i="18"/>
  <c r="N224" i="18" s="1"/>
  <c r="V233" i="18"/>
  <c r="R42" i="21"/>
  <c r="F82" i="27"/>
  <c r="L14" i="6"/>
  <c r="V14" i="9"/>
  <c r="V16" i="9"/>
  <c r="V18" i="9"/>
  <c r="J22" i="9"/>
  <c r="J26" i="9"/>
  <c r="J30" i="9"/>
  <c r="V42" i="9"/>
  <c r="J48" i="9"/>
  <c r="V54" i="9"/>
  <c r="J60" i="9"/>
  <c r="V74" i="9"/>
  <c r="J78" i="9"/>
  <c r="V82" i="9"/>
  <c r="V86" i="9"/>
  <c r="F90" i="9"/>
  <c r="F91" i="9"/>
  <c r="J92" i="9"/>
  <c r="V94" i="9"/>
  <c r="V96" i="9"/>
  <c r="V98" i="9"/>
  <c r="F102" i="9"/>
  <c r="F105" i="9"/>
  <c r="T150" i="12"/>
  <c r="V167" i="12"/>
  <c r="V171" i="12"/>
  <c r="J183" i="12"/>
  <c r="J189" i="12"/>
  <c r="V191" i="12"/>
  <c r="V203" i="12"/>
  <c r="J209" i="12"/>
  <c r="J217" i="12"/>
  <c r="V219" i="12"/>
  <c r="J223" i="12"/>
  <c r="J227" i="12"/>
  <c r="V235" i="12"/>
  <c r="V239" i="12"/>
  <c r="J243" i="12"/>
  <c r="V247" i="12"/>
  <c r="J251" i="12"/>
  <c r="V257" i="12"/>
  <c r="J251" i="15"/>
  <c r="J237" i="15"/>
  <c r="J219" i="15"/>
  <c r="J201" i="15"/>
  <c r="J191" i="15"/>
  <c r="J175" i="15"/>
  <c r="J167" i="15"/>
  <c r="J163" i="15"/>
  <c r="J159" i="15"/>
  <c r="J238" i="15"/>
  <c r="J230" i="15"/>
  <c r="J220" i="15"/>
  <c r="J214" i="15"/>
  <c r="J202" i="15"/>
  <c r="J182" i="15"/>
  <c r="J176" i="15"/>
  <c r="J154" i="15"/>
  <c r="J150" i="15"/>
  <c r="J231" i="15"/>
  <c r="J225" i="15"/>
  <c r="J221" i="15"/>
  <c r="J209" i="15"/>
  <c r="J203" i="15"/>
  <c r="J183" i="15"/>
  <c r="J177" i="15"/>
  <c r="J141" i="15"/>
  <c r="J137" i="15"/>
  <c r="J133" i="15"/>
  <c r="J129" i="15"/>
  <c r="J125" i="15"/>
  <c r="J121" i="15"/>
  <c r="J117" i="15"/>
  <c r="J113" i="15"/>
  <c r="J109" i="15"/>
  <c r="J105" i="15"/>
  <c r="J101" i="15"/>
  <c r="J97" i="15"/>
  <c r="J241" i="15"/>
  <c r="J240" i="15"/>
  <c r="J232" i="15"/>
  <c r="J204" i="15"/>
  <c r="J192" i="15"/>
  <c r="J184" i="15"/>
  <c r="J168" i="15"/>
  <c r="J164" i="15"/>
  <c r="J160" i="15"/>
  <c r="J242" i="15"/>
  <c r="J233" i="15"/>
  <c r="J215" i="15"/>
  <c r="J193" i="15"/>
  <c r="J169" i="15"/>
  <c r="J155" i="15"/>
  <c r="J151" i="15"/>
  <c r="J243" i="15"/>
  <c r="J234" i="15"/>
  <c r="J226" i="15"/>
  <c r="J222" i="15"/>
  <c r="J210" i="15"/>
  <c r="J194" i="15"/>
  <c r="J178" i="15"/>
  <c r="J170" i="15"/>
  <c r="J142" i="15"/>
  <c r="J138" i="15"/>
  <c r="J134" i="15"/>
  <c r="J130" i="15"/>
  <c r="J126" i="15"/>
  <c r="J122" i="15"/>
  <c r="J118" i="15"/>
  <c r="J114" i="15"/>
  <c r="J110" i="15"/>
  <c r="J106" i="15"/>
  <c r="J102" i="15"/>
  <c r="J98" i="15"/>
  <c r="J244" i="15"/>
  <c r="J205" i="15"/>
  <c r="J195" i="15"/>
  <c r="J185" i="15"/>
  <c r="J171" i="15"/>
  <c r="J165" i="15"/>
  <c r="J161" i="15"/>
  <c r="J147" i="15"/>
  <c r="J245" i="15"/>
  <c r="J216" i="15"/>
  <c r="J196" i="15"/>
  <c r="J186" i="15"/>
  <c r="J172" i="15"/>
  <c r="J156" i="15"/>
  <c r="J152" i="15"/>
  <c r="J148" i="15"/>
  <c r="J146" i="15"/>
  <c r="J144" i="15"/>
  <c r="J246" i="15"/>
  <c r="J235" i="15"/>
  <c r="J227" i="15"/>
  <c r="J223" i="15"/>
  <c r="J217" i="15"/>
  <c r="J211" i="15"/>
  <c r="J197" i="15"/>
  <c r="J187" i="15"/>
  <c r="J179" i="15"/>
  <c r="H144" i="15"/>
  <c r="J139" i="15"/>
  <c r="J135" i="15"/>
  <c r="J131" i="15"/>
  <c r="J127" i="15"/>
  <c r="J123" i="15"/>
  <c r="J119" i="15"/>
  <c r="J115" i="15"/>
  <c r="J111" i="15"/>
  <c r="J107" i="15"/>
  <c r="J103" i="15"/>
  <c r="J99" i="15"/>
  <c r="J95" i="15"/>
  <c r="J236" i="15"/>
  <c r="J224" i="15"/>
  <c r="J208" i="15"/>
  <c r="J200" i="15"/>
  <c r="J190" i="15"/>
  <c r="J174" i="15"/>
  <c r="J158" i="15"/>
  <c r="J140" i="15"/>
  <c r="J136" i="15"/>
  <c r="J132" i="15"/>
  <c r="J128" i="15"/>
  <c r="J124" i="15"/>
  <c r="J120" i="15"/>
  <c r="J116" i="15"/>
  <c r="J112" i="15"/>
  <c r="J108" i="15"/>
  <c r="J104" i="15"/>
  <c r="J100" i="15"/>
  <c r="J96" i="15"/>
  <c r="J198" i="15"/>
  <c r="J213" i="15"/>
  <c r="V133" i="18"/>
  <c r="V157" i="18"/>
  <c r="V170" i="18"/>
  <c r="N209" i="18"/>
  <c r="N31" i="21"/>
  <c r="R58" i="21"/>
  <c r="J35" i="9"/>
  <c r="J39" i="9"/>
  <c r="J47" i="9"/>
  <c r="V51" i="9"/>
  <c r="J59" i="9"/>
  <c r="V63" i="9"/>
  <c r="J67" i="9"/>
  <c r="V87" i="9"/>
  <c r="J91" i="9"/>
  <c r="J98" i="12"/>
  <c r="V104" i="12"/>
  <c r="V108" i="12"/>
  <c r="V112" i="12"/>
  <c r="V116" i="12"/>
  <c r="V120" i="12"/>
  <c r="V124" i="12"/>
  <c r="V128" i="12"/>
  <c r="V132" i="12"/>
  <c r="V136" i="12"/>
  <c r="V140" i="12"/>
  <c r="V144" i="12"/>
  <c r="V148" i="12"/>
  <c r="V150" i="12"/>
  <c r="V152" i="12"/>
  <c r="J156" i="12"/>
  <c r="J160" i="12"/>
  <c r="V176" i="12"/>
  <c r="J182" i="12"/>
  <c r="V184" i="12"/>
  <c r="J188" i="12"/>
  <c r="V192" i="12"/>
  <c r="V200" i="12"/>
  <c r="J208" i="12"/>
  <c r="V212" i="12"/>
  <c r="J216" i="12"/>
  <c r="J222" i="12"/>
  <c r="V224" i="12"/>
  <c r="V228" i="12"/>
  <c r="J250" i="12"/>
  <c r="P253" i="12"/>
  <c r="X253" i="12" s="1"/>
  <c r="Z253" i="12" s="1"/>
  <c r="V256" i="12"/>
  <c r="J264" i="12"/>
  <c r="P12" i="15"/>
  <c r="N147" i="15"/>
  <c r="V225" i="15"/>
  <c r="N228" i="15"/>
  <c r="V269" i="18"/>
  <c r="V251" i="18"/>
  <c r="V239" i="18"/>
  <c r="V235" i="18"/>
  <c r="V219" i="18"/>
  <c r="V211" i="18"/>
  <c r="V203" i="18"/>
  <c r="V195" i="18"/>
  <c r="V179" i="18"/>
  <c r="V175" i="18"/>
  <c r="V171" i="18"/>
  <c r="V270" i="18"/>
  <c r="V258" i="18"/>
  <c r="V250" i="18"/>
  <c r="V246" i="18"/>
  <c r="V234" i="18"/>
  <c r="V230" i="18"/>
  <c r="V222" i="18"/>
  <c r="V210" i="18"/>
  <c r="V202" i="18"/>
  <c r="V162" i="18"/>
  <c r="V158" i="18"/>
  <c r="V154" i="18"/>
  <c r="V150" i="18"/>
  <c r="V146" i="18"/>
  <c r="V142" i="18"/>
  <c r="V138" i="18"/>
  <c r="V134" i="18"/>
  <c r="V130" i="18"/>
  <c r="V126" i="18"/>
  <c r="V122" i="18"/>
  <c r="V118" i="18"/>
  <c r="V114" i="18"/>
  <c r="V271" i="18"/>
  <c r="V241" i="18"/>
  <c r="V229" i="18"/>
  <c r="V221" i="18"/>
  <c r="V213" i="18"/>
  <c r="V197" i="18"/>
  <c r="V189" i="18"/>
  <c r="V185" i="18"/>
  <c r="V181" i="18"/>
  <c r="V272" i="18"/>
  <c r="V260" i="18"/>
  <c r="V252" i="18"/>
  <c r="V236" i="18"/>
  <c r="V224" i="18"/>
  <c r="V212" i="18"/>
  <c r="V204" i="18"/>
  <c r="V196" i="18"/>
  <c r="V180" i="18"/>
  <c r="V176" i="18"/>
  <c r="V172" i="18"/>
  <c r="V259" i="18"/>
  <c r="V247" i="18"/>
  <c r="V243" i="18"/>
  <c r="V231" i="18"/>
  <c r="V223" i="18"/>
  <c r="V199" i="18"/>
  <c r="V163" i="18"/>
  <c r="V159" i="18"/>
  <c r="V155" i="18"/>
  <c r="V151" i="18"/>
  <c r="V147" i="18"/>
  <c r="V143" i="18"/>
  <c r="V139" i="18"/>
  <c r="V135" i="18"/>
  <c r="V131" i="18"/>
  <c r="V127" i="18"/>
  <c r="V123" i="18"/>
  <c r="V119" i="18"/>
  <c r="V115" i="18"/>
  <c r="V254" i="18"/>
  <c r="V242" i="18"/>
  <c r="V226" i="18"/>
  <c r="V214" i="18"/>
  <c r="V206" i="18"/>
  <c r="V198" i="18"/>
  <c r="V190" i="18"/>
  <c r="V186" i="18"/>
  <c r="V182" i="18"/>
  <c r="V263" i="18"/>
  <c r="V261" i="18"/>
  <c r="V253" i="18"/>
  <c r="V237" i="18"/>
  <c r="V225" i="18"/>
  <c r="V205" i="18"/>
  <c r="V177" i="18"/>
  <c r="V173" i="18"/>
  <c r="V276" i="18"/>
  <c r="V264" i="18"/>
  <c r="V256" i="18"/>
  <c r="V248" i="18"/>
  <c r="V244" i="18"/>
  <c r="V232" i="18"/>
  <c r="V216" i="18"/>
  <c r="V200" i="18"/>
  <c r="V192" i="18"/>
  <c r="V164" i="18"/>
  <c r="V160" i="18"/>
  <c r="V156" i="18"/>
  <c r="V152" i="18"/>
  <c r="V148" i="18"/>
  <c r="V144" i="18"/>
  <c r="V140" i="18"/>
  <c r="V136" i="18"/>
  <c r="V132" i="18"/>
  <c r="V128" i="18"/>
  <c r="V124" i="18"/>
  <c r="V120" i="18"/>
  <c r="V116" i="18"/>
  <c r="V112" i="18"/>
  <c r="V265" i="18"/>
  <c r="V255" i="18"/>
  <c r="V227" i="18"/>
  <c r="V215" i="18"/>
  <c r="V207" i="18"/>
  <c r="V191" i="18"/>
  <c r="V187" i="18"/>
  <c r="V183" i="18"/>
  <c r="V268" i="18"/>
  <c r="V240" i="18"/>
  <c r="V228" i="18"/>
  <c r="V220" i="18"/>
  <c r="V208" i="18"/>
  <c r="V188" i="18"/>
  <c r="V184" i="18"/>
  <c r="T167" i="18"/>
  <c r="R97" i="21"/>
  <c r="R105" i="21"/>
  <c r="R104" i="21"/>
  <c r="R106" i="21"/>
  <c r="R98" i="21"/>
  <c r="R108" i="21"/>
  <c r="R112" i="21"/>
  <c r="R103" i="21"/>
  <c r="R102" i="21"/>
  <c r="R72" i="21"/>
  <c r="R71" i="21"/>
  <c r="R51" i="21"/>
  <c r="R47" i="21"/>
  <c r="R43" i="21"/>
  <c r="R24" i="21"/>
  <c r="R95" i="21"/>
  <c r="R83" i="21"/>
  <c r="R82" i="21"/>
  <c r="R38" i="21"/>
  <c r="R34" i="21"/>
  <c r="R89" i="21"/>
  <c r="R74" i="21"/>
  <c r="R73" i="21"/>
  <c r="R62" i="21"/>
  <c r="R61" i="21"/>
  <c r="R25" i="21"/>
  <c r="R100" i="21"/>
  <c r="R85" i="21"/>
  <c r="R84" i="21"/>
  <c r="R53" i="21"/>
  <c r="R52" i="21"/>
  <c r="R48" i="21"/>
  <c r="R44" i="21"/>
  <c r="R76" i="21"/>
  <c r="R75" i="21"/>
  <c r="R64" i="21"/>
  <c r="R63" i="21"/>
  <c r="R39" i="21"/>
  <c r="R35" i="21"/>
  <c r="R91" i="21"/>
  <c r="R90" i="21"/>
  <c r="R86" i="21"/>
  <c r="R55" i="21"/>
  <c r="R54" i="21"/>
  <c r="R26" i="21"/>
  <c r="R96" i="21"/>
  <c r="R78" i="21"/>
  <c r="R77" i="21"/>
  <c r="R66" i="21"/>
  <c r="R65" i="21"/>
  <c r="R49" i="21"/>
  <c r="R45" i="21"/>
  <c r="R93" i="21"/>
  <c r="R92" i="21"/>
  <c r="R57" i="21"/>
  <c r="R56" i="21"/>
  <c r="R40" i="21"/>
  <c r="R36" i="21"/>
  <c r="X12" i="21"/>
  <c r="R101" i="21"/>
  <c r="R87" i="21"/>
  <c r="R80" i="21"/>
  <c r="R79" i="21"/>
  <c r="R68" i="21"/>
  <c r="R67" i="21"/>
  <c r="R32" i="21"/>
  <c r="R27" i="21"/>
  <c r="R88" i="21"/>
  <c r="R60" i="21"/>
  <c r="R33" i="21"/>
  <c r="Z70" i="21"/>
  <c r="L12" i="6"/>
  <c r="X28" i="6"/>
  <c r="Z28" i="6" s="1"/>
  <c r="X29" i="6"/>
  <c r="Z29" i="6" s="1"/>
  <c r="Z12" i="9"/>
  <c r="F21" i="9"/>
  <c r="F25" i="9"/>
  <c r="F29" i="9"/>
  <c r="V32" i="9"/>
  <c r="V36" i="9"/>
  <c r="V40" i="9"/>
  <c r="F44" i="9"/>
  <c r="F45" i="9"/>
  <c r="J46" i="9"/>
  <c r="V52" i="9"/>
  <c r="F56" i="9"/>
  <c r="F57" i="9"/>
  <c r="J58" i="9"/>
  <c r="F65" i="9"/>
  <c r="J66" i="9"/>
  <c r="V68" i="9"/>
  <c r="J72" i="9"/>
  <c r="F76" i="9"/>
  <c r="F77" i="9"/>
  <c r="V80" i="9"/>
  <c r="J84" i="9"/>
  <c r="F89" i="9"/>
  <c r="J90" i="9"/>
  <c r="J102" i="9"/>
  <c r="J105" i="9"/>
  <c r="X152" i="12"/>
  <c r="Z152" i="12" s="1"/>
  <c r="V153" i="12"/>
  <c r="V157" i="12"/>
  <c r="V161" i="12"/>
  <c r="J165" i="12"/>
  <c r="J169" i="12"/>
  <c r="J173" i="12"/>
  <c r="V177" i="12"/>
  <c r="J181" i="12"/>
  <c r="L182" i="12"/>
  <c r="N182" i="12" s="1"/>
  <c r="X192" i="12"/>
  <c r="Z192" i="12" s="1"/>
  <c r="J197" i="12"/>
  <c r="V201" i="12"/>
  <c r="J207" i="12"/>
  <c r="V213" i="12"/>
  <c r="J221" i="12"/>
  <c r="L222" i="12"/>
  <c r="N222" i="12" s="1"/>
  <c r="V229" i="12"/>
  <c r="J233" i="12"/>
  <c r="J237" i="12"/>
  <c r="V245" i="12"/>
  <c r="J249" i="12"/>
  <c r="L250" i="12"/>
  <c r="N250" i="12" s="1"/>
  <c r="V255" i="12"/>
  <c r="V243" i="15"/>
  <c r="V215" i="15"/>
  <c r="V195" i="15"/>
  <c r="V171" i="15"/>
  <c r="V155" i="15"/>
  <c r="V151" i="15"/>
  <c r="V147" i="15"/>
  <c r="V244" i="15"/>
  <c r="V234" i="15"/>
  <c r="V226" i="15"/>
  <c r="V222" i="15"/>
  <c r="V210" i="15"/>
  <c r="V194" i="15"/>
  <c r="V186" i="15"/>
  <c r="V178" i="15"/>
  <c r="V170" i="15"/>
  <c r="V146" i="15"/>
  <c r="V142" i="15"/>
  <c r="V138" i="15"/>
  <c r="V134" i="15"/>
  <c r="V130" i="15"/>
  <c r="V126" i="15"/>
  <c r="V122" i="15"/>
  <c r="V118" i="15"/>
  <c r="V114" i="15"/>
  <c r="V110" i="15"/>
  <c r="V245" i="15"/>
  <c r="V217" i="15"/>
  <c r="V205" i="15"/>
  <c r="V197" i="15"/>
  <c r="V185" i="15"/>
  <c r="V165" i="15"/>
  <c r="V161" i="15"/>
  <c r="T144" i="15"/>
  <c r="V144" i="15" s="1"/>
  <c r="V246" i="15"/>
  <c r="V228" i="15"/>
  <c r="V216" i="15"/>
  <c r="V212" i="15"/>
  <c r="V196" i="15"/>
  <c r="V188" i="15"/>
  <c r="V180" i="15"/>
  <c r="V172" i="15"/>
  <c r="V156" i="15"/>
  <c r="V152" i="15"/>
  <c r="V148" i="15"/>
  <c r="V247" i="15"/>
  <c r="V235" i="15"/>
  <c r="V227" i="15"/>
  <c r="V223" i="15"/>
  <c r="V211" i="15"/>
  <c r="V207" i="15"/>
  <c r="V199" i="15"/>
  <c r="V187" i="15"/>
  <c r="V179" i="15"/>
  <c r="V139" i="15"/>
  <c r="V135" i="15"/>
  <c r="V131" i="15"/>
  <c r="V127" i="15"/>
  <c r="V123" i="15"/>
  <c r="V119" i="15"/>
  <c r="V115" i="15"/>
  <c r="V111" i="15"/>
  <c r="V107" i="15"/>
  <c r="V103" i="15"/>
  <c r="V99" i="15"/>
  <c r="V95" i="15"/>
  <c r="V218" i="15"/>
  <c r="V206" i="15"/>
  <c r="V198" i="15"/>
  <c r="V190" i="15"/>
  <c r="V174" i="15"/>
  <c r="V166" i="15"/>
  <c r="V162" i="15"/>
  <c r="V158" i="15"/>
  <c r="V237" i="15"/>
  <c r="V229" i="15"/>
  <c r="V213" i="15"/>
  <c r="V201" i="15"/>
  <c r="V189" i="15"/>
  <c r="V181" i="15"/>
  <c r="V173" i="15"/>
  <c r="V157" i="15"/>
  <c r="V153" i="15"/>
  <c r="V149" i="15"/>
  <c r="V236" i="15"/>
  <c r="V224" i="15"/>
  <c r="V220" i="15"/>
  <c r="V208" i="15"/>
  <c r="V200" i="15"/>
  <c r="V176" i="15"/>
  <c r="V140" i="15"/>
  <c r="V136" i="15"/>
  <c r="V132" i="15"/>
  <c r="V128" i="15"/>
  <c r="V124" i="15"/>
  <c r="V120" i="15"/>
  <c r="V251" i="15"/>
  <c r="V231" i="15"/>
  <c r="V219" i="15"/>
  <c r="V203" i="15"/>
  <c r="V191" i="15"/>
  <c r="V183" i="15"/>
  <c r="V175" i="15"/>
  <c r="V167" i="15"/>
  <c r="V163" i="15"/>
  <c r="V159" i="15"/>
  <c r="V242" i="15"/>
  <c r="V232" i="15"/>
  <c r="V204" i="15"/>
  <c r="V192" i="15"/>
  <c r="V184" i="15"/>
  <c r="V168" i="15"/>
  <c r="V164" i="15"/>
  <c r="V160" i="15"/>
  <c r="V116" i="15"/>
  <c r="V129" i="15"/>
  <c r="V202" i="15"/>
  <c r="J228" i="15"/>
  <c r="X240" i="15"/>
  <c r="Z240" i="15" s="1"/>
  <c r="V129" i="18"/>
  <c r="V153" i="18"/>
  <c r="N169" i="18"/>
  <c r="N192" i="18"/>
  <c r="N203" i="18"/>
  <c r="Z209" i="18"/>
  <c r="N218" i="18"/>
  <c r="Z222" i="18"/>
  <c r="N243" i="18"/>
  <c r="V245" i="18"/>
  <c r="L260" i="18"/>
  <c r="N260" i="18" s="1"/>
  <c r="R31" i="21"/>
  <c r="R94" i="21"/>
  <c r="R99" i="21"/>
  <c r="N12" i="6"/>
  <c r="D16" i="9"/>
  <c r="J21" i="9"/>
  <c r="J25" i="9"/>
  <c r="J29" i="9"/>
  <c r="F34" i="9"/>
  <c r="F38" i="9"/>
  <c r="J45" i="9"/>
  <c r="V49" i="9"/>
  <c r="J57" i="9"/>
  <c r="V61" i="9"/>
  <c r="J65" i="9"/>
  <c r="F70" i="9"/>
  <c r="J71" i="9"/>
  <c r="V73" i="9"/>
  <c r="J77" i="9"/>
  <c r="V85" i="9"/>
  <c r="J89" i="9"/>
  <c r="V93" i="9"/>
  <c r="F100" i="9"/>
  <c r="N98" i="12"/>
  <c r="J102" i="12"/>
  <c r="J106" i="12"/>
  <c r="J110" i="12"/>
  <c r="J114" i="12"/>
  <c r="J118" i="12"/>
  <c r="J122" i="12"/>
  <c r="J126" i="12"/>
  <c r="J130" i="12"/>
  <c r="J134" i="12"/>
  <c r="J138" i="12"/>
  <c r="J142" i="12"/>
  <c r="J146" i="12"/>
  <c r="J164" i="12"/>
  <c r="V166" i="12"/>
  <c r="V170" i="12"/>
  <c r="V174" i="12"/>
  <c r="J180" i="12"/>
  <c r="V190" i="12"/>
  <c r="J196" i="12"/>
  <c r="V198" i="12"/>
  <c r="J206" i="12"/>
  <c r="V210" i="12"/>
  <c r="V218" i="12"/>
  <c r="J226" i="12"/>
  <c r="J232" i="12"/>
  <c r="V234" i="12"/>
  <c r="V238" i="12"/>
  <c r="J242" i="12"/>
  <c r="V246" i="12"/>
  <c r="V254" i="12"/>
  <c r="V112" i="15"/>
  <c r="V154" i="15"/>
  <c r="J166" i="15"/>
  <c r="Z174" i="15"/>
  <c r="X183" i="15"/>
  <c r="Z183" i="15" s="1"/>
  <c r="N188" i="15"/>
  <c r="J218" i="15"/>
  <c r="V240" i="15"/>
  <c r="D12" i="18"/>
  <c r="V178" i="18"/>
  <c r="L181" i="18"/>
  <c r="Z194" i="18"/>
  <c r="L197" i="18"/>
  <c r="V209" i="18"/>
  <c r="N216" i="18"/>
  <c r="X218" i="18"/>
  <c r="J260" i="18"/>
  <c r="V267" i="18"/>
  <c r="R41" i="21"/>
  <c r="R81" i="21"/>
  <c r="Z85" i="21"/>
  <c r="J100" i="9"/>
  <c r="V131" i="12"/>
  <c r="V135" i="12"/>
  <c r="V139" i="12"/>
  <c r="V143" i="12"/>
  <c r="V147" i="12"/>
  <c r="J155" i="12"/>
  <c r="J159" i="12"/>
  <c r="J163" i="12"/>
  <c r="V175" i="12"/>
  <c r="J179" i="12"/>
  <c r="V183" i="12"/>
  <c r="J187" i="12"/>
  <c r="J195" i="12"/>
  <c r="V199" i="12"/>
  <c r="J205" i="12"/>
  <c r="V211" i="12"/>
  <c r="J215" i="12"/>
  <c r="V223" i="12"/>
  <c r="V227" i="12"/>
  <c r="J231" i="12"/>
  <c r="J241" i="12"/>
  <c r="V243" i="12"/>
  <c r="V251" i="12"/>
  <c r="V253" i="12"/>
  <c r="J260" i="12"/>
  <c r="J94" i="15"/>
  <c r="V104" i="15"/>
  <c r="V106" i="15"/>
  <c r="V108" i="15"/>
  <c r="V125" i="15"/>
  <c r="J157" i="15"/>
  <c r="J188" i="15"/>
  <c r="V125" i="18"/>
  <c r="V149" i="18"/>
  <c r="V194" i="18"/>
  <c r="Z218" i="18"/>
  <c r="D12" i="21"/>
  <c r="R50" i="21"/>
  <c r="R69" i="21"/>
  <c r="V14" i="6"/>
  <c r="V16" i="6"/>
  <c r="V18" i="6"/>
  <c r="V20" i="6"/>
  <c r="V22" i="6"/>
  <c r="F26" i="6"/>
  <c r="F28" i="6"/>
  <c r="F29" i="6"/>
  <c r="F31" i="6"/>
  <c r="H16" i="9"/>
  <c r="F19" i="9"/>
  <c r="F20" i="9"/>
  <c r="F24" i="9"/>
  <c r="F28" i="9"/>
  <c r="V31" i="9"/>
  <c r="V35" i="9"/>
  <c r="V39" i="9"/>
  <c r="J43" i="9"/>
  <c r="V47" i="9"/>
  <c r="J55" i="9"/>
  <c r="V59" i="9"/>
  <c r="F64" i="9"/>
  <c r="V67" i="9"/>
  <c r="J75" i="9"/>
  <c r="V79" i="9"/>
  <c r="J83" i="9"/>
  <c r="F87" i="9"/>
  <c r="F88" i="9"/>
  <c r="V91" i="9"/>
  <c r="X15" i="12"/>
  <c r="V156" i="12"/>
  <c r="V160" i="12"/>
  <c r="J168" i="12"/>
  <c r="J172" i="12"/>
  <c r="J186" i="12"/>
  <c r="V188" i="12"/>
  <c r="J194" i="12"/>
  <c r="J204" i="12"/>
  <c r="V208" i="12"/>
  <c r="V216" i="12"/>
  <c r="J220" i="12"/>
  <c r="J236" i="12"/>
  <c r="J240" i="12"/>
  <c r="V244" i="12"/>
  <c r="J248" i="12"/>
  <c r="J259" i="12"/>
  <c r="V264" i="12"/>
  <c r="D12" i="15"/>
  <c r="V150" i="15"/>
  <c r="L180" i="15"/>
  <c r="Z190" i="15"/>
  <c r="V209" i="15"/>
  <c r="V169" i="18"/>
  <c r="V174" i="18"/>
  <c r="N181" i="18"/>
  <c r="N197" i="18"/>
  <c r="V201" i="18"/>
  <c r="V218" i="18"/>
  <c r="N256" i="18"/>
  <c r="J24" i="9"/>
  <c r="J28" i="9"/>
  <c r="J42" i="9"/>
  <c r="V48" i="9"/>
  <c r="J54" i="9"/>
  <c r="V60" i="9"/>
  <c r="J64" i="9"/>
  <c r="V72" i="9"/>
  <c r="X79" i="9"/>
  <c r="Z79" i="9" s="1"/>
  <c r="J82" i="9"/>
  <c r="V84" i="9"/>
  <c r="J88" i="9"/>
  <c r="V92" i="9"/>
  <c r="J96" i="9"/>
  <c r="J98" i="9"/>
  <c r="V165" i="12"/>
  <c r="V169" i="12"/>
  <c r="V173" i="12"/>
  <c r="V181" i="12"/>
  <c r="J185" i="12"/>
  <c r="V189" i="12"/>
  <c r="J193" i="12"/>
  <c r="V197" i="12"/>
  <c r="J203" i="12"/>
  <c r="V209" i="12"/>
  <c r="V217" i="12"/>
  <c r="V221" i="12"/>
  <c r="J225" i="12"/>
  <c r="V233" i="12"/>
  <c r="V237" i="12"/>
  <c r="V249" i="12"/>
  <c r="J258" i="12"/>
  <c r="J153" i="15"/>
  <c r="J173" i="15"/>
  <c r="V177" i="15"/>
  <c r="N180" i="15"/>
  <c r="V182" i="15"/>
  <c r="L197" i="15"/>
  <c r="N197" i="15" s="1"/>
  <c r="J207" i="15"/>
  <c r="V214" i="15"/>
  <c r="J229" i="15"/>
  <c r="J247" i="15"/>
  <c r="V121" i="18"/>
  <c r="V145" i="18"/>
  <c r="R46" i="21"/>
  <c r="N55" i="21"/>
  <c r="L55" i="21"/>
  <c r="L76" i="21"/>
  <c r="J26" i="6"/>
  <c r="J28" i="6"/>
  <c r="J29" i="6"/>
  <c r="J31" i="6"/>
  <c r="J19" i="9"/>
  <c r="V21" i="9"/>
  <c r="V25" i="9"/>
  <c r="V29" i="9"/>
  <c r="J33" i="9"/>
  <c r="J37" i="9"/>
  <c r="J41" i="9"/>
  <c r="V45" i="9"/>
  <c r="J53" i="9"/>
  <c r="V57" i="9"/>
  <c r="V65" i="9"/>
  <c r="J69" i="9"/>
  <c r="F74" i="9"/>
  <c r="V77" i="9"/>
  <c r="J81" i="9"/>
  <c r="F86" i="9"/>
  <c r="J87" i="9"/>
  <c r="V89" i="9"/>
  <c r="F94" i="9"/>
  <c r="V98" i="12"/>
  <c r="V102" i="12"/>
  <c r="V106" i="12"/>
  <c r="V110" i="12"/>
  <c r="V114" i="12"/>
  <c r="V118" i="12"/>
  <c r="V122" i="12"/>
  <c r="V126" i="12"/>
  <c r="V130" i="12"/>
  <c r="V134" i="12"/>
  <c r="V138" i="12"/>
  <c r="V142" i="12"/>
  <c r="V146" i="12"/>
  <c r="J150" i="12"/>
  <c r="J152" i="12"/>
  <c r="J154" i="12"/>
  <c r="J158" i="12"/>
  <c r="J162" i="12"/>
  <c r="J178" i="12"/>
  <c r="V182" i="12"/>
  <c r="J192" i="12"/>
  <c r="J202" i="12"/>
  <c r="V206" i="12"/>
  <c r="J214" i="12"/>
  <c r="V222" i="12"/>
  <c r="V226" i="12"/>
  <c r="J230" i="12"/>
  <c r="V242" i="12"/>
  <c r="V250" i="12"/>
  <c r="J257" i="12"/>
  <c r="V94" i="15"/>
  <c r="J162" i="15"/>
  <c r="J180" i="15"/>
  <c r="N212" i="15"/>
  <c r="Z181" i="18"/>
  <c r="V249" i="18"/>
  <c r="R37" i="21"/>
  <c r="R59" i="21"/>
  <c r="L64" i="21"/>
  <c r="V34" i="9"/>
  <c r="V38" i="9"/>
  <c r="V46" i="9"/>
  <c r="J52" i="9"/>
  <c r="V58" i="9"/>
  <c r="V66" i="9"/>
  <c r="V70" i="9"/>
  <c r="J74" i="9"/>
  <c r="J86" i="9"/>
  <c r="V90" i="9"/>
  <c r="J94" i="9"/>
  <c r="V100" i="9"/>
  <c r="V102" i="9"/>
  <c r="V105" i="9"/>
  <c r="V155" i="12"/>
  <c r="V159" i="12"/>
  <c r="V163" i="12"/>
  <c r="V179" i="12"/>
  <c r="V187" i="12"/>
  <c r="J191" i="12"/>
  <c r="V195" i="12"/>
  <c r="J201" i="12"/>
  <c r="V207" i="12"/>
  <c r="J213" i="12"/>
  <c r="V215" i="12"/>
  <c r="J219" i="12"/>
  <c r="J229" i="12"/>
  <c r="V231" i="12"/>
  <c r="J235" i="12"/>
  <c r="J239" i="12"/>
  <c r="J247" i="12"/>
  <c r="J256" i="12"/>
  <c r="V117" i="15"/>
  <c r="V141" i="15"/>
  <c r="N171" i="15"/>
  <c r="J189" i="15"/>
  <c r="Z193" i="15"/>
  <c r="J199" i="15"/>
  <c r="J212" i="15"/>
  <c r="V221" i="15"/>
  <c r="Z233" i="15"/>
  <c r="V241" i="15"/>
  <c r="V117" i="18"/>
  <c r="V141" i="18"/>
  <c r="V165" i="18"/>
  <c r="Z199" i="18"/>
  <c r="V266" i="18"/>
  <c r="N42" i="21"/>
  <c r="Z57" i="21"/>
  <c r="N91" i="21"/>
  <c r="L91" i="21"/>
  <c r="F113" i="27"/>
  <c r="F84" i="27"/>
  <c r="F83" i="27"/>
  <c r="F76" i="27"/>
  <c r="F72" i="27"/>
  <c r="F68" i="27"/>
  <c r="F67" i="27"/>
  <c r="F103" i="27"/>
  <c r="F102" i="27"/>
  <c r="F95" i="27"/>
  <c r="F63" i="27"/>
  <c r="F59" i="27"/>
  <c r="F86" i="27"/>
  <c r="F85" i="27"/>
  <c r="F50" i="27"/>
  <c r="F46" i="27"/>
  <c r="F42" i="27"/>
  <c r="F38" i="27"/>
  <c r="F37" i="27"/>
  <c r="L12" i="27"/>
  <c r="F117" i="27"/>
  <c r="F97" i="27"/>
  <c r="F96" i="27"/>
  <c r="F77" i="27"/>
  <c r="F73" i="27"/>
  <c r="F69" i="27"/>
  <c r="F104" i="27"/>
  <c r="F88" i="27"/>
  <c r="F87" i="27"/>
  <c r="F64" i="27"/>
  <c r="F60" i="27"/>
  <c r="F99" i="27"/>
  <c r="F98" i="27"/>
  <c r="F79" i="27"/>
  <c r="F78" i="27"/>
  <c r="F106" i="27"/>
  <c r="F105" i="27"/>
  <c r="F90" i="27"/>
  <c r="F89" i="27"/>
  <c r="F74" i="27"/>
  <c r="F70" i="27"/>
  <c r="F81" i="27"/>
  <c r="F80" i="27"/>
  <c r="F65" i="27"/>
  <c r="F61" i="27"/>
  <c r="F57" i="27"/>
  <c r="F56" i="27"/>
  <c r="F108" i="27"/>
  <c r="F107" i="27"/>
  <c r="F100" i="27"/>
  <c r="F92" i="27"/>
  <c r="F91" i="27"/>
  <c r="F55" i="27"/>
  <c r="F48" i="27"/>
  <c r="F44" i="27"/>
  <c r="F40" i="27"/>
  <c r="F112" i="27"/>
  <c r="F110" i="27"/>
  <c r="F101" i="27"/>
  <c r="F49" i="27"/>
  <c r="F45" i="27"/>
  <c r="F41" i="27"/>
  <c r="F94" i="27"/>
  <c r="F58" i="27"/>
  <c r="F51" i="27"/>
  <c r="F47" i="27"/>
  <c r="F43" i="27"/>
  <c r="F39" i="27"/>
  <c r="F93" i="27"/>
  <c r="F71" i="27"/>
  <c r="F62" i="27"/>
  <c r="F66" i="27"/>
  <c r="D53" i="27"/>
  <c r="F53" i="27" s="1"/>
  <c r="F14" i="6"/>
  <c r="F16" i="6"/>
  <c r="F18" i="6"/>
  <c r="F20" i="6"/>
  <c r="L12" i="9"/>
  <c r="J23" i="9"/>
  <c r="J27" i="9"/>
  <c r="F31" i="9"/>
  <c r="F32" i="9"/>
  <c r="F36" i="9"/>
  <c r="F40" i="9"/>
  <c r="V43" i="9"/>
  <c r="J51" i="9"/>
  <c r="V55" i="9"/>
  <c r="F68" i="9"/>
  <c r="V71" i="9"/>
  <c r="V75" i="9"/>
  <c r="F79" i="9"/>
  <c r="J100" i="12"/>
  <c r="J104" i="12"/>
  <c r="J108" i="12"/>
  <c r="J112" i="12"/>
  <c r="J116" i="12"/>
  <c r="J120" i="12"/>
  <c r="J124" i="12"/>
  <c r="J128" i="12"/>
  <c r="J132" i="12"/>
  <c r="J136" i="12"/>
  <c r="J140" i="12"/>
  <c r="J144" i="12"/>
  <c r="J148" i="12"/>
  <c r="V164" i="12"/>
  <c r="V168" i="12"/>
  <c r="V172" i="12"/>
  <c r="J176" i="12"/>
  <c r="V180" i="12"/>
  <c r="J184" i="12"/>
  <c r="V196" i="12"/>
  <c r="J200" i="12"/>
  <c r="V204" i="12"/>
  <c r="J212" i="12"/>
  <c r="V220" i="12"/>
  <c r="J224" i="12"/>
  <c r="J228" i="12"/>
  <c r="V232" i="12"/>
  <c r="V236" i="12"/>
  <c r="V240" i="12"/>
  <c r="J246" i="12"/>
  <c r="V248" i="12"/>
  <c r="V260" i="12"/>
  <c r="V113" i="15"/>
  <c r="V193" i="15"/>
  <c r="N217" i="15"/>
  <c r="L217" i="15"/>
  <c r="V233" i="15"/>
  <c r="V193" i="18"/>
  <c r="L213" i="18"/>
  <c r="N213" i="18" s="1"/>
  <c r="Z230" i="18"/>
  <c r="P29" i="21"/>
  <c r="X42" i="21"/>
  <c r="Z42" i="21" s="1"/>
  <c r="N64" i="21"/>
  <c r="J91" i="21"/>
  <c r="J116" i="18"/>
  <c r="J120" i="18"/>
  <c r="J124" i="18"/>
  <c r="J128" i="18"/>
  <c r="J132" i="18"/>
  <c r="J136" i="18"/>
  <c r="J140" i="18"/>
  <c r="J144" i="18"/>
  <c r="J148" i="18"/>
  <c r="J152" i="18"/>
  <c r="J156" i="18"/>
  <c r="J160" i="18"/>
  <c r="J164" i="18"/>
  <c r="J200" i="18"/>
  <c r="J206" i="18"/>
  <c r="J226" i="18"/>
  <c r="J232" i="18"/>
  <c r="J244" i="18"/>
  <c r="J248" i="18"/>
  <c r="J254" i="18"/>
  <c r="L264" i="18"/>
  <c r="J276" i="18"/>
  <c r="J27" i="21"/>
  <c r="V43" i="21"/>
  <c r="V47" i="21"/>
  <c r="V51" i="21"/>
  <c r="J57" i="21"/>
  <c r="J67" i="21"/>
  <c r="V71" i="21"/>
  <c r="J79" i="21"/>
  <c r="J87" i="21"/>
  <c r="J93" i="21"/>
  <c r="J99" i="21"/>
  <c r="P12" i="27"/>
  <c r="X14" i="27"/>
  <c r="J115" i="18"/>
  <c r="J119" i="18"/>
  <c r="J123" i="18"/>
  <c r="J127" i="18"/>
  <c r="J131" i="18"/>
  <c r="J135" i="18"/>
  <c r="J139" i="18"/>
  <c r="J143" i="18"/>
  <c r="J147" i="18"/>
  <c r="J151" i="18"/>
  <c r="J155" i="18"/>
  <c r="J159" i="18"/>
  <c r="J163" i="18"/>
  <c r="J181" i="18"/>
  <c r="J197" i="18"/>
  <c r="J213" i="18"/>
  <c r="J223" i="18"/>
  <c r="J231" i="18"/>
  <c r="J247" i="18"/>
  <c r="J259" i="18"/>
  <c r="J272" i="18"/>
  <c r="V104" i="21"/>
  <c r="V108" i="21"/>
  <c r="V106" i="21"/>
  <c r="V98" i="21"/>
  <c r="V112" i="21"/>
  <c r="V101" i="21"/>
  <c r="V100" i="21"/>
  <c r="V105" i="21"/>
  <c r="T29" i="21"/>
  <c r="V29" i="21" s="1"/>
  <c r="V42" i="21"/>
  <c r="V46" i="21"/>
  <c r="V50" i="21"/>
  <c r="J54" i="21"/>
  <c r="V58" i="21"/>
  <c r="J64" i="21"/>
  <c r="V70" i="21"/>
  <c r="J76" i="21"/>
  <c r="J86" i="21"/>
  <c r="J90" i="21"/>
  <c r="V94" i="21"/>
  <c r="V99" i="21"/>
  <c r="N94" i="24"/>
  <c r="Z101" i="24"/>
  <c r="J172" i="18"/>
  <c r="J176" i="18"/>
  <c r="J180" i="18"/>
  <c r="J196" i="18"/>
  <c r="J204" i="18"/>
  <c r="J212" i="18"/>
  <c r="J222" i="18"/>
  <c r="J230" i="18"/>
  <c r="J236" i="18"/>
  <c r="J252" i="18"/>
  <c r="J271" i="18"/>
  <c r="V27" i="21"/>
  <c r="V31" i="21"/>
  <c r="J35" i="21"/>
  <c r="J39" i="21"/>
  <c r="J53" i="21"/>
  <c r="V59" i="21"/>
  <c r="J63" i="21"/>
  <c r="V67" i="21"/>
  <c r="J75" i="21"/>
  <c r="V79" i="21"/>
  <c r="J85" i="21"/>
  <c r="V87" i="21"/>
  <c r="Z103" i="21"/>
  <c r="D12" i="24"/>
  <c r="Z109" i="24"/>
  <c r="L118" i="24"/>
  <c r="N80" i="27"/>
  <c r="F75" i="33"/>
  <c r="F74" i="33"/>
  <c r="F103" i="33"/>
  <c r="F85" i="33"/>
  <c r="F77" i="33"/>
  <c r="F76" i="33"/>
  <c r="F68" i="33"/>
  <c r="F67" i="33"/>
  <c r="F91" i="33"/>
  <c r="F79" i="33"/>
  <c r="F78" i="33"/>
  <c r="F86" i="33"/>
  <c r="F70" i="33"/>
  <c r="F69" i="33"/>
  <c r="F94" i="33"/>
  <c r="F81" i="33"/>
  <c r="F80" i="33"/>
  <c r="F95" i="33"/>
  <c r="F93" i="33"/>
  <c r="F72" i="33"/>
  <c r="F71" i="33"/>
  <c r="F60" i="33"/>
  <c r="F56" i="33"/>
  <c r="F98" i="33"/>
  <c r="F73" i="33"/>
  <c r="F57" i="33"/>
  <c r="F90" i="33"/>
  <c r="F66" i="33"/>
  <c r="F48" i="33"/>
  <c r="F44" i="33"/>
  <c r="L12" i="33"/>
  <c r="F53" i="33"/>
  <c r="F35" i="33"/>
  <c r="F31" i="33"/>
  <c r="F30" i="33"/>
  <c r="F99" i="33"/>
  <c r="F88" i="33"/>
  <c r="F84" i="33"/>
  <c r="F64" i="33"/>
  <c r="F61" i="33"/>
  <c r="F49" i="33"/>
  <c r="F45" i="33"/>
  <c r="F41" i="33"/>
  <c r="F40" i="33"/>
  <c r="F97" i="33"/>
  <c r="F59" i="33"/>
  <c r="F54" i="33"/>
  <c r="F39" i="33"/>
  <c r="F37" i="33"/>
  <c r="F32" i="33"/>
  <c r="F51" i="33"/>
  <c r="F50" i="33"/>
  <c r="D37" i="33"/>
  <c r="F82" i="33"/>
  <c r="F46" i="33"/>
  <c r="F42" i="33"/>
  <c r="F89" i="33"/>
  <c r="F65" i="33"/>
  <c r="F62" i="33"/>
  <c r="F33" i="33"/>
  <c r="F87" i="33"/>
  <c r="F55" i="33"/>
  <c r="F52" i="33"/>
  <c r="F47" i="33"/>
  <c r="F43" i="33"/>
  <c r="F96" i="33"/>
  <c r="F63" i="33"/>
  <c r="F58" i="33"/>
  <c r="F83" i="33"/>
  <c r="F34" i="33"/>
  <c r="D240" i="15"/>
  <c r="L240" i="15" s="1"/>
  <c r="N240" i="15" s="1"/>
  <c r="J185" i="18"/>
  <c r="J189" i="18"/>
  <c r="J203" i="18"/>
  <c r="J211" i="18"/>
  <c r="J221" i="18"/>
  <c r="J229" i="18"/>
  <c r="J235" i="18"/>
  <c r="J241" i="18"/>
  <c r="J251" i="18"/>
  <c r="J270" i="18"/>
  <c r="Z12" i="21"/>
  <c r="V32" i="21"/>
  <c r="V36" i="21"/>
  <c r="V40" i="21"/>
  <c r="J44" i="21"/>
  <c r="J48" i="21"/>
  <c r="J52" i="21"/>
  <c r="V56" i="21"/>
  <c r="J62" i="21"/>
  <c r="V68" i="21"/>
  <c r="J74" i="21"/>
  <c r="V80" i="21"/>
  <c r="J84" i="21"/>
  <c r="V92" i="21"/>
  <c r="J98" i="21"/>
  <c r="V103" i="21"/>
  <c r="N118" i="24"/>
  <c r="L93" i="27"/>
  <c r="J114" i="18"/>
  <c r="J118" i="18"/>
  <c r="J122" i="18"/>
  <c r="J126" i="18"/>
  <c r="J130" i="18"/>
  <c r="J134" i="18"/>
  <c r="J138" i="18"/>
  <c r="J142" i="18"/>
  <c r="J146" i="18"/>
  <c r="J150" i="18"/>
  <c r="J154" i="18"/>
  <c r="J158" i="18"/>
  <c r="J162" i="18"/>
  <c r="H167" i="18"/>
  <c r="J167" i="18" s="1"/>
  <c r="J202" i="18"/>
  <c r="J210" i="18"/>
  <c r="J220" i="18"/>
  <c r="J234" i="18"/>
  <c r="J240" i="18"/>
  <c r="J246" i="18"/>
  <c r="J250" i="18"/>
  <c r="J258" i="18"/>
  <c r="J269" i="18"/>
  <c r="V45" i="21"/>
  <c r="V49" i="21"/>
  <c r="V57" i="21"/>
  <c r="J61" i="21"/>
  <c r="V65" i="21"/>
  <c r="J73" i="21"/>
  <c r="V77" i="21"/>
  <c r="J83" i="21"/>
  <c r="J89" i="21"/>
  <c r="V93" i="21"/>
  <c r="V96" i="21"/>
  <c r="X14" i="24"/>
  <c r="P12" i="24"/>
  <c r="L98" i="24"/>
  <c r="N98" i="24" s="1"/>
  <c r="L13" i="18"/>
  <c r="N13" i="18" s="1"/>
  <c r="J169" i="18"/>
  <c r="J171" i="18"/>
  <c r="J175" i="18"/>
  <c r="J179" i="18"/>
  <c r="J195" i="18"/>
  <c r="X206" i="18"/>
  <c r="Z206" i="18" s="1"/>
  <c r="J209" i="18"/>
  <c r="J219" i="18"/>
  <c r="J239" i="18"/>
  <c r="J268" i="18"/>
  <c r="J24" i="21"/>
  <c r="V26" i="21"/>
  <c r="J34" i="21"/>
  <c r="J38" i="21"/>
  <c r="V54" i="21"/>
  <c r="V66" i="21"/>
  <c r="J72" i="21"/>
  <c r="V78" i="21"/>
  <c r="J82" i="21"/>
  <c r="V86" i="21"/>
  <c r="V90" i="21"/>
  <c r="J112" i="21"/>
  <c r="J98" i="24"/>
  <c r="N55" i="27"/>
  <c r="N93" i="27"/>
  <c r="N110" i="27"/>
  <c r="L110" i="27"/>
  <c r="J170" i="18"/>
  <c r="J184" i="18"/>
  <c r="J188" i="18"/>
  <c r="J194" i="18"/>
  <c r="J208" i="18"/>
  <c r="J218" i="18"/>
  <c r="J228" i="18"/>
  <c r="J267" i="18"/>
  <c r="L13" i="21"/>
  <c r="N13" i="21" s="1"/>
  <c r="L24" i="21"/>
  <c r="V35" i="21"/>
  <c r="V39" i="21"/>
  <c r="J43" i="21"/>
  <c r="J47" i="21"/>
  <c r="J51" i="21"/>
  <c r="V55" i="21"/>
  <c r="V63" i="21"/>
  <c r="X66" i="21"/>
  <c r="Z66" i="21" s="1"/>
  <c r="J71" i="21"/>
  <c r="L72" i="21"/>
  <c r="N72" i="21" s="1"/>
  <c r="V75" i="21"/>
  <c r="X78" i="21"/>
  <c r="Z78" i="21" s="1"/>
  <c r="V91" i="21"/>
  <c r="J95" i="21"/>
  <c r="Z73" i="24"/>
  <c r="X73" i="24"/>
  <c r="Z112" i="24"/>
  <c r="X112" i="24"/>
  <c r="X78" i="27"/>
  <c r="Z78" i="27" s="1"/>
  <c r="N87" i="27"/>
  <c r="N91" i="27"/>
  <c r="J113" i="18"/>
  <c r="J117" i="18"/>
  <c r="J121" i="18"/>
  <c r="J125" i="18"/>
  <c r="J129" i="18"/>
  <c r="J133" i="18"/>
  <c r="J137" i="18"/>
  <c r="J141" i="18"/>
  <c r="J145" i="18"/>
  <c r="J149" i="18"/>
  <c r="J153" i="18"/>
  <c r="J157" i="18"/>
  <c r="J161" i="18"/>
  <c r="J165" i="18"/>
  <c r="J193" i="18"/>
  <c r="J201" i="18"/>
  <c r="J217" i="18"/>
  <c r="J233" i="18"/>
  <c r="J245" i="18"/>
  <c r="J249" i="18"/>
  <c r="J257" i="18"/>
  <c r="J266" i="18"/>
  <c r="N24" i="21"/>
  <c r="J42" i="21"/>
  <c r="V44" i="21"/>
  <c r="V48" i="21"/>
  <c r="V52" i="21"/>
  <c r="J60" i="21"/>
  <c r="V64" i="21"/>
  <c r="J70" i="21"/>
  <c r="V76" i="21"/>
  <c r="V84" i="21"/>
  <c r="J88" i="21"/>
  <c r="V102" i="21"/>
  <c r="V112" i="24"/>
  <c r="Z116" i="24"/>
  <c r="Z118" i="24"/>
  <c r="V78" i="27"/>
  <c r="Z93" i="27"/>
  <c r="Z63" i="30"/>
  <c r="J112" i="18"/>
  <c r="J174" i="18"/>
  <c r="J178" i="18"/>
  <c r="J192" i="18"/>
  <c r="J216" i="18"/>
  <c r="J238" i="18"/>
  <c r="J256" i="18"/>
  <c r="J265" i="18"/>
  <c r="V25" i="21"/>
  <c r="J29" i="21"/>
  <c r="J31" i="21"/>
  <c r="J33" i="21"/>
  <c r="J37" i="21"/>
  <c r="J41" i="21"/>
  <c r="V53" i="21"/>
  <c r="J59" i="21"/>
  <c r="V61" i="21"/>
  <c r="J69" i="21"/>
  <c r="V73" i="21"/>
  <c r="V85" i="21"/>
  <c r="V89" i="21"/>
  <c r="Z88" i="36"/>
  <c r="X88" i="36"/>
  <c r="J183" i="18"/>
  <c r="J187" i="18"/>
  <c r="J191" i="18"/>
  <c r="J207" i="18"/>
  <c r="J215" i="18"/>
  <c r="J227" i="18"/>
  <c r="J255" i="18"/>
  <c r="J263" i="18"/>
  <c r="J100" i="21"/>
  <c r="J101" i="21"/>
  <c r="J102" i="21"/>
  <c r="J103" i="21"/>
  <c r="J97" i="21"/>
  <c r="J104" i="21"/>
  <c r="J106" i="21"/>
  <c r="J110" i="21"/>
  <c r="J108" i="21"/>
  <c r="J32" i="21"/>
  <c r="V34" i="21"/>
  <c r="V38" i="21"/>
  <c r="J46" i="21"/>
  <c r="J50" i="21"/>
  <c r="J58" i="21"/>
  <c r="V62" i="21"/>
  <c r="J68" i="21"/>
  <c r="V74" i="21"/>
  <c r="J80" i="21"/>
  <c r="V82" i="21"/>
  <c r="J94" i="21"/>
  <c r="V95" i="21"/>
  <c r="L108" i="21"/>
  <c r="N46" i="24"/>
  <c r="N103" i="24"/>
  <c r="N105" i="24"/>
  <c r="L107" i="24"/>
  <c r="N107" i="24" s="1"/>
  <c r="Z85" i="27"/>
  <c r="X87" i="27"/>
  <c r="Z87" i="27" s="1"/>
  <c r="N96" i="27"/>
  <c r="Z98" i="27"/>
  <c r="X98" i="27"/>
  <c r="T136" i="36"/>
  <c r="V46" i="24"/>
  <c r="V50" i="24"/>
  <c r="V54" i="24"/>
  <c r="V58" i="24"/>
  <c r="V62" i="24"/>
  <c r="V66" i="24"/>
  <c r="J72" i="24"/>
  <c r="J74" i="24"/>
  <c r="J78" i="24"/>
  <c r="J82" i="24"/>
  <c r="V94" i="24"/>
  <c r="V102" i="24"/>
  <c r="J110" i="24"/>
  <c r="V114" i="24"/>
  <c r="V56" i="27"/>
  <c r="V60" i="27"/>
  <c r="V64" i="27"/>
  <c r="J68" i="27"/>
  <c r="J72" i="27"/>
  <c r="J76" i="27"/>
  <c r="V80" i="27"/>
  <c r="J84" i="27"/>
  <c r="V88" i="27"/>
  <c r="J102" i="27"/>
  <c r="V104" i="27"/>
  <c r="J113" i="27"/>
  <c r="Z102" i="30"/>
  <c r="Z39" i="33"/>
  <c r="N74" i="33"/>
  <c r="V49" i="24"/>
  <c r="V53" i="24"/>
  <c r="V57" i="24"/>
  <c r="V61" i="24"/>
  <c r="V65" i="24"/>
  <c r="J77" i="24"/>
  <c r="J81" i="24"/>
  <c r="J97" i="24"/>
  <c r="V101" i="24"/>
  <c r="J107" i="24"/>
  <c r="J117" i="24"/>
  <c r="V59" i="27"/>
  <c r="V63" i="27"/>
  <c r="J71" i="27"/>
  <c r="J75" i="27"/>
  <c r="V87" i="27"/>
  <c r="J93" i="27"/>
  <c r="V95" i="27"/>
  <c r="V103" i="27"/>
  <c r="V123" i="30"/>
  <c r="V111" i="30"/>
  <c r="V99" i="30"/>
  <c r="V63" i="30"/>
  <c r="V59" i="30"/>
  <c r="V55" i="30"/>
  <c r="V51" i="30"/>
  <c r="V47" i="30"/>
  <c r="V43" i="30"/>
  <c r="V39" i="30"/>
  <c r="V140" i="30"/>
  <c r="V138" i="30"/>
  <c r="V130" i="30"/>
  <c r="V118" i="30"/>
  <c r="V102" i="30"/>
  <c r="V90" i="30"/>
  <c r="V82" i="30"/>
  <c r="V78" i="30"/>
  <c r="V74" i="30"/>
  <c r="V141" i="30"/>
  <c r="V129" i="30"/>
  <c r="V125" i="30"/>
  <c r="V113" i="30"/>
  <c r="V101" i="30"/>
  <c r="V89" i="30"/>
  <c r="V73" i="30"/>
  <c r="V69" i="30"/>
  <c r="V65" i="30"/>
  <c r="V142" i="30"/>
  <c r="V112" i="30"/>
  <c r="V104" i="30"/>
  <c r="V92" i="30"/>
  <c r="V56" i="30"/>
  <c r="V52" i="30"/>
  <c r="V48" i="30"/>
  <c r="V44" i="30"/>
  <c r="V40" i="30"/>
  <c r="V143" i="30"/>
  <c r="V131" i="30"/>
  <c r="V119" i="30"/>
  <c r="V103" i="30"/>
  <c r="V91" i="30"/>
  <c r="V83" i="30"/>
  <c r="V79" i="30"/>
  <c r="V75" i="30"/>
  <c r="V126" i="30"/>
  <c r="V114" i="30"/>
  <c r="V106" i="30"/>
  <c r="V94" i="30"/>
  <c r="V70" i="30"/>
  <c r="V66" i="30"/>
  <c r="V133" i="30"/>
  <c r="V121" i="30"/>
  <c r="V105" i="30"/>
  <c r="V93" i="30"/>
  <c r="V85" i="30"/>
  <c r="V57" i="30"/>
  <c r="V53" i="30"/>
  <c r="V49" i="30"/>
  <c r="V45" i="30"/>
  <c r="V41" i="30"/>
  <c r="V132" i="30"/>
  <c r="V120" i="30"/>
  <c r="V108" i="30"/>
  <c r="V96" i="30"/>
  <c r="V84" i="30"/>
  <c r="V80" i="30"/>
  <c r="V76" i="30"/>
  <c r="V147" i="30"/>
  <c r="V135" i="30"/>
  <c r="V127" i="30"/>
  <c r="V115" i="30"/>
  <c r="V107" i="30"/>
  <c r="V95" i="30"/>
  <c r="V87" i="30"/>
  <c r="V71" i="30"/>
  <c r="V67" i="30"/>
  <c r="V134" i="30"/>
  <c r="V122" i="30"/>
  <c r="V110" i="30"/>
  <c r="V98" i="30"/>
  <c r="V86" i="30"/>
  <c r="V58" i="30"/>
  <c r="V54" i="30"/>
  <c r="V50" i="30"/>
  <c r="V46" i="30"/>
  <c r="V42" i="30"/>
  <c r="V136" i="30"/>
  <c r="V128" i="30"/>
  <c r="V124" i="30"/>
  <c r="V116" i="30"/>
  <c r="V100" i="30"/>
  <c r="V88" i="30"/>
  <c r="V72" i="30"/>
  <c r="V68" i="30"/>
  <c r="V64" i="30"/>
  <c r="N96" i="30"/>
  <c r="N40" i="33"/>
  <c r="Z50" i="33"/>
  <c r="X50" i="33"/>
  <c r="L14" i="24"/>
  <c r="V74" i="24"/>
  <c r="V78" i="24"/>
  <c r="V82" i="24"/>
  <c r="J86" i="24"/>
  <c r="J90" i="24"/>
  <c r="J96" i="24"/>
  <c r="J106" i="24"/>
  <c r="V110" i="24"/>
  <c r="J116" i="24"/>
  <c r="J40" i="27"/>
  <c r="J44" i="27"/>
  <c r="J48" i="27"/>
  <c r="H53" i="27"/>
  <c r="V68" i="27"/>
  <c r="V72" i="27"/>
  <c r="V76" i="27"/>
  <c r="V84" i="27"/>
  <c r="J92" i="27"/>
  <c r="V96" i="27"/>
  <c r="J100" i="27"/>
  <c r="J108" i="27"/>
  <c r="N94" i="30"/>
  <c r="X98" i="30"/>
  <c r="Z98" i="30" s="1"/>
  <c r="J47" i="24"/>
  <c r="J51" i="24"/>
  <c r="J55" i="24"/>
  <c r="J59" i="24"/>
  <c r="J63" i="24"/>
  <c r="J67" i="24"/>
  <c r="T70" i="24"/>
  <c r="V83" i="24"/>
  <c r="V87" i="24"/>
  <c r="V91" i="24"/>
  <c r="J95" i="24"/>
  <c r="V99" i="24"/>
  <c r="J105" i="24"/>
  <c r="J115" i="24"/>
  <c r="V119" i="24"/>
  <c r="V121" i="24"/>
  <c r="V37" i="27"/>
  <c r="V41" i="27"/>
  <c r="V45" i="27"/>
  <c r="V49" i="27"/>
  <c r="J53" i="27"/>
  <c r="J55" i="27"/>
  <c r="J57" i="27"/>
  <c r="J61" i="27"/>
  <c r="J65" i="27"/>
  <c r="J81" i="27"/>
  <c r="V85" i="27"/>
  <c r="J91" i="27"/>
  <c r="V101" i="27"/>
  <c r="J107" i="27"/>
  <c r="V113" i="27"/>
  <c r="D12" i="30"/>
  <c r="L13" i="30"/>
  <c r="N13" i="30" s="1"/>
  <c r="N92" i="30"/>
  <c r="L92" i="30"/>
  <c r="X110" i="30"/>
  <c r="Z110" i="30" s="1"/>
  <c r="V117" i="30"/>
  <c r="J56" i="27"/>
  <c r="V58" i="27"/>
  <c r="V62" i="27"/>
  <c r="V66" i="27"/>
  <c r="J70" i="27"/>
  <c r="J74" i="27"/>
  <c r="J80" i="27"/>
  <c r="V82" i="27"/>
  <c r="J90" i="27"/>
  <c r="V94" i="27"/>
  <c r="V102" i="27"/>
  <c r="J106" i="27"/>
  <c r="V112" i="27"/>
  <c r="V81" i="30"/>
  <c r="Z96" i="30"/>
  <c r="V73" i="24"/>
  <c r="V77" i="24"/>
  <c r="V81" i="24"/>
  <c r="J85" i="24"/>
  <c r="J89" i="24"/>
  <c r="J93" i="24"/>
  <c r="V97" i="24"/>
  <c r="J103" i="24"/>
  <c r="V109" i="24"/>
  <c r="J113" i="24"/>
  <c r="V117" i="24"/>
  <c r="J39" i="27"/>
  <c r="J43" i="27"/>
  <c r="J47" i="27"/>
  <c r="J51" i="27"/>
  <c r="V67" i="27"/>
  <c r="V71" i="27"/>
  <c r="V75" i="27"/>
  <c r="J79" i="27"/>
  <c r="V83" i="27"/>
  <c r="J89" i="27"/>
  <c r="J99" i="27"/>
  <c r="J105" i="27"/>
  <c r="V111" i="27"/>
  <c r="N39" i="30"/>
  <c r="N74" i="30"/>
  <c r="L104" i="30"/>
  <c r="N104" i="30" s="1"/>
  <c r="Z108" i="30"/>
  <c r="V137" i="30"/>
  <c r="J50" i="24"/>
  <c r="J54" i="24"/>
  <c r="J58" i="24"/>
  <c r="J62" i="24"/>
  <c r="J66" i="24"/>
  <c r="V86" i="24"/>
  <c r="V90" i="24"/>
  <c r="V98" i="24"/>
  <c r="J102" i="24"/>
  <c r="V106" i="24"/>
  <c r="J112" i="24"/>
  <c r="V118" i="24"/>
  <c r="V40" i="27"/>
  <c r="V44" i="27"/>
  <c r="V48" i="27"/>
  <c r="J60" i="27"/>
  <c r="J64" i="27"/>
  <c r="J78" i="27"/>
  <c r="J88" i="27"/>
  <c r="V92" i="27"/>
  <c r="J98" i="27"/>
  <c r="V100" i="27"/>
  <c r="J104" i="27"/>
  <c r="V108" i="27"/>
  <c r="V110" i="27"/>
  <c r="Z135" i="30"/>
  <c r="V47" i="24"/>
  <c r="V51" i="24"/>
  <c r="V55" i="24"/>
  <c r="V59" i="24"/>
  <c r="V63" i="24"/>
  <c r="V67" i="24"/>
  <c r="J75" i="24"/>
  <c r="J79" i="24"/>
  <c r="V95" i="24"/>
  <c r="J101" i="24"/>
  <c r="V107" i="24"/>
  <c r="J111" i="24"/>
  <c r="V115" i="24"/>
  <c r="J125" i="24"/>
  <c r="V57" i="27"/>
  <c r="V61" i="27"/>
  <c r="V65" i="27"/>
  <c r="J69" i="27"/>
  <c r="J73" i="27"/>
  <c r="J77" i="27"/>
  <c r="V81" i="27"/>
  <c r="J87" i="27"/>
  <c r="V93" i="27"/>
  <c r="J97" i="27"/>
  <c r="J117" i="27"/>
  <c r="V97" i="30"/>
  <c r="H142" i="39"/>
  <c r="V76" i="24"/>
  <c r="V80" i="24"/>
  <c r="J84" i="24"/>
  <c r="J88" i="24"/>
  <c r="J92" i="24"/>
  <c r="V96" i="24"/>
  <c r="J100" i="24"/>
  <c r="V104" i="24"/>
  <c r="V116" i="24"/>
  <c r="N12" i="27"/>
  <c r="J38" i="27"/>
  <c r="J42" i="27"/>
  <c r="J46" i="27"/>
  <c r="J50" i="27"/>
  <c r="T53" i="27"/>
  <c r="V70" i="27"/>
  <c r="V74" i="27"/>
  <c r="J86" i="27"/>
  <c r="V90" i="27"/>
  <c r="J96" i="27"/>
  <c r="V106" i="27"/>
  <c r="T61" i="30"/>
  <c r="Z64" i="30"/>
  <c r="V77" i="30"/>
  <c r="V109" i="30"/>
  <c r="P12" i="33"/>
  <c r="J49" i="24"/>
  <c r="J53" i="24"/>
  <c r="J57" i="24"/>
  <c r="J61" i="24"/>
  <c r="J65" i="24"/>
  <c r="H70" i="24"/>
  <c r="J70" i="24" s="1"/>
  <c r="J83" i="24"/>
  <c r="V85" i="24"/>
  <c r="V89" i="24"/>
  <c r="V93" i="24"/>
  <c r="V105" i="24"/>
  <c r="J121" i="24"/>
  <c r="J37" i="27"/>
  <c r="V39" i="27"/>
  <c r="V43" i="27"/>
  <c r="V47" i="27"/>
  <c r="V51" i="27"/>
  <c r="V53" i="27"/>
  <c r="V55" i="27"/>
  <c r="J59" i="27"/>
  <c r="J63" i="27"/>
  <c r="V79" i="27"/>
  <c r="J85" i="27"/>
  <c r="V91" i="27"/>
  <c r="J95" i="27"/>
  <c r="V99" i="27"/>
  <c r="J103" i="27"/>
  <c r="J76" i="30"/>
  <c r="J80" i="30"/>
  <c r="J84" i="30"/>
  <c r="J94" i="30"/>
  <c r="J106" i="30"/>
  <c r="J120" i="30"/>
  <c r="J132" i="30"/>
  <c r="N12" i="33"/>
  <c r="J30" i="33"/>
  <c r="V32" i="33"/>
  <c r="J44" i="33"/>
  <c r="J48" i="33"/>
  <c r="X67" i="33"/>
  <c r="Z67" i="33" s="1"/>
  <c r="V77" i="33"/>
  <c r="V79" i="33"/>
  <c r="J64" i="39"/>
  <c r="X138" i="39"/>
  <c r="Z138" i="39" s="1"/>
  <c r="P136" i="39"/>
  <c r="X136" i="39" s="1"/>
  <c r="Z136" i="39" s="1"/>
  <c r="Z55" i="42"/>
  <c r="X55" i="42"/>
  <c r="J66" i="30"/>
  <c r="J70" i="30"/>
  <c r="J92" i="30"/>
  <c r="J104" i="30"/>
  <c r="J114" i="30"/>
  <c r="J126" i="30"/>
  <c r="J143" i="30"/>
  <c r="V94" i="33"/>
  <c r="V86" i="33"/>
  <c r="V70" i="33"/>
  <c r="V96" i="33"/>
  <c r="V72" i="33"/>
  <c r="V60" i="33"/>
  <c r="V97" i="33"/>
  <c r="V87" i="33"/>
  <c r="V83" i="33"/>
  <c r="V63" i="33"/>
  <c r="V98" i="33"/>
  <c r="V82" i="33"/>
  <c r="V74" i="33"/>
  <c r="V62" i="33"/>
  <c r="V99" i="33"/>
  <c r="V89" i="33"/>
  <c r="V73" i="33"/>
  <c r="V65" i="33"/>
  <c r="V88" i="33"/>
  <c r="V84" i="33"/>
  <c r="V76" i="33"/>
  <c r="V64" i="33"/>
  <c r="V75" i="33"/>
  <c r="V67" i="33"/>
  <c r="V80" i="33"/>
  <c r="V68" i="33"/>
  <c r="J34" i="33"/>
  <c r="T37" i="33"/>
  <c r="V50" i="33"/>
  <c r="J60" i="33"/>
  <c r="J63" i="33"/>
  <c r="V66" i="33"/>
  <c r="V90" i="33"/>
  <c r="F41" i="36"/>
  <c r="F52" i="36"/>
  <c r="Z71" i="36"/>
  <c r="N77" i="36"/>
  <c r="Z90" i="36"/>
  <c r="F95" i="36"/>
  <c r="N105" i="36"/>
  <c r="F107" i="36"/>
  <c r="L123" i="36"/>
  <c r="N123" i="36" s="1"/>
  <c r="J100" i="39"/>
  <c r="P12" i="30"/>
  <c r="J75" i="30"/>
  <c r="J79" i="30"/>
  <c r="J83" i="30"/>
  <c r="J91" i="30"/>
  <c r="J103" i="30"/>
  <c r="J113" i="30"/>
  <c r="J119" i="30"/>
  <c r="J131" i="30"/>
  <c r="J142" i="30"/>
  <c r="V37" i="33"/>
  <c r="V39" i="33"/>
  <c r="J43" i="33"/>
  <c r="J47" i="33"/>
  <c r="V53" i="33"/>
  <c r="V58" i="33"/>
  <c r="J83" i="33"/>
  <c r="J85" i="33"/>
  <c r="J98" i="33"/>
  <c r="Z34" i="36"/>
  <c r="F48" i="36"/>
  <c r="F68" i="36"/>
  <c r="F70" i="36"/>
  <c r="N95" i="36"/>
  <c r="F101" i="36"/>
  <c r="N107" i="36"/>
  <c r="F123" i="36"/>
  <c r="F138" i="36"/>
  <c r="J40" i="30"/>
  <c r="J44" i="30"/>
  <c r="J48" i="30"/>
  <c r="J52" i="30"/>
  <c r="J56" i="30"/>
  <c r="H61" i="30"/>
  <c r="J61" i="30" s="1"/>
  <c r="J74" i="30"/>
  <c r="J90" i="30"/>
  <c r="J102" i="30"/>
  <c r="J112" i="30"/>
  <c r="J130" i="30"/>
  <c r="J140" i="30"/>
  <c r="J141" i="30"/>
  <c r="V40" i="33"/>
  <c r="V44" i="33"/>
  <c r="V48" i="33"/>
  <c r="J52" i="33"/>
  <c r="L76" i="33"/>
  <c r="N76" i="33" s="1"/>
  <c r="V93" i="33"/>
  <c r="L12" i="36"/>
  <c r="F37" i="36"/>
  <c r="F64" i="36"/>
  <c r="N68" i="36"/>
  <c r="F72" i="36"/>
  <c r="X73" i="36"/>
  <c r="Z73" i="36" s="1"/>
  <c r="F89" i="36"/>
  <c r="D130" i="36"/>
  <c r="L130" i="36" s="1"/>
  <c r="J39" i="30"/>
  <c r="J63" i="30"/>
  <c r="J65" i="30"/>
  <c r="J69" i="30"/>
  <c r="J73" i="30"/>
  <c r="J89" i="30"/>
  <c r="J101" i="30"/>
  <c r="J125" i="30"/>
  <c r="J129" i="30"/>
  <c r="J33" i="33"/>
  <c r="J57" i="33"/>
  <c r="J62" i="33"/>
  <c r="J103" i="33"/>
  <c r="P12" i="36"/>
  <c r="L58" i="36"/>
  <c r="N58" i="36" s="1"/>
  <c r="F130" i="36"/>
  <c r="F132" i="36"/>
  <c r="X20" i="39"/>
  <c r="P12" i="39"/>
  <c r="J64" i="30"/>
  <c r="J78" i="30"/>
  <c r="J82" i="30"/>
  <c r="J100" i="30"/>
  <c r="J118" i="30"/>
  <c r="J124" i="30"/>
  <c r="J138" i="30"/>
  <c r="V34" i="33"/>
  <c r="J42" i="33"/>
  <c r="J46" i="33"/>
  <c r="V55" i="33"/>
  <c r="J65" i="33"/>
  <c r="X78" i="33"/>
  <c r="J82" i="33"/>
  <c r="V85" i="33"/>
  <c r="J89" i="33"/>
  <c r="X33" i="36"/>
  <c r="N130" i="36"/>
  <c r="J127" i="39"/>
  <c r="J121" i="39"/>
  <c r="J117" i="39"/>
  <c r="J111" i="39"/>
  <c r="J101" i="39"/>
  <c r="J95" i="39"/>
  <c r="J73" i="39"/>
  <c r="J67" i="39"/>
  <c r="J49" i="39"/>
  <c r="J45" i="39"/>
  <c r="J41" i="39"/>
  <c r="J137" i="39"/>
  <c r="J136" i="39"/>
  <c r="J128" i="39"/>
  <c r="J112" i="39"/>
  <c r="J96" i="39"/>
  <c r="J84" i="39"/>
  <c r="J74" i="39"/>
  <c r="J68" i="39"/>
  <c r="J50" i="39"/>
  <c r="J32" i="39"/>
  <c r="J138" i="39"/>
  <c r="J129" i="39"/>
  <c r="J113" i="39"/>
  <c r="J107" i="39"/>
  <c r="J85" i="39"/>
  <c r="J75" i="39"/>
  <c r="J59" i="39"/>
  <c r="J55" i="39"/>
  <c r="J51" i="39"/>
  <c r="J139" i="39"/>
  <c r="J130" i="39"/>
  <c r="J122" i="39"/>
  <c r="J118" i="39"/>
  <c r="J114" i="39"/>
  <c r="J102" i="39"/>
  <c r="J86" i="39"/>
  <c r="J76" i="39"/>
  <c r="J46" i="39"/>
  <c r="J42" i="39"/>
  <c r="J140" i="39"/>
  <c r="J97" i="39"/>
  <c r="J87" i="39"/>
  <c r="J77" i="39"/>
  <c r="J69" i="39"/>
  <c r="J142" i="39"/>
  <c r="J108" i="39"/>
  <c r="J88" i="39"/>
  <c r="J78" i="39"/>
  <c r="J60" i="39"/>
  <c r="J56" i="39"/>
  <c r="J52" i="39"/>
  <c r="J144" i="39"/>
  <c r="J124" i="39"/>
  <c r="J104" i="39"/>
  <c r="J98" i="39"/>
  <c r="J90" i="39"/>
  <c r="J80" i="39"/>
  <c r="J70" i="39"/>
  <c r="J62" i="39"/>
  <c r="J34" i="39"/>
  <c r="J125" i="39"/>
  <c r="J109" i="39"/>
  <c r="J105" i="39"/>
  <c r="J91" i="39"/>
  <c r="J81" i="39"/>
  <c r="J63" i="39"/>
  <c r="J57" i="39"/>
  <c r="J53" i="39"/>
  <c r="J39" i="39"/>
  <c r="J132" i="39"/>
  <c r="J120" i="39"/>
  <c r="J133" i="39"/>
  <c r="J99" i="39"/>
  <c r="J93" i="39"/>
  <c r="J83" i="39"/>
  <c r="J71" i="39"/>
  <c r="J65" i="39"/>
  <c r="J61" i="39"/>
  <c r="J47" i="39"/>
  <c r="J134" i="39"/>
  <c r="J119" i="39"/>
  <c r="J89" i="39"/>
  <c r="J43" i="39"/>
  <c r="J36" i="39"/>
  <c r="J126" i="39"/>
  <c r="J110" i="39"/>
  <c r="J103" i="39"/>
  <c r="J54" i="39"/>
  <c r="J123" i="39"/>
  <c r="J116" i="39"/>
  <c r="J94" i="39"/>
  <c r="J79" i="39"/>
  <c r="J33" i="39"/>
  <c r="J48" i="39"/>
  <c r="J82" i="39"/>
  <c r="J66" i="39"/>
  <c r="J58" i="39"/>
  <c r="J44" i="39"/>
  <c r="J40" i="39"/>
  <c r="J38" i="39"/>
  <c r="J131" i="39"/>
  <c r="J92" i="39"/>
  <c r="J31" i="39"/>
  <c r="J72" i="39"/>
  <c r="J43" i="30"/>
  <c r="J47" i="30"/>
  <c r="J51" i="30"/>
  <c r="J55" i="30"/>
  <c r="J59" i="30"/>
  <c r="J99" i="30"/>
  <c r="J111" i="30"/>
  <c r="J117" i="30"/>
  <c r="J123" i="30"/>
  <c r="J137" i="30"/>
  <c r="P140" i="30"/>
  <c r="X140" i="30" s="1"/>
  <c r="Z140" i="30" s="1"/>
  <c r="L13" i="33"/>
  <c r="N13" i="33" s="1"/>
  <c r="V43" i="33"/>
  <c r="V47" i="33"/>
  <c r="J51" i="33"/>
  <c r="V52" i="33"/>
  <c r="J73" i="33"/>
  <c r="Z78" i="33"/>
  <c r="V95" i="33"/>
  <c r="X68" i="36"/>
  <c r="Z68" i="36" s="1"/>
  <c r="N82" i="36"/>
  <c r="F116" i="36"/>
  <c r="N65" i="39"/>
  <c r="L65" i="39"/>
  <c r="V66" i="42"/>
  <c r="D101" i="45"/>
  <c r="J68" i="30"/>
  <c r="J72" i="30"/>
  <c r="J88" i="30"/>
  <c r="J98" i="30"/>
  <c r="J110" i="30"/>
  <c r="J116" i="30"/>
  <c r="J128" i="30"/>
  <c r="J136" i="30"/>
  <c r="J32" i="33"/>
  <c r="H37" i="33"/>
  <c r="J37" i="33" s="1"/>
  <c r="J50" i="33"/>
  <c r="J67" i="33"/>
  <c r="J75" i="33"/>
  <c r="V78" i="33"/>
  <c r="V91" i="33"/>
  <c r="J97" i="33"/>
  <c r="V103" i="33"/>
  <c r="Z33" i="36"/>
  <c r="F42" i="36"/>
  <c r="L63" i="36"/>
  <c r="F112" i="36"/>
  <c r="D12" i="39"/>
  <c r="J77" i="30"/>
  <c r="J81" i="30"/>
  <c r="J87" i="30"/>
  <c r="J97" i="30"/>
  <c r="J109" i="30"/>
  <c r="J135" i="30"/>
  <c r="V33" i="33"/>
  <c r="J39" i="33"/>
  <c r="J41" i="33"/>
  <c r="J45" i="33"/>
  <c r="J49" i="33"/>
  <c r="V57" i="33"/>
  <c r="Z65" i="33"/>
  <c r="Z89" i="33"/>
  <c r="F28" i="36"/>
  <c r="N61" i="36"/>
  <c r="F63" i="36"/>
  <c r="F69" i="36"/>
  <c r="F71" i="36"/>
  <c r="Z80" i="36"/>
  <c r="F92" i="36"/>
  <c r="F96" i="36"/>
  <c r="F102" i="36"/>
  <c r="N118" i="36"/>
  <c r="J106" i="39"/>
  <c r="J108" i="30"/>
  <c r="J122" i="30"/>
  <c r="J134" i="30"/>
  <c r="J90" i="33"/>
  <c r="J76" i="33"/>
  <c r="J66" i="33"/>
  <c r="J58" i="33"/>
  <c r="J54" i="33"/>
  <c r="J78" i="33"/>
  <c r="J68" i="33"/>
  <c r="J91" i="33"/>
  <c r="J79" i="33"/>
  <c r="J69" i="33"/>
  <c r="J59" i="33"/>
  <c r="J55" i="33"/>
  <c r="J86" i="33"/>
  <c r="J80" i="33"/>
  <c r="J70" i="33"/>
  <c r="J94" i="33"/>
  <c r="J93" i="33"/>
  <c r="J81" i="33"/>
  <c r="J71" i="33"/>
  <c r="J95" i="33"/>
  <c r="J72" i="33"/>
  <c r="J96" i="33"/>
  <c r="J87" i="33"/>
  <c r="J61" i="33"/>
  <c r="J99" i="33"/>
  <c r="J88" i="33"/>
  <c r="J84" i="33"/>
  <c r="J74" i="33"/>
  <c r="J64" i="33"/>
  <c r="J40" i="33"/>
  <c r="J56" i="33"/>
  <c r="L61" i="33"/>
  <c r="N61" i="33" s="1"/>
  <c r="F125" i="36"/>
  <c r="F117" i="36"/>
  <c r="F113" i="36"/>
  <c r="F109" i="36"/>
  <c r="F97" i="36"/>
  <c r="F81" i="36"/>
  <c r="F80" i="36"/>
  <c r="F65" i="36"/>
  <c r="F57" i="36"/>
  <c r="F56" i="36"/>
  <c r="F29" i="36"/>
  <c r="F119" i="36"/>
  <c r="F118" i="36"/>
  <c r="F103" i="36"/>
  <c r="F83" i="36"/>
  <c r="F82" i="36"/>
  <c r="F59" i="36"/>
  <c r="F58" i="36"/>
  <c r="F43" i="36"/>
  <c r="F39" i="36"/>
  <c r="F35" i="36"/>
  <c r="F34" i="36"/>
  <c r="F126" i="36"/>
  <c r="F114" i="36"/>
  <c r="F110" i="36"/>
  <c r="F98" i="36"/>
  <c r="F74" i="36"/>
  <c r="F73" i="36"/>
  <c r="F66" i="36"/>
  <c r="F33" i="36"/>
  <c r="F93" i="36"/>
  <c r="F85" i="36"/>
  <c r="F84" i="36"/>
  <c r="F53" i="36"/>
  <c r="F49" i="36"/>
  <c r="D31" i="36"/>
  <c r="F31" i="36" s="1"/>
  <c r="F128" i="36"/>
  <c r="F127" i="36"/>
  <c r="F120" i="36"/>
  <c r="F104" i="36"/>
  <c r="F100" i="36"/>
  <c r="F99" i="36"/>
  <c r="F76" i="36"/>
  <c r="F75" i="36"/>
  <c r="F60" i="36"/>
  <c r="F44" i="36"/>
  <c r="F40" i="36"/>
  <c r="F36" i="36"/>
  <c r="F115" i="36"/>
  <c r="F111" i="36"/>
  <c r="F87" i="36"/>
  <c r="F86" i="36"/>
  <c r="F67" i="36"/>
  <c r="F27" i="36"/>
  <c r="F26" i="36"/>
  <c r="F131" i="36"/>
  <c r="F122" i="36"/>
  <c r="F121" i="36"/>
  <c r="F106" i="36"/>
  <c r="F105" i="36"/>
  <c r="F94" i="36"/>
  <c r="F78" i="36"/>
  <c r="F77" i="36"/>
  <c r="F62" i="36"/>
  <c r="F61" i="36"/>
  <c r="F54" i="36"/>
  <c r="F50" i="36"/>
  <c r="F46" i="36"/>
  <c r="F45" i="36"/>
  <c r="F134" i="36"/>
  <c r="F91" i="36"/>
  <c r="F90" i="36"/>
  <c r="F79" i="36"/>
  <c r="F55" i="36"/>
  <c r="F51" i="36"/>
  <c r="F47" i="36"/>
  <c r="F38" i="36"/>
  <c r="N63" i="36"/>
  <c r="F88" i="36"/>
  <c r="F124" i="36"/>
  <c r="F133" i="36"/>
  <c r="J67" i="30"/>
  <c r="J71" i="30"/>
  <c r="J85" i="30"/>
  <c r="J95" i="30"/>
  <c r="J107" i="30"/>
  <c r="J115" i="30"/>
  <c r="J121" i="30"/>
  <c r="J127" i="30"/>
  <c r="J133" i="30"/>
  <c r="J31" i="33"/>
  <c r="J35" i="33"/>
  <c r="V51" i="33"/>
  <c r="J53" i="33"/>
  <c r="V54" i="33"/>
  <c r="N34" i="36"/>
  <c r="Z82" i="36"/>
  <c r="X84" i="36"/>
  <c r="N88" i="36"/>
  <c r="N90" i="36"/>
  <c r="R86" i="42"/>
  <c r="R79" i="42"/>
  <c r="R78" i="42"/>
  <c r="R121" i="42"/>
  <c r="R114" i="42"/>
  <c r="R113" i="42"/>
  <c r="R125" i="42"/>
  <c r="R116" i="42"/>
  <c r="R115" i="42"/>
  <c r="R100" i="42"/>
  <c r="R99" i="42"/>
  <c r="R88" i="42"/>
  <c r="R87" i="42"/>
  <c r="R126" i="42"/>
  <c r="R94" i="42"/>
  <c r="R127" i="42"/>
  <c r="R117" i="42"/>
  <c r="R109" i="42"/>
  <c r="R105" i="42"/>
  <c r="R101" i="42"/>
  <c r="R89" i="42"/>
  <c r="R84" i="42"/>
  <c r="R95" i="42"/>
  <c r="R118" i="42"/>
  <c r="R111" i="42"/>
  <c r="R110" i="42"/>
  <c r="R106" i="42"/>
  <c r="R102" i="42"/>
  <c r="R90" i="42"/>
  <c r="R112" i="42"/>
  <c r="R96" i="42"/>
  <c r="R131" i="42"/>
  <c r="R93" i="42"/>
  <c r="R66" i="42"/>
  <c r="R65" i="42"/>
  <c r="R124" i="42"/>
  <c r="R103" i="42"/>
  <c r="R77" i="42"/>
  <c r="R76" i="42"/>
  <c r="R61" i="42"/>
  <c r="R60" i="42"/>
  <c r="R52" i="42"/>
  <c r="R48" i="42"/>
  <c r="R25" i="42"/>
  <c r="R119" i="42"/>
  <c r="R91" i="42"/>
  <c r="R85" i="42"/>
  <c r="R68" i="42"/>
  <c r="R67" i="42"/>
  <c r="R44" i="42"/>
  <c r="R43" i="42"/>
  <c r="R39" i="42"/>
  <c r="R35" i="42"/>
  <c r="R107" i="42"/>
  <c r="R97" i="42"/>
  <c r="R83" i="42"/>
  <c r="R80" i="42"/>
  <c r="R62" i="42"/>
  <c r="R26" i="42"/>
  <c r="X12" i="42"/>
  <c r="R70" i="42"/>
  <c r="R69" i="42"/>
  <c r="R53" i="42"/>
  <c r="R49" i="42"/>
  <c r="R45" i="42"/>
  <c r="R40" i="42"/>
  <c r="R36" i="42"/>
  <c r="R55" i="42"/>
  <c r="R54" i="42"/>
  <c r="R50" i="42"/>
  <c r="R46" i="42"/>
  <c r="R123" i="42"/>
  <c r="R98" i="42"/>
  <c r="R73" i="42"/>
  <c r="R41" i="42"/>
  <c r="R37" i="42"/>
  <c r="R104" i="42"/>
  <c r="R64" i="42"/>
  <c r="R57" i="42"/>
  <c r="R56" i="42"/>
  <c r="R33" i="42"/>
  <c r="R28" i="42"/>
  <c r="R108" i="42"/>
  <c r="R51" i="42"/>
  <c r="R47" i="42"/>
  <c r="R32" i="42"/>
  <c r="R30" i="42"/>
  <c r="R120" i="42"/>
  <c r="R72" i="42"/>
  <c r="R59" i="42"/>
  <c r="R42" i="42"/>
  <c r="R92" i="42"/>
  <c r="R82" i="42"/>
  <c r="R74" i="42"/>
  <c r="R63" i="42"/>
  <c r="R34" i="42"/>
  <c r="R75" i="42"/>
  <c r="R71" i="42"/>
  <c r="R27" i="42"/>
  <c r="R58" i="42"/>
  <c r="P30" i="42"/>
  <c r="H30" i="42"/>
  <c r="N25" i="42"/>
  <c r="L25" i="42"/>
  <c r="V26" i="36"/>
  <c r="J38" i="36"/>
  <c r="J42" i="36"/>
  <c r="J56" i="36"/>
  <c r="V66" i="36"/>
  <c r="J70" i="36"/>
  <c r="V74" i="36"/>
  <c r="J80" i="36"/>
  <c r="V86" i="36"/>
  <c r="V98" i="36"/>
  <c r="J102" i="36"/>
  <c r="V110" i="36"/>
  <c r="V114" i="36"/>
  <c r="V126" i="36"/>
  <c r="T142" i="39"/>
  <c r="V36" i="39"/>
  <c r="L19" i="42"/>
  <c r="N19" i="42" s="1"/>
  <c r="D12" i="42"/>
  <c r="X66" i="42"/>
  <c r="Z66" i="42" s="1"/>
  <c r="L77" i="42"/>
  <c r="N77" i="42" s="1"/>
  <c r="X53" i="64"/>
  <c r="Z53" i="64" s="1"/>
  <c r="V29" i="36"/>
  <c r="V31" i="36"/>
  <c r="V33" i="36"/>
  <c r="J37" i="36"/>
  <c r="J41" i="36"/>
  <c r="V57" i="36"/>
  <c r="J63" i="36"/>
  <c r="V65" i="36"/>
  <c r="J69" i="36"/>
  <c r="V73" i="36"/>
  <c r="V81" i="36"/>
  <c r="J89" i="36"/>
  <c r="J95" i="36"/>
  <c r="V97" i="36"/>
  <c r="J101" i="36"/>
  <c r="J107" i="36"/>
  <c r="V109" i="36"/>
  <c r="V113" i="36"/>
  <c r="V117" i="36"/>
  <c r="J123" i="36"/>
  <c r="V125" i="36"/>
  <c r="J132" i="36"/>
  <c r="N38" i="39"/>
  <c r="Z95" i="39"/>
  <c r="Z15" i="48"/>
  <c r="X15" i="48"/>
  <c r="T17" i="48"/>
  <c r="V34" i="36"/>
  <c r="V38" i="36"/>
  <c r="V42" i="36"/>
  <c r="J46" i="36"/>
  <c r="J50" i="36"/>
  <c r="J54" i="36"/>
  <c r="V58" i="36"/>
  <c r="J62" i="36"/>
  <c r="J68" i="36"/>
  <c r="V70" i="36"/>
  <c r="J78" i="36"/>
  <c r="V82" i="36"/>
  <c r="J88" i="36"/>
  <c r="J94" i="36"/>
  <c r="V102" i="36"/>
  <c r="J106" i="36"/>
  <c r="V118" i="36"/>
  <c r="J122" i="36"/>
  <c r="J130" i="36"/>
  <c r="J131" i="36"/>
  <c r="L15" i="39"/>
  <c r="Z72" i="39"/>
  <c r="X72" i="39"/>
  <c r="Z76" i="39"/>
  <c r="N113" i="39"/>
  <c r="L133" i="39"/>
  <c r="N133" i="39" s="1"/>
  <c r="N32" i="42"/>
  <c r="J27" i="36"/>
  <c r="J45" i="36"/>
  <c r="V47" i="36"/>
  <c r="V51" i="36"/>
  <c r="V55" i="36"/>
  <c r="J61" i="36"/>
  <c r="J67" i="36"/>
  <c r="V71" i="36"/>
  <c r="J77" i="36"/>
  <c r="V79" i="36"/>
  <c r="J87" i="36"/>
  <c r="V91" i="36"/>
  <c r="J105" i="36"/>
  <c r="J111" i="36"/>
  <c r="J115" i="36"/>
  <c r="J121" i="36"/>
  <c r="V95" i="45"/>
  <c r="V87" i="45"/>
  <c r="V83" i="45"/>
  <c r="V71" i="45"/>
  <c r="V59" i="45"/>
  <c r="V51" i="45"/>
  <c r="V27" i="45"/>
  <c r="V23" i="45"/>
  <c r="V94" i="45"/>
  <c r="V78" i="45"/>
  <c r="V62" i="45"/>
  <c r="V46" i="45"/>
  <c r="V42" i="45"/>
  <c r="T25" i="45"/>
  <c r="V96" i="45"/>
  <c r="V88" i="45"/>
  <c r="V84" i="45"/>
  <c r="V64" i="45"/>
  <c r="V20" i="45"/>
  <c r="V79" i="45"/>
  <c r="V63" i="45"/>
  <c r="V55" i="45"/>
  <c r="V47" i="45"/>
  <c r="V43" i="45"/>
  <c r="V39" i="45"/>
  <c r="V74" i="45"/>
  <c r="V66" i="45"/>
  <c r="V54" i="45"/>
  <c r="V38" i="45"/>
  <c r="V34" i="45"/>
  <c r="V30" i="45"/>
  <c r="V99" i="45"/>
  <c r="V97" i="45"/>
  <c r="V89" i="45"/>
  <c r="V85" i="45"/>
  <c r="V81" i="45"/>
  <c r="V65" i="45"/>
  <c r="V57" i="45"/>
  <c r="V21" i="45"/>
  <c r="V80" i="45"/>
  <c r="V76" i="45"/>
  <c r="V68" i="45"/>
  <c r="V56" i="45"/>
  <c r="V48" i="45"/>
  <c r="V44" i="45"/>
  <c r="V40" i="45"/>
  <c r="V91" i="45"/>
  <c r="V75" i="45"/>
  <c r="V67" i="45"/>
  <c r="V35" i="45"/>
  <c r="V31" i="45"/>
  <c r="V103" i="45"/>
  <c r="V93" i="45"/>
  <c r="V77" i="45"/>
  <c r="V69" i="45"/>
  <c r="V49" i="45"/>
  <c r="V45" i="45"/>
  <c r="V41" i="45"/>
  <c r="V37" i="45"/>
  <c r="V86" i="45"/>
  <c r="V73" i="45"/>
  <c r="V53" i="45"/>
  <c r="V32" i="45"/>
  <c r="V70" i="45"/>
  <c r="V29" i="45"/>
  <c r="V72" i="45"/>
  <c r="V61" i="45"/>
  <c r="V36" i="45"/>
  <c r="V22" i="45"/>
  <c r="V52" i="45"/>
  <c r="V90" i="45"/>
  <c r="V82" i="45"/>
  <c r="V28" i="45"/>
  <c r="V58" i="45"/>
  <c r="J26" i="36"/>
  <c r="V28" i="36"/>
  <c r="J36" i="36"/>
  <c r="J40" i="36"/>
  <c r="J44" i="36"/>
  <c r="V56" i="36"/>
  <c r="J60" i="36"/>
  <c r="V64" i="36"/>
  <c r="J76" i="36"/>
  <c r="V80" i="36"/>
  <c r="J86" i="36"/>
  <c r="V96" i="36"/>
  <c r="J100" i="36"/>
  <c r="J104" i="36"/>
  <c r="V108" i="36"/>
  <c r="V112" i="36"/>
  <c r="V116" i="36"/>
  <c r="J120" i="36"/>
  <c r="V124" i="36"/>
  <c r="J128" i="36"/>
  <c r="V134" i="36"/>
  <c r="V136" i="36"/>
  <c r="Z38" i="39"/>
  <c r="Z100" i="39"/>
  <c r="Z111" i="39"/>
  <c r="Z127" i="39"/>
  <c r="N61" i="42"/>
  <c r="L61" i="42"/>
  <c r="V33" i="45"/>
  <c r="V37" i="36"/>
  <c r="V41" i="36"/>
  <c r="J49" i="36"/>
  <c r="J53" i="36"/>
  <c r="V69" i="36"/>
  <c r="J75" i="36"/>
  <c r="J85" i="36"/>
  <c r="V89" i="36"/>
  <c r="J93" i="36"/>
  <c r="J99" i="36"/>
  <c r="V101" i="36"/>
  <c r="J127" i="36"/>
  <c r="P130" i="36"/>
  <c r="X130" i="36" s="1"/>
  <c r="Z130" i="36" s="1"/>
  <c r="V133" i="36"/>
  <c r="H31" i="36"/>
  <c r="V46" i="36"/>
  <c r="V50" i="36"/>
  <c r="V54" i="36"/>
  <c r="V62" i="36"/>
  <c r="J66" i="36"/>
  <c r="J74" i="36"/>
  <c r="V78" i="36"/>
  <c r="J84" i="36"/>
  <c r="V90" i="36"/>
  <c r="V94" i="36"/>
  <c r="J98" i="36"/>
  <c r="V106" i="36"/>
  <c r="J110" i="36"/>
  <c r="J114" i="36"/>
  <c r="V122" i="36"/>
  <c r="J126" i="36"/>
  <c r="V132" i="36"/>
  <c r="N85" i="39"/>
  <c r="L72" i="42"/>
  <c r="N72" i="42" s="1"/>
  <c r="V92" i="45"/>
  <c r="L13" i="48"/>
  <c r="N13" i="48" s="1"/>
  <c r="D12" i="48"/>
  <c r="J72" i="42"/>
  <c r="N12" i="36"/>
  <c r="J34" i="36"/>
  <c r="V36" i="36"/>
  <c r="V40" i="36"/>
  <c r="V44" i="36"/>
  <c r="J48" i="36"/>
  <c r="J52" i="36"/>
  <c r="J58" i="36"/>
  <c r="V60" i="36"/>
  <c r="V68" i="36"/>
  <c r="J72" i="36"/>
  <c r="V76" i="36"/>
  <c r="J82" i="36"/>
  <c r="V88" i="36"/>
  <c r="J92" i="36"/>
  <c r="V100" i="36"/>
  <c r="V104" i="36"/>
  <c r="J118" i="36"/>
  <c r="V120" i="36"/>
  <c r="V128" i="36"/>
  <c r="N61" i="39"/>
  <c r="L78" i="39"/>
  <c r="N68" i="42"/>
  <c r="Z50" i="39"/>
  <c r="N78" i="39"/>
  <c r="Z87" i="39"/>
  <c r="N93" i="39"/>
  <c r="V59" i="39"/>
  <c r="V75" i="39"/>
  <c r="V87" i="39"/>
  <c r="V107" i="39"/>
  <c r="V139" i="39"/>
  <c r="N123" i="42"/>
  <c r="X16" i="56"/>
  <c r="P73" i="56"/>
  <c r="V138" i="39"/>
  <c r="V47" i="42"/>
  <c r="V51" i="42"/>
  <c r="V59" i="42"/>
  <c r="J63" i="42"/>
  <c r="J71" i="42"/>
  <c r="V75" i="42"/>
  <c r="J84" i="42"/>
  <c r="N88" i="42"/>
  <c r="J90" i="42"/>
  <c r="V108" i="42"/>
  <c r="V114" i="42"/>
  <c r="X116" i="42"/>
  <c r="Z116" i="42" s="1"/>
  <c r="F20" i="45"/>
  <c r="F97" i="45"/>
  <c r="P69" i="48"/>
  <c r="R69" i="48" s="1"/>
  <c r="V41" i="39"/>
  <c r="V45" i="39"/>
  <c r="V49" i="39"/>
  <c r="V73" i="39"/>
  <c r="L82" i="39"/>
  <c r="N82" i="39" s="1"/>
  <c r="V85" i="39"/>
  <c r="V101" i="39"/>
  <c r="V113" i="39"/>
  <c r="V117" i="39"/>
  <c r="V121" i="39"/>
  <c r="V129" i="39"/>
  <c r="V137" i="39"/>
  <c r="J131" i="42"/>
  <c r="J111" i="42"/>
  <c r="J85" i="42"/>
  <c r="J112" i="42"/>
  <c r="J120" i="42"/>
  <c r="J92" i="42"/>
  <c r="J86" i="42"/>
  <c r="J78" i="42"/>
  <c r="J121" i="42"/>
  <c r="J113" i="42"/>
  <c r="J97" i="42"/>
  <c r="J93" i="42"/>
  <c r="J114" i="42"/>
  <c r="J108" i="42"/>
  <c r="J104" i="42"/>
  <c r="J98" i="42"/>
  <c r="J80" i="42"/>
  <c r="J124" i="42"/>
  <c r="J123" i="42"/>
  <c r="J115" i="42"/>
  <c r="J99" i="42"/>
  <c r="J87" i="42"/>
  <c r="J81" i="42"/>
  <c r="J125" i="42"/>
  <c r="J116" i="42"/>
  <c r="J100" i="42"/>
  <c r="J94" i="42"/>
  <c r="J88" i="42"/>
  <c r="J82" i="42"/>
  <c r="J126" i="42"/>
  <c r="J117" i="42"/>
  <c r="J109" i="42"/>
  <c r="J105" i="42"/>
  <c r="J101" i="42"/>
  <c r="J89" i="42"/>
  <c r="J83" i="42"/>
  <c r="J95" i="42"/>
  <c r="X13" i="42"/>
  <c r="Z13" i="42" s="1"/>
  <c r="V28" i="42"/>
  <c r="V30" i="42"/>
  <c r="V32" i="42"/>
  <c r="J36" i="42"/>
  <c r="J40" i="42"/>
  <c r="V56" i="42"/>
  <c r="X59" i="42"/>
  <c r="Z59" i="42" s="1"/>
  <c r="V64" i="42"/>
  <c r="J70" i="42"/>
  <c r="X75" i="42"/>
  <c r="Z75" i="42" s="1"/>
  <c r="V79" i="42"/>
  <c r="V86" i="42"/>
  <c r="X88" i="42"/>
  <c r="Z88" i="42" s="1"/>
  <c r="V96" i="42"/>
  <c r="J102" i="42"/>
  <c r="V104" i="42"/>
  <c r="V112" i="42"/>
  <c r="V125" i="42"/>
  <c r="J127" i="42"/>
  <c r="N55" i="45"/>
  <c r="V50" i="39"/>
  <c r="V54" i="39"/>
  <c r="V58" i="39"/>
  <c r="V66" i="39"/>
  <c r="V74" i="39"/>
  <c r="V94" i="39"/>
  <c r="V106" i="39"/>
  <c r="V110" i="39"/>
  <c r="V126" i="39"/>
  <c r="V134" i="39"/>
  <c r="V136" i="39"/>
  <c r="V37" i="42"/>
  <c r="V41" i="42"/>
  <c r="J45" i="42"/>
  <c r="J49" i="42"/>
  <c r="J53" i="42"/>
  <c r="V57" i="42"/>
  <c r="J69" i="42"/>
  <c r="V73" i="42"/>
  <c r="X100" i="42"/>
  <c r="Z100" i="42" s="1"/>
  <c r="Z123" i="42"/>
  <c r="T133" i="42"/>
  <c r="X13" i="45"/>
  <c r="P12" i="45"/>
  <c r="F79" i="45"/>
  <c r="V40" i="39"/>
  <c r="V44" i="39"/>
  <c r="V48" i="39"/>
  <c r="V64" i="39"/>
  <c r="V72" i="39"/>
  <c r="V92" i="39"/>
  <c r="V100" i="39"/>
  <c r="V116" i="39"/>
  <c r="V120" i="39"/>
  <c r="V132" i="39"/>
  <c r="J25" i="42"/>
  <c r="V27" i="42"/>
  <c r="J35" i="42"/>
  <c r="J39" i="42"/>
  <c r="J43" i="42"/>
  <c r="V55" i="42"/>
  <c r="J61" i="42"/>
  <c r="V63" i="42"/>
  <c r="J67" i="42"/>
  <c r="V71" i="42"/>
  <c r="J77" i="42"/>
  <c r="N83" i="42"/>
  <c r="Z92" i="42"/>
  <c r="V100" i="42"/>
  <c r="J107" i="42"/>
  <c r="J119" i="42"/>
  <c r="Z120" i="42"/>
  <c r="N39" i="45"/>
  <c r="F65" i="45"/>
  <c r="N81" i="45"/>
  <c r="F99" i="45"/>
  <c r="P69" i="59"/>
  <c r="V53" i="39"/>
  <c r="V57" i="39"/>
  <c r="V65" i="39"/>
  <c r="V81" i="39"/>
  <c r="V93" i="39"/>
  <c r="V105" i="39"/>
  <c r="V109" i="39"/>
  <c r="V125" i="39"/>
  <c r="V133" i="39"/>
  <c r="D136" i="39"/>
  <c r="L136" i="39" s="1"/>
  <c r="N136" i="39" s="1"/>
  <c r="V123" i="42"/>
  <c r="V121" i="42"/>
  <c r="V113" i="42"/>
  <c r="V97" i="42"/>
  <c r="V93" i="42"/>
  <c r="V81" i="42"/>
  <c r="V124" i="42"/>
  <c r="V116" i="42"/>
  <c r="V126" i="42"/>
  <c r="V94" i="42"/>
  <c r="V82" i="42"/>
  <c r="V129" i="42"/>
  <c r="V127" i="42"/>
  <c r="V117" i="42"/>
  <c r="V109" i="42"/>
  <c r="V105" i="42"/>
  <c r="V101" i="42"/>
  <c r="V89" i="42"/>
  <c r="V84" i="42"/>
  <c r="V111" i="42"/>
  <c r="V95" i="42"/>
  <c r="V118" i="42"/>
  <c r="V110" i="42"/>
  <c r="V106" i="42"/>
  <c r="V102" i="42"/>
  <c r="V90" i="42"/>
  <c r="V131" i="42"/>
  <c r="V85" i="42"/>
  <c r="V77" i="42"/>
  <c r="V119" i="42"/>
  <c r="V107" i="42"/>
  <c r="V103" i="42"/>
  <c r="V91" i="42"/>
  <c r="V36" i="42"/>
  <c r="V40" i="42"/>
  <c r="J48" i="42"/>
  <c r="J52" i="42"/>
  <c r="J60" i="42"/>
  <c r="J66" i="42"/>
  <c r="V72" i="42"/>
  <c r="J76" i="42"/>
  <c r="J91" i="42"/>
  <c r="V92" i="42"/>
  <c r="N111" i="42"/>
  <c r="V120" i="42"/>
  <c r="Z27" i="45"/>
  <c r="X30" i="48"/>
  <c r="Z30" i="48" s="1"/>
  <c r="R30" i="48"/>
  <c r="V38" i="39"/>
  <c r="V62" i="39"/>
  <c r="V70" i="39"/>
  <c r="V82" i="39"/>
  <c r="V90" i="39"/>
  <c r="V98" i="39"/>
  <c r="V144" i="39"/>
  <c r="V45" i="42"/>
  <c r="V49" i="42"/>
  <c r="V53" i="42"/>
  <c r="J59" i="42"/>
  <c r="J65" i="42"/>
  <c r="V69" i="42"/>
  <c r="J75" i="42"/>
  <c r="J103" i="42"/>
  <c r="X93" i="45"/>
  <c r="Z93" i="45" s="1"/>
  <c r="V39" i="39"/>
  <c r="V43" i="39"/>
  <c r="V47" i="39"/>
  <c r="V63" i="39"/>
  <c r="V79" i="39"/>
  <c r="V91" i="39"/>
  <c r="V103" i="39"/>
  <c r="V115" i="39"/>
  <c r="V119" i="39"/>
  <c r="V123" i="39"/>
  <c r="V131" i="39"/>
  <c r="Z12" i="42"/>
  <c r="V26" i="42"/>
  <c r="J30" i="42"/>
  <c r="J32" i="42"/>
  <c r="J34" i="42"/>
  <c r="J38" i="42"/>
  <c r="J42" i="42"/>
  <c r="J58" i="42"/>
  <c r="V62" i="42"/>
  <c r="V70" i="42"/>
  <c r="J74" i="42"/>
  <c r="V80" i="42"/>
  <c r="V87" i="42"/>
  <c r="F80" i="45"/>
  <c r="F56" i="45"/>
  <c r="F55" i="45"/>
  <c r="F48" i="45"/>
  <c r="F44" i="45"/>
  <c r="F40" i="45"/>
  <c r="F39" i="45"/>
  <c r="L12" i="45"/>
  <c r="N12" i="45" s="1"/>
  <c r="F75" i="45"/>
  <c r="F67" i="45"/>
  <c r="F66" i="45"/>
  <c r="F35" i="45"/>
  <c r="F31" i="45"/>
  <c r="F103" i="45"/>
  <c r="F77" i="45"/>
  <c r="F76" i="45"/>
  <c r="F69" i="45"/>
  <c r="F68" i="45"/>
  <c r="F49" i="45"/>
  <c r="F45" i="45"/>
  <c r="F41" i="45"/>
  <c r="F92" i="45"/>
  <c r="F91" i="45"/>
  <c r="F36" i="45"/>
  <c r="F32" i="45"/>
  <c r="F87" i="45"/>
  <c r="F83" i="45"/>
  <c r="F71" i="45"/>
  <c r="F70" i="45"/>
  <c r="F59" i="45"/>
  <c r="F51" i="45"/>
  <c r="F50" i="45"/>
  <c r="F23" i="45"/>
  <c r="F94" i="45"/>
  <c r="F93" i="45"/>
  <c r="F78" i="45"/>
  <c r="F46" i="45"/>
  <c r="F42" i="45"/>
  <c r="F73" i="45"/>
  <c r="F72" i="45"/>
  <c r="F61" i="45"/>
  <c r="F60" i="45"/>
  <c r="F53" i="45"/>
  <c r="F52" i="45"/>
  <c r="F37" i="45"/>
  <c r="F33" i="45"/>
  <c r="F29" i="45"/>
  <c r="F28" i="45"/>
  <c r="F96" i="45"/>
  <c r="F95" i="45"/>
  <c r="F88" i="45"/>
  <c r="F84" i="45"/>
  <c r="F27" i="45"/>
  <c r="F25" i="45"/>
  <c r="F74" i="45"/>
  <c r="F54" i="45"/>
  <c r="F38" i="45"/>
  <c r="F34" i="45"/>
  <c r="F30" i="45"/>
  <c r="F21" i="45"/>
  <c r="Z91" i="45"/>
  <c r="P12" i="51"/>
  <c r="X13" i="51"/>
  <c r="Z13" i="51" s="1"/>
  <c r="V52" i="39"/>
  <c r="V56" i="39"/>
  <c r="V60" i="39"/>
  <c r="X63" i="39"/>
  <c r="Z63" i="39" s="1"/>
  <c r="V80" i="39"/>
  <c r="V88" i="39"/>
  <c r="V104" i="39"/>
  <c r="V108" i="39"/>
  <c r="V124" i="39"/>
  <c r="J33" i="42"/>
  <c r="V35" i="42"/>
  <c r="V39" i="42"/>
  <c r="V43" i="42"/>
  <c r="J47" i="42"/>
  <c r="J51" i="42"/>
  <c r="J57" i="42"/>
  <c r="V67" i="42"/>
  <c r="X70" i="42"/>
  <c r="Z70" i="42" s="1"/>
  <c r="V83" i="42"/>
  <c r="V99" i="42"/>
  <c r="F58" i="45"/>
  <c r="V61" i="39"/>
  <c r="V69" i="39"/>
  <c r="V77" i="39"/>
  <c r="V89" i="39"/>
  <c r="J28" i="42"/>
  <c r="V44" i="42"/>
  <c r="V48" i="42"/>
  <c r="V52" i="42"/>
  <c r="J56" i="42"/>
  <c r="V60" i="42"/>
  <c r="J64" i="42"/>
  <c r="V68" i="42"/>
  <c r="V76" i="42"/>
  <c r="Z77" i="42"/>
  <c r="J79" i="42"/>
  <c r="F64" i="45"/>
  <c r="F82" i="45"/>
  <c r="F90" i="45"/>
  <c r="J21" i="45"/>
  <c r="J39" i="45"/>
  <c r="J55" i="45"/>
  <c r="J65" i="45"/>
  <c r="J85" i="45"/>
  <c r="J89" i="45"/>
  <c r="J97" i="45"/>
  <c r="J42" i="48"/>
  <c r="J45" i="48"/>
  <c r="Z55" i="48"/>
  <c r="N63" i="48"/>
  <c r="Z12" i="55"/>
  <c r="V31" i="55"/>
  <c r="V29" i="55"/>
  <c r="V27" i="55"/>
  <c r="V19" i="55"/>
  <c r="V21" i="55"/>
  <c r="T16" i="55"/>
  <c r="V22" i="55"/>
  <c r="V25" i="55"/>
  <c r="V24" i="55"/>
  <c r="V23" i="55"/>
  <c r="V18" i="55"/>
  <c r="V14" i="55"/>
  <c r="V35" i="55"/>
  <c r="V26" i="55"/>
  <c r="V33" i="55"/>
  <c r="V20" i="55"/>
  <c r="V16" i="55"/>
  <c r="T73" i="56"/>
  <c r="X14" i="59"/>
  <c r="P22" i="54"/>
  <c r="J69" i="59"/>
  <c r="J67" i="59"/>
  <c r="J71" i="59"/>
  <c r="J76" i="59"/>
  <c r="J73" i="59"/>
  <c r="J43" i="59"/>
  <c r="J37" i="59"/>
  <c r="J33" i="59"/>
  <c r="J19" i="59"/>
  <c r="J60" i="59"/>
  <c r="J52" i="59"/>
  <c r="J44" i="59"/>
  <c r="J28" i="59"/>
  <c r="J24" i="59"/>
  <c r="J20" i="59"/>
  <c r="J18" i="59"/>
  <c r="J16" i="59"/>
  <c r="J14" i="59"/>
  <c r="J61" i="59"/>
  <c r="J45" i="59"/>
  <c r="H16" i="59"/>
  <c r="J62" i="59"/>
  <c r="J46" i="59"/>
  <c r="J38" i="59"/>
  <c r="J34" i="59"/>
  <c r="J63" i="59"/>
  <c r="J53" i="59"/>
  <c r="J47" i="59"/>
  <c r="J29" i="59"/>
  <c r="J25" i="59"/>
  <c r="J21" i="59"/>
  <c r="J64" i="59"/>
  <c r="J54" i="59"/>
  <c r="J48" i="59"/>
  <c r="J30" i="59"/>
  <c r="J56" i="59"/>
  <c r="J50" i="59"/>
  <c r="J26" i="59"/>
  <c r="J22" i="59"/>
  <c r="J65" i="59"/>
  <c r="J57" i="59"/>
  <c r="J58" i="59"/>
  <c r="J40" i="59"/>
  <c r="J36" i="59"/>
  <c r="J32" i="59"/>
  <c r="N12" i="59"/>
  <c r="J59" i="59"/>
  <c r="J55" i="59"/>
  <c r="J31" i="59"/>
  <c r="J41" i="59"/>
  <c r="J35" i="59"/>
  <c r="J39" i="59"/>
  <c r="J49" i="59"/>
  <c r="J23" i="59"/>
  <c r="L12" i="59"/>
  <c r="J43" i="45"/>
  <c r="J47" i="45"/>
  <c r="J63" i="45"/>
  <c r="J79" i="45"/>
  <c r="X77" i="51"/>
  <c r="Z77" i="51" s="1"/>
  <c r="X89" i="51"/>
  <c r="Z89" i="51" s="1"/>
  <c r="F31" i="54"/>
  <c r="F22" i="54"/>
  <c r="F20" i="54"/>
  <c r="F18" i="54"/>
  <c r="F16" i="54"/>
  <c r="F14" i="54"/>
  <c r="F24" i="54"/>
  <c r="D16" i="54"/>
  <c r="F28" i="54"/>
  <c r="F29" i="54"/>
  <c r="V14" i="54"/>
  <c r="V18" i="54"/>
  <c r="L28" i="54"/>
  <c r="N28" i="54" s="1"/>
  <c r="H25" i="45"/>
  <c r="J62" i="45"/>
  <c r="J84" i="45"/>
  <c r="J88" i="45"/>
  <c r="J96" i="45"/>
  <c r="X17" i="48"/>
  <c r="Z45" i="48"/>
  <c r="X47" i="48"/>
  <c r="Z47" i="48" s="1"/>
  <c r="J56" i="48"/>
  <c r="L60" i="48"/>
  <c r="J62" i="48"/>
  <c r="N16" i="54"/>
  <c r="H22" i="54"/>
  <c r="N14" i="55"/>
  <c r="H16" i="55"/>
  <c r="J25" i="45"/>
  <c r="J27" i="45"/>
  <c r="J29" i="45"/>
  <c r="J33" i="45"/>
  <c r="J37" i="45"/>
  <c r="J53" i="45"/>
  <c r="J61" i="45"/>
  <c r="J73" i="45"/>
  <c r="J95" i="45"/>
  <c r="N60" i="48"/>
  <c r="D12" i="51"/>
  <c r="Z19" i="57"/>
  <c r="J42" i="59"/>
  <c r="J28" i="45"/>
  <c r="J42" i="45"/>
  <c r="J46" i="45"/>
  <c r="J52" i="45"/>
  <c r="J60" i="45"/>
  <c r="J72" i="45"/>
  <c r="J78" i="45"/>
  <c r="J94" i="45"/>
  <c r="J63" i="48"/>
  <c r="J55" i="48"/>
  <c r="J43" i="48"/>
  <c r="J37" i="48"/>
  <c r="J33" i="48"/>
  <c r="J67" i="48"/>
  <c r="J66" i="48"/>
  <c r="J58" i="48"/>
  <c r="J46" i="48"/>
  <c r="J38" i="48"/>
  <c r="J34" i="48"/>
  <c r="J20" i="48"/>
  <c r="J47" i="48"/>
  <c r="J29" i="48"/>
  <c r="J25" i="48"/>
  <c r="J21" i="48"/>
  <c r="J19" i="48"/>
  <c r="J15" i="48"/>
  <c r="J48" i="48"/>
  <c r="J30" i="48"/>
  <c r="H17" i="48"/>
  <c r="J71" i="48"/>
  <c r="J59" i="48"/>
  <c r="J49" i="48"/>
  <c r="J39" i="48"/>
  <c r="J35" i="48"/>
  <c r="J31" i="48"/>
  <c r="J60" i="48"/>
  <c r="J50" i="48"/>
  <c r="J52" i="48"/>
  <c r="J40" i="48"/>
  <c r="J36" i="48"/>
  <c r="J32" i="48"/>
  <c r="J53" i="48"/>
  <c r="J41" i="48"/>
  <c r="J27" i="48"/>
  <c r="J23" i="48"/>
  <c r="L41" i="48"/>
  <c r="N41" i="48" s="1"/>
  <c r="J44" i="48"/>
  <c r="N51" i="48"/>
  <c r="X60" i="48"/>
  <c r="Z60" i="48" s="1"/>
  <c r="L66" i="51"/>
  <c r="N66" i="51" s="1"/>
  <c r="L83" i="51"/>
  <c r="N83" i="51" s="1"/>
  <c r="X21" i="55"/>
  <c r="Z21" i="55" s="1"/>
  <c r="J27" i="59"/>
  <c r="L114" i="42"/>
  <c r="N114" i="42" s="1"/>
  <c r="J23" i="45"/>
  <c r="L28" i="45"/>
  <c r="N28" i="45" s="1"/>
  <c r="J51" i="45"/>
  <c r="L52" i="45"/>
  <c r="N52" i="45" s="1"/>
  <c r="J59" i="45"/>
  <c r="L60" i="45"/>
  <c r="N60" i="45" s="1"/>
  <c r="X66" i="45"/>
  <c r="Z66" i="45" s="1"/>
  <c r="J71" i="45"/>
  <c r="L72" i="45"/>
  <c r="N72" i="45" s="1"/>
  <c r="J83" i="45"/>
  <c r="J87" i="45"/>
  <c r="J93" i="45"/>
  <c r="J22" i="48"/>
  <c r="J24" i="48"/>
  <c r="J51" i="48"/>
  <c r="V89" i="51"/>
  <c r="V31" i="54"/>
  <c r="V29" i="54"/>
  <c r="V28" i="54"/>
  <c r="V24" i="54"/>
  <c r="Z12" i="54"/>
  <c r="X12" i="54"/>
  <c r="T16" i="54"/>
  <c r="V16" i="54"/>
  <c r="N14" i="57"/>
  <c r="H16" i="57"/>
  <c r="J32" i="45"/>
  <c r="J36" i="45"/>
  <c r="J50" i="45"/>
  <c r="J70" i="45"/>
  <c r="J92" i="45"/>
  <c r="J26" i="48"/>
  <c r="Z49" i="48"/>
  <c r="J64" i="48"/>
  <c r="Z29" i="56"/>
  <c r="Z48" i="56"/>
  <c r="X48" i="56"/>
  <c r="Z18" i="59"/>
  <c r="N55" i="48"/>
  <c r="L16" i="55"/>
  <c r="D31" i="55"/>
  <c r="L58" i="58"/>
  <c r="N58" i="58" s="1"/>
  <c r="J22" i="45"/>
  <c r="J58" i="45"/>
  <c r="J68" i="45"/>
  <c r="J76" i="45"/>
  <c r="J82" i="45"/>
  <c r="J86" i="45"/>
  <c r="J90" i="45"/>
  <c r="L55" i="48"/>
  <c r="N57" i="48"/>
  <c r="X66" i="51"/>
  <c r="Z66" i="51" s="1"/>
  <c r="Z85" i="51"/>
  <c r="Z92" i="51"/>
  <c r="J31" i="45"/>
  <c r="J35" i="45"/>
  <c r="J57" i="45"/>
  <c r="J67" i="45"/>
  <c r="J75" i="45"/>
  <c r="J81" i="45"/>
  <c r="J99" i="45"/>
  <c r="N43" i="48"/>
  <c r="J57" i="48"/>
  <c r="J61" i="48"/>
  <c r="V66" i="51"/>
  <c r="N77" i="51"/>
  <c r="N89" i="51"/>
  <c r="V20" i="54"/>
  <c r="V15" i="48"/>
  <c r="V17" i="48"/>
  <c r="V19" i="48"/>
  <c r="R24" i="48"/>
  <c r="R28" i="48"/>
  <c r="R44" i="48"/>
  <c r="R45" i="48"/>
  <c r="V47" i="48"/>
  <c r="R56" i="48"/>
  <c r="R57" i="48"/>
  <c r="R64" i="48"/>
  <c r="V67" i="48"/>
  <c r="J39" i="51"/>
  <c r="J43" i="51"/>
  <c r="J47" i="51"/>
  <c r="H52" i="51"/>
  <c r="V67" i="51"/>
  <c r="V71" i="51"/>
  <c r="V75" i="51"/>
  <c r="J81" i="51"/>
  <c r="V87" i="51"/>
  <c r="J91" i="51"/>
  <c r="V95" i="51"/>
  <c r="D98" i="51"/>
  <c r="L98" i="51" s="1"/>
  <c r="N98" i="51" s="1"/>
  <c r="N12" i="54"/>
  <c r="R14" i="54"/>
  <c r="R16" i="54"/>
  <c r="R18" i="54"/>
  <c r="R20" i="54"/>
  <c r="R22" i="54"/>
  <c r="L14" i="55"/>
  <c r="P16" i="55"/>
  <c r="V43" i="57"/>
  <c r="V27" i="58"/>
  <c r="V55" i="58"/>
  <c r="Z63" i="58"/>
  <c r="X47" i="59"/>
  <c r="V44" i="48"/>
  <c r="V56" i="48"/>
  <c r="V64" i="48"/>
  <c r="V66" i="48"/>
  <c r="J38" i="51"/>
  <c r="V44" i="51"/>
  <c r="V48" i="51"/>
  <c r="J52" i="51"/>
  <c r="J54" i="51"/>
  <c r="J56" i="51"/>
  <c r="J60" i="51"/>
  <c r="J64" i="51"/>
  <c r="J80" i="51"/>
  <c r="V84" i="51"/>
  <c r="J101" i="51"/>
  <c r="R31" i="54"/>
  <c r="Z18" i="57"/>
  <c r="N16" i="58"/>
  <c r="H76" i="58"/>
  <c r="V23" i="58"/>
  <c r="V63" i="58"/>
  <c r="Z47" i="59"/>
  <c r="X63" i="59"/>
  <c r="Z63" i="59" s="1"/>
  <c r="N14" i="60"/>
  <c r="L14" i="60"/>
  <c r="V54" i="48"/>
  <c r="V62" i="48"/>
  <c r="J42" i="51"/>
  <c r="J46" i="51"/>
  <c r="J50" i="51"/>
  <c r="J78" i="51"/>
  <c r="J90" i="51"/>
  <c r="J98" i="51"/>
  <c r="J99" i="51"/>
  <c r="N65" i="57"/>
  <c r="V45" i="58"/>
  <c r="V37" i="58"/>
  <c r="V33" i="58"/>
  <c r="T16" i="58"/>
  <c r="V76" i="58"/>
  <c r="V74" i="58"/>
  <c r="V72" i="58"/>
  <c r="V64" i="58"/>
  <c r="V56" i="58"/>
  <c r="V44" i="58"/>
  <c r="V28" i="58"/>
  <c r="V24" i="58"/>
  <c r="V20" i="58"/>
  <c r="V47" i="58"/>
  <c r="V58" i="58"/>
  <c r="V46" i="58"/>
  <c r="V38" i="58"/>
  <c r="V34" i="58"/>
  <c r="V30" i="58"/>
  <c r="V65" i="58"/>
  <c r="V57" i="58"/>
  <c r="V49" i="58"/>
  <c r="V29" i="58"/>
  <c r="V25" i="58"/>
  <c r="V21" i="58"/>
  <c r="V83" i="58"/>
  <c r="V80" i="58"/>
  <c r="V78" i="58"/>
  <c r="V48" i="58"/>
  <c r="V66" i="58"/>
  <c r="V50" i="58"/>
  <c r="V26" i="58"/>
  <c r="V22" i="58"/>
  <c r="V69" i="58"/>
  <c r="V61" i="58"/>
  <c r="V53" i="58"/>
  <c r="V41" i="58"/>
  <c r="V68" i="58"/>
  <c r="V60" i="58"/>
  <c r="V52" i="58"/>
  <c r="V40" i="58"/>
  <c r="V36" i="58"/>
  <c r="V32" i="58"/>
  <c r="Z12" i="58"/>
  <c r="X16" i="58"/>
  <c r="L30" i="58"/>
  <c r="N30" i="58" s="1"/>
  <c r="V54" i="58"/>
  <c r="Z71" i="58"/>
  <c r="X71" i="58"/>
  <c r="D65" i="60"/>
  <c r="Z14" i="61"/>
  <c r="X14" i="61"/>
  <c r="V23" i="48"/>
  <c r="V27" i="48"/>
  <c r="R32" i="48"/>
  <c r="R36" i="48"/>
  <c r="R40" i="48"/>
  <c r="R41" i="48"/>
  <c r="V43" i="48"/>
  <c r="R52" i="48"/>
  <c r="R53" i="48"/>
  <c r="V55" i="48"/>
  <c r="V63" i="48"/>
  <c r="V39" i="51"/>
  <c r="V43" i="51"/>
  <c r="V47" i="51"/>
  <c r="J59" i="51"/>
  <c r="J63" i="51"/>
  <c r="J77" i="51"/>
  <c r="V83" i="51"/>
  <c r="J89" i="51"/>
  <c r="V91" i="51"/>
  <c r="J26" i="54"/>
  <c r="X19" i="55"/>
  <c r="N46" i="57"/>
  <c r="N48" i="57"/>
  <c r="L58" i="57"/>
  <c r="X12" i="58"/>
  <c r="L18" i="58"/>
  <c r="X19" i="58"/>
  <c r="N41" i="58"/>
  <c r="Z58" i="58"/>
  <c r="V62" i="58"/>
  <c r="V71" i="58"/>
  <c r="N30" i="59"/>
  <c r="N54" i="59"/>
  <c r="N16" i="61"/>
  <c r="H60" i="61"/>
  <c r="X46" i="61"/>
  <c r="Z46" i="61" s="1"/>
  <c r="V32" i="48"/>
  <c r="V36" i="48"/>
  <c r="V40" i="48"/>
  <c r="V52" i="48"/>
  <c r="R61" i="48"/>
  <c r="V56" i="51"/>
  <c r="V60" i="51"/>
  <c r="V64" i="51"/>
  <c r="J68" i="51"/>
  <c r="J72" i="51"/>
  <c r="J76" i="51"/>
  <c r="V80" i="51"/>
  <c r="J88" i="51"/>
  <c r="V92" i="51"/>
  <c r="J96" i="51"/>
  <c r="R29" i="54"/>
  <c r="Z19" i="55"/>
  <c r="N21" i="55"/>
  <c r="L21" i="55"/>
  <c r="V65" i="57"/>
  <c r="V45" i="57"/>
  <c r="V37" i="57"/>
  <c r="V33" i="57"/>
  <c r="V29" i="57"/>
  <c r="T16" i="57"/>
  <c r="V64" i="57"/>
  <c r="V56" i="57"/>
  <c r="V48" i="57"/>
  <c r="V28" i="57"/>
  <c r="V24" i="57"/>
  <c r="V20" i="57"/>
  <c r="V67" i="57"/>
  <c r="V55" i="57"/>
  <c r="V47" i="57"/>
  <c r="V66" i="57"/>
  <c r="V58" i="57"/>
  <c r="V50" i="57"/>
  <c r="V38" i="57"/>
  <c r="V34" i="57"/>
  <c r="V30" i="57"/>
  <c r="V57" i="57"/>
  <c r="V49" i="57"/>
  <c r="V25" i="57"/>
  <c r="V21" i="57"/>
  <c r="V72" i="57"/>
  <c r="V70" i="57"/>
  <c r="V68" i="57"/>
  <c r="V60" i="57"/>
  <c r="V52" i="57"/>
  <c r="V40" i="57"/>
  <c r="V62" i="57"/>
  <c r="V42" i="57"/>
  <c r="V26" i="57"/>
  <c r="V22" i="57"/>
  <c r="V61" i="57"/>
  <c r="V53" i="57"/>
  <c r="V41" i="57"/>
  <c r="V79" i="57"/>
  <c r="V76" i="57"/>
  <c r="V74" i="57"/>
  <c r="V44" i="57"/>
  <c r="V36" i="57"/>
  <c r="V32" i="57"/>
  <c r="Z12" i="57"/>
  <c r="X40" i="57"/>
  <c r="N44" i="57"/>
  <c r="N50" i="57"/>
  <c r="N56" i="57"/>
  <c r="X70" i="57"/>
  <c r="Z19" i="58"/>
  <c r="V39" i="58"/>
  <c r="L49" i="58"/>
  <c r="Z19" i="59"/>
  <c r="N58" i="59"/>
  <c r="H80" i="73"/>
  <c r="X12" i="48"/>
  <c r="Z12" i="48" s="1"/>
  <c r="R22" i="48"/>
  <c r="R26" i="48"/>
  <c r="V41" i="48"/>
  <c r="R50" i="48"/>
  <c r="R51" i="48"/>
  <c r="V53" i="48"/>
  <c r="V61" i="48"/>
  <c r="J41" i="51"/>
  <c r="J45" i="51"/>
  <c r="J49" i="51"/>
  <c r="T52" i="51"/>
  <c r="V69" i="51"/>
  <c r="V73" i="51"/>
  <c r="V81" i="51"/>
  <c r="J87" i="51"/>
  <c r="J95" i="51"/>
  <c r="V101" i="51"/>
  <c r="X64" i="56"/>
  <c r="Z64" i="56" s="1"/>
  <c r="Z40" i="57"/>
  <c r="Z42" i="57"/>
  <c r="Z46" i="57"/>
  <c r="N58" i="57"/>
  <c r="N60" i="57"/>
  <c r="N18" i="58"/>
  <c r="V19" i="58"/>
  <c r="V35" i="58"/>
  <c r="N49" i="58"/>
  <c r="V70" i="58"/>
  <c r="Z30" i="59"/>
  <c r="Z54" i="59"/>
  <c r="H16" i="60"/>
  <c r="Z42" i="61"/>
  <c r="V22" i="48"/>
  <c r="V26" i="48"/>
  <c r="R31" i="48"/>
  <c r="R35" i="48"/>
  <c r="R39" i="48"/>
  <c r="V50" i="48"/>
  <c r="R59" i="48"/>
  <c r="R60" i="48"/>
  <c r="R71" i="48"/>
  <c r="V38" i="51"/>
  <c r="V42" i="51"/>
  <c r="V46" i="51"/>
  <c r="V50" i="51"/>
  <c r="V52" i="51"/>
  <c r="V54" i="51"/>
  <c r="J58" i="51"/>
  <c r="J62" i="51"/>
  <c r="V78" i="51"/>
  <c r="J86" i="51"/>
  <c r="V90" i="51"/>
  <c r="J94" i="51"/>
  <c r="V100" i="51"/>
  <c r="R26" i="54"/>
  <c r="X71" i="56"/>
  <c r="L14" i="57"/>
  <c r="V46" i="57"/>
  <c r="Z50" i="57"/>
  <c r="Z43" i="58"/>
  <c r="N41" i="59"/>
  <c r="Z58" i="59"/>
  <c r="X19" i="57"/>
  <c r="Z44" i="57"/>
  <c r="X44" i="57"/>
  <c r="X52" i="57"/>
  <c r="X18" i="61"/>
  <c r="Z18" i="61" s="1"/>
  <c r="R15" i="48"/>
  <c r="R17" i="48"/>
  <c r="R19" i="48"/>
  <c r="V21" i="48"/>
  <c r="V25" i="48"/>
  <c r="V29" i="48"/>
  <c r="R34" i="48"/>
  <c r="R38" i="48"/>
  <c r="R46" i="48"/>
  <c r="R47" i="48"/>
  <c r="R58" i="48"/>
  <c r="V41" i="51"/>
  <c r="V45" i="51"/>
  <c r="V49" i="51"/>
  <c r="J57" i="51"/>
  <c r="J61" i="51"/>
  <c r="J65" i="51"/>
  <c r="V77" i="51"/>
  <c r="J83" i="51"/>
  <c r="J93" i="51"/>
  <c r="J31" i="54"/>
  <c r="J29" i="54"/>
  <c r="L42" i="56"/>
  <c r="N42" i="56" s="1"/>
  <c r="Z55" i="56"/>
  <c r="N18" i="57"/>
  <c r="Z60" i="57"/>
  <c r="Z62" i="57"/>
  <c r="V14" i="58"/>
  <c r="V31" i="58"/>
  <c r="X55" i="58"/>
  <c r="Z55" i="58" s="1"/>
  <c r="V59" i="58"/>
  <c r="N61" i="59"/>
  <c r="R51" i="60"/>
  <c r="R40" i="60"/>
  <c r="R39" i="60"/>
  <c r="R35" i="60"/>
  <c r="R31" i="60"/>
  <c r="R26" i="60"/>
  <c r="R22" i="60"/>
  <c r="R42" i="60"/>
  <c r="R41" i="60"/>
  <c r="R53" i="60"/>
  <c r="R52" i="60"/>
  <c r="R36" i="60"/>
  <c r="R32" i="60"/>
  <c r="R44" i="60"/>
  <c r="R43" i="60"/>
  <c r="R27" i="60"/>
  <c r="R23" i="60"/>
  <c r="R58" i="60"/>
  <c r="R56" i="60"/>
  <c r="R46" i="60"/>
  <c r="R45" i="60"/>
  <c r="R37" i="60"/>
  <c r="R33" i="60"/>
  <c r="R18" i="60"/>
  <c r="R16" i="60"/>
  <c r="R14" i="60"/>
  <c r="R48" i="60"/>
  <c r="R47" i="60"/>
  <c r="R54" i="60"/>
  <c r="R29" i="60"/>
  <c r="R50" i="60"/>
  <c r="R38" i="60"/>
  <c r="R34" i="60"/>
  <c r="R25" i="60"/>
  <c r="R21" i="60"/>
  <c r="R19" i="60"/>
  <c r="R62" i="60"/>
  <c r="R30" i="60"/>
  <c r="R24" i="60"/>
  <c r="R20" i="60"/>
  <c r="P16" i="60"/>
  <c r="X12" i="60"/>
  <c r="R60" i="60"/>
  <c r="R49" i="60"/>
  <c r="R28" i="60"/>
  <c r="R19" i="56"/>
  <c r="F22" i="56"/>
  <c r="F26" i="56"/>
  <c r="V29" i="56"/>
  <c r="V33" i="56"/>
  <c r="V37" i="56"/>
  <c r="J41" i="56"/>
  <c r="V45" i="56"/>
  <c r="J53" i="56"/>
  <c r="R54" i="56"/>
  <c r="R55" i="56"/>
  <c r="J61" i="56"/>
  <c r="R62" i="56"/>
  <c r="J69" i="56"/>
  <c r="V75" i="56"/>
  <c r="V77" i="56"/>
  <c r="V80" i="56"/>
  <c r="F21" i="57"/>
  <c r="F25" i="57"/>
  <c r="R41" i="57"/>
  <c r="R42" i="57"/>
  <c r="F48" i="57"/>
  <c r="F49" i="57"/>
  <c r="J50" i="57"/>
  <c r="R53" i="57"/>
  <c r="F56" i="57"/>
  <c r="F57" i="57"/>
  <c r="J58" i="57"/>
  <c r="R61" i="57"/>
  <c r="R62" i="57"/>
  <c r="J68" i="57"/>
  <c r="F21" i="58"/>
  <c r="F25" i="58"/>
  <c r="F29" i="58"/>
  <c r="J30" i="58"/>
  <c r="J48" i="58"/>
  <c r="F57" i="58"/>
  <c r="J58" i="58"/>
  <c r="F65" i="58"/>
  <c r="F74" i="58"/>
  <c r="F76" i="58"/>
  <c r="J78" i="58"/>
  <c r="R14" i="59"/>
  <c r="R16" i="59"/>
  <c r="R18" i="59"/>
  <c r="V24" i="59"/>
  <c r="V28" i="59"/>
  <c r="R33" i="59"/>
  <c r="V44" i="59"/>
  <c r="V52" i="59"/>
  <c r="F56" i="59"/>
  <c r="F57" i="59"/>
  <c r="V60" i="59"/>
  <c r="F65" i="59"/>
  <c r="F76" i="59"/>
  <c r="L16" i="60"/>
  <c r="L19" i="60"/>
  <c r="N19" i="60" s="1"/>
  <c r="V14" i="61"/>
  <c r="V37" i="61"/>
  <c r="Z44" i="61"/>
  <c r="V46" i="61"/>
  <c r="R53" i="61"/>
  <c r="X55" i="61"/>
  <c r="Z55" i="61" s="1"/>
  <c r="R14" i="64"/>
  <c r="R61" i="64"/>
  <c r="N81" i="64"/>
  <c r="D12" i="69"/>
  <c r="L13" i="69"/>
  <c r="N13" i="69" s="1"/>
  <c r="Z25" i="70"/>
  <c r="R117" i="71"/>
  <c r="R98" i="71"/>
  <c r="R97" i="71"/>
  <c r="R78" i="71"/>
  <c r="R77" i="71"/>
  <c r="R73" i="71"/>
  <c r="R69" i="71"/>
  <c r="R105" i="71"/>
  <c r="R104" i="71"/>
  <c r="R89" i="71"/>
  <c r="R88" i="71"/>
  <c r="R64" i="71"/>
  <c r="R60" i="71"/>
  <c r="R99" i="71"/>
  <c r="R80" i="71"/>
  <c r="R79" i="71"/>
  <c r="R56" i="71"/>
  <c r="R51" i="71"/>
  <c r="R47" i="71"/>
  <c r="R43" i="71"/>
  <c r="R39" i="71"/>
  <c r="R107" i="71"/>
  <c r="R106" i="71"/>
  <c r="R91" i="71"/>
  <c r="R90" i="71"/>
  <c r="R74" i="71"/>
  <c r="R70" i="71"/>
  <c r="R55" i="71"/>
  <c r="R53" i="71"/>
  <c r="R81" i="71"/>
  <c r="R65" i="71"/>
  <c r="R61" i="71"/>
  <c r="R57" i="71"/>
  <c r="P53" i="71"/>
  <c r="R108" i="71"/>
  <c r="R100" i="71"/>
  <c r="R93" i="71"/>
  <c r="R92" i="71"/>
  <c r="R48" i="71"/>
  <c r="R44" i="71"/>
  <c r="R40" i="71"/>
  <c r="R111" i="71"/>
  <c r="R110" i="71"/>
  <c r="R75" i="71"/>
  <c r="R71" i="71"/>
  <c r="R113" i="71"/>
  <c r="R102" i="71"/>
  <c r="R101" i="71"/>
  <c r="R49" i="71"/>
  <c r="R45" i="71"/>
  <c r="R41" i="71"/>
  <c r="R87" i="71"/>
  <c r="R86" i="71"/>
  <c r="R50" i="71"/>
  <c r="R46" i="71"/>
  <c r="R42" i="71"/>
  <c r="R38" i="71"/>
  <c r="X12" i="71"/>
  <c r="Z12" i="71" s="1"/>
  <c r="R96" i="71"/>
  <c r="R94" i="71"/>
  <c r="R76" i="71"/>
  <c r="R67" i="71"/>
  <c r="R84" i="71"/>
  <c r="R63" i="71"/>
  <c r="R59" i="71"/>
  <c r="R37" i="71"/>
  <c r="R112" i="71"/>
  <c r="R82" i="71"/>
  <c r="R95" i="71"/>
  <c r="R83" i="71"/>
  <c r="R58" i="71"/>
  <c r="R85" i="71"/>
  <c r="R68" i="71"/>
  <c r="R62" i="71"/>
  <c r="R66" i="71"/>
  <c r="J19" i="55"/>
  <c r="R22" i="55"/>
  <c r="R23" i="55"/>
  <c r="J29" i="55"/>
  <c r="J31" i="55"/>
  <c r="R35" i="55"/>
  <c r="R38" i="55"/>
  <c r="V14" i="56"/>
  <c r="V16" i="56"/>
  <c r="V18" i="56"/>
  <c r="J22" i="56"/>
  <c r="R23" i="56"/>
  <c r="J26" i="56"/>
  <c r="R27" i="56"/>
  <c r="F31" i="56"/>
  <c r="F35" i="56"/>
  <c r="F39" i="56"/>
  <c r="J40" i="56"/>
  <c r="R43" i="56"/>
  <c r="R44" i="56"/>
  <c r="V46" i="56"/>
  <c r="F50" i="56"/>
  <c r="F51" i="56"/>
  <c r="J52" i="56"/>
  <c r="V54" i="56"/>
  <c r="F58" i="56"/>
  <c r="F59" i="56"/>
  <c r="J60" i="56"/>
  <c r="V62" i="56"/>
  <c r="F66" i="56"/>
  <c r="F67" i="56"/>
  <c r="J68" i="56"/>
  <c r="D16" i="57"/>
  <c r="J21" i="57"/>
  <c r="R22" i="57"/>
  <c r="J25" i="57"/>
  <c r="R26" i="57"/>
  <c r="F29" i="57"/>
  <c r="F30" i="57"/>
  <c r="F34" i="57"/>
  <c r="F38" i="57"/>
  <c r="J49" i="57"/>
  <c r="J57" i="57"/>
  <c r="F65" i="57"/>
  <c r="F66" i="57"/>
  <c r="J67" i="57"/>
  <c r="D16" i="58"/>
  <c r="J21" i="58"/>
  <c r="R22" i="58"/>
  <c r="J25" i="58"/>
  <c r="R26" i="58"/>
  <c r="J29" i="58"/>
  <c r="F34" i="58"/>
  <c r="F38" i="58"/>
  <c r="F45" i="58"/>
  <c r="F46" i="58"/>
  <c r="J47" i="58"/>
  <c r="R50" i="58"/>
  <c r="R51" i="58"/>
  <c r="J57" i="58"/>
  <c r="J65" i="58"/>
  <c r="R66" i="58"/>
  <c r="R67" i="58"/>
  <c r="R69" i="59"/>
  <c r="R67" i="59"/>
  <c r="R76" i="59"/>
  <c r="R73" i="59"/>
  <c r="T16" i="59"/>
  <c r="X16" i="59" s="1"/>
  <c r="R19" i="59"/>
  <c r="F26" i="59"/>
  <c r="V33" i="59"/>
  <c r="V37" i="59"/>
  <c r="R42" i="59"/>
  <c r="R43" i="59"/>
  <c r="V45" i="59"/>
  <c r="F49" i="59"/>
  <c r="F50" i="59"/>
  <c r="V61" i="59"/>
  <c r="R71" i="59"/>
  <c r="F19" i="60"/>
  <c r="N46" i="60"/>
  <c r="V55" i="61"/>
  <c r="Z14" i="64"/>
  <c r="T16" i="64"/>
  <c r="F27" i="55"/>
  <c r="R33" i="55"/>
  <c r="X12" i="56"/>
  <c r="V23" i="56"/>
  <c r="V27" i="56"/>
  <c r="J31" i="56"/>
  <c r="R32" i="56"/>
  <c r="J35" i="56"/>
  <c r="R36" i="56"/>
  <c r="J39" i="56"/>
  <c r="V43" i="56"/>
  <c r="J51" i="56"/>
  <c r="V55" i="56"/>
  <c r="J59" i="56"/>
  <c r="J67" i="56"/>
  <c r="R71" i="56"/>
  <c r="R73" i="56"/>
  <c r="J30" i="57"/>
  <c r="R31" i="57"/>
  <c r="J34" i="57"/>
  <c r="R35" i="57"/>
  <c r="J38" i="57"/>
  <c r="R39" i="57"/>
  <c r="R40" i="57"/>
  <c r="F46" i="57"/>
  <c r="F47" i="57"/>
  <c r="J48" i="57"/>
  <c r="R51" i="57"/>
  <c r="R52" i="57"/>
  <c r="F55" i="57"/>
  <c r="J56" i="57"/>
  <c r="R59" i="57"/>
  <c r="R60" i="57"/>
  <c r="J66" i="57"/>
  <c r="R70" i="57"/>
  <c r="R72" i="57"/>
  <c r="R31" i="58"/>
  <c r="J34" i="58"/>
  <c r="R35" i="58"/>
  <c r="J38" i="58"/>
  <c r="R39" i="58"/>
  <c r="J46" i="58"/>
  <c r="R59" i="58"/>
  <c r="J74" i="58"/>
  <c r="J76" i="58"/>
  <c r="R80" i="58"/>
  <c r="R83" i="58"/>
  <c r="V76" i="59"/>
  <c r="V73" i="59"/>
  <c r="V71" i="59"/>
  <c r="V14" i="59"/>
  <c r="V16" i="59"/>
  <c r="V18" i="59"/>
  <c r="R23" i="59"/>
  <c r="R27" i="59"/>
  <c r="F30" i="59"/>
  <c r="F31" i="59"/>
  <c r="F35" i="59"/>
  <c r="F39" i="59"/>
  <c r="V42" i="59"/>
  <c r="R51" i="59"/>
  <c r="F54" i="59"/>
  <c r="F55" i="59"/>
  <c r="R59" i="59"/>
  <c r="T16" i="60"/>
  <c r="F32" i="60"/>
  <c r="Z44" i="60"/>
  <c r="L56" i="60"/>
  <c r="D16" i="61"/>
  <c r="P16" i="64"/>
  <c r="R33" i="64"/>
  <c r="R37" i="64"/>
  <c r="R53" i="64"/>
  <c r="R77" i="64"/>
  <c r="R101" i="64"/>
  <c r="D16" i="56"/>
  <c r="J21" i="56"/>
  <c r="R22" i="56"/>
  <c r="J25" i="56"/>
  <c r="R26" i="56"/>
  <c r="F29" i="56"/>
  <c r="F30" i="56"/>
  <c r="F34" i="56"/>
  <c r="F38" i="56"/>
  <c r="V41" i="56"/>
  <c r="X44" i="56"/>
  <c r="Z44" i="56" s="1"/>
  <c r="J49" i="56"/>
  <c r="V53" i="56"/>
  <c r="J57" i="56"/>
  <c r="V61" i="56"/>
  <c r="J65" i="56"/>
  <c r="V69" i="56"/>
  <c r="V71" i="56"/>
  <c r="V73" i="56"/>
  <c r="F77" i="56"/>
  <c r="F80" i="56"/>
  <c r="R21" i="57"/>
  <c r="R25" i="57"/>
  <c r="J28" i="57"/>
  <c r="F33" i="57"/>
  <c r="F37" i="57"/>
  <c r="F44" i="57"/>
  <c r="F45" i="57"/>
  <c r="J46" i="57"/>
  <c r="R49" i="57"/>
  <c r="R50" i="57"/>
  <c r="R57" i="57"/>
  <c r="R58" i="57"/>
  <c r="J64" i="57"/>
  <c r="F76" i="57"/>
  <c r="F79" i="57"/>
  <c r="J14" i="58"/>
  <c r="J16" i="58"/>
  <c r="J18" i="58"/>
  <c r="J20" i="58"/>
  <c r="R21" i="58"/>
  <c r="J24" i="58"/>
  <c r="R25" i="58"/>
  <c r="J28" i="58"/>
  <c r="R29" i="58"/>
  <c r="R30" i="58"/>
  <c r="F33" i="58"/>
  <c r="F37" i="58"/>
  <c r="J44" i="58"/>
  <c r="J56" i="58"/>
  <c r="R57" i="58"/>
  <c r="R58" i="58"/>
  <c r="J64" i="58"/>
  <c r="R65" i="58"/>
  <c r="J72" i="58"/>
  <c r="F21" i="59"/>
  <c r="F25" i="59"/>
  <c r="F29" i="59"/>
  <c r="V32" i="59"/>
  <c r="V36" i="59"/>
  <c r="V40" i="59"/>
  <c r="F53" i="59"/>
  <c r="R57" i="59"/>
  <c r="R58" i="59"/>
  <c r="R65" i="59"/>
  <c r="F36" i="60"/>
  <c r="F45" i="60"/>
  <c r="T16" i="61"/>
  <c r="V43" i="61"/>
  <c r="V45" i="61"/>
  <c r="Z29" i="64"/>
  <c r="X29" i="64"/>
  <c r="N58" i="64"/>
  <c r="N70" i="64"/>
  <c r="N90" i="64"/>
  <c r="P12" i="70"/>
  <c r="X13" i="70"/>
  <c r="R19" i="55"/>
  <c r="F25" i="55"/>
  <c r="F26" i="55"/>
  <c r="R29" i="55"/>
  <c r="R31" i="55"/>
  <c r="V22" i="56"/>
  <c r="V26" i="56"/>
  <c r="J30" i="56"/>
  <c r="R31" i="56"/>
  <c r="J34" i="56"/>
  <c r="R35" i="56"/>
  <c r="J38" i="56"/>
  <c r="R39" i="56"/>
  <c r="R40" i="56"/>
  <c r="V42" i="56"/>
  <c r="F46" i="56"/>
  <c r="F47" i="56"/>
  <c r="J48" i="56"/>
  <c r="R51" i="56"/>
  <c r="R52" i="56"/>
  <c r="R59" i="56"/>
  <c r="R60" i="56"/>
  <c r="F63" i="56"/>
  <c r="J64" i="56"/>
  <c r="R67" i="56"/>
  <c r="R68" i="56"/>
  <c r="J19" i="57"/>
  <c r="R30" i="57"/>
  <c r="J33" i="57"/>
  <c r="R34" i="57"/>
  <c r="J37" i="57"/>
  <c r="R38" i="57"/>
  <c r="J45" i="57"/>
  <c r="F54" i="57"/>
  <c r="R66" i="57"/>
  <c r="R67" i="57"/>
  <c r="J19" i="58"/>
  <c r="J33" i="58"/>
  <c r="R34" i="58"/>
  <c r="J37" i="58"/>
  <c r="R38" i="58"/>
  <c r="F41" i="58"/>
  <c r="F42" i="58"/>
  <c r="J43" i="58"/>
  <c r="R46" i="58"/>
  <c r="R47" i="58"/>
  <c r="F53" i="58"/>
  <c r="F54" i="58"/>
  <c r="J55" i="58"/>
  <c r="F61" i="58"/>
  <c r="F62" i="58"/>
  <c r="J63" i="58"/>
  <c r="F69" i="58"/>
  <c r="F70" i="58"/>
  <c r="J71" i="58"/>
  <c r="D16" i="59"/>
  <c r="R22" i="59"/>
  <c r="R26" i="59"/>
  <c r="F34" i="59"/>
  <c r="F38" i="59"/>
  <c r="V41" i="59"/>
  <c r="F45" i="59"/>
  <c r="F46" i="59"/>
  <c r="R50" i="59"/>
  <c r="V57" i="59"/>
  <c r="F61" i="59"/>
  <c r="F62" i="59"/>
  <c r="V65" i="59"/>
  <c r="F73" i="59"/>
  <c r="Z46" i="60"/>
  <c r="R46" i="61"/>
  <c r="R45" i="61"/>
  <c r="R37" i="61"/>
  <c r="R33" i="61"/>
  <c r="R18" i="61"/>
  <c r="R16" i="61"/>
  <c r="R14" i="61"/>
  <c r="R56" i="61"/>
  <c r="R29" i="61"/>
  <c r="R28" i="61"/>
  <c r="R24" i="61"/>
  <c r="R20" i="61"/>
  <c r="P16" i="61"/>
  <c r="R60" i="61"/>
  <c r="R58" i="61"/>
  <c r="R48" i="61"/>
  <c r="R47" i="61"/>
  <c r="R38" i="61"/>
  <c r="R34" i="61"/>
  <c r="R30" i="61"/>
  <c r="R49" i="61"/>
  <c r="R25" i="61"/>
  <c r="R21" i="61"/>
  <c r="R62" i="61"/>
  <c r="R67" i="61"/>
  <c r="R64" i="61"/>
  <c r="R40" i="61"/>
  <c r="R39" i="61"/>
  <c r="R35" i="61"/>
  <c r="R31" i="61"/>
  <c r="R51" i="61"/>
  <c r="R50" i="61"/>
  <c r="R26" i="61"/>
  <c r="R42" i="61"/>
  <c r="R41" i="61"/>
  <c r="V16" i="61"/>
  <c r="R27" i="61"/>
  <c r="R36" i="61"/>
  <c r="R52" i="61"/>
  <c r="N18" i="64"/>
  <c r="R28" i="64"/>
  <c r="N50" i="64"/>
  <c r="N62" i="64"/>
  <c r="L44" i="68"/>
  <c r="N44" i="68" s="1"/>
  <c r="R72" i="71"/>
  <c r="X96" i="71"/>
  <c r="Z96" i="71" s="1"/>
  <c r="J26" i="55"/>
  <c r="R27" i="55"/>
  <c r="H16" i="56"/>
  <c r="F19" i="56"/>
  <c r="F20" i="56"/>
  <c r="F24" i="56"/>
  <c r="F28" i="56"/>
  <c r="J29" i="56"/>
  <c r="V31" i="56"/>
  <c r="V35" i="56"/>
  <c r="V39" i="56"/>
  <c r="J47" i="56"/>
  <c r="V51" i="56"/>
  <c r="F55" i="56"/>
  <c r="F56" i="56"/>
  <c r="V59" i="56"/>
  <c r="J63" i="56"/>
  <c r="V67" i="56"/>
  <c r="J77" i="56"/>
  <c r="J80" i="56"/>
  <c r="F23" i="57"/>
  <c r="F27" i="57"/>
  <c r="F42" i="57"/>
  <c r="F43" i="57"/>
  <c r="J44" i="57"/>
  <c r="R47" i="57"/>
  <c r="R48" i="57"/>
  <c r="J54" i="57"/>
  <c r="R55" i="57"/>
  <c r="R56" i="57"/>
  <c r="F62" i="57"/>
  <c r="F63" i="57"/>
  <c r="J76" i="57"/>
  <c r="J79" i="57"/>
  <c r="J42" i="58"/>
  <c r="J54" i="58"/>
  <c r="J62" i="58"/>
  <c r="J70" i="58"/>
  <c r="R74" i="58"/>
  <c r="R76" i="58"/>
  <c r="R31" i="59"/>
  <c r="R35" i="59"/>
  <c r="R39" i="59"/>
  <c r="V50" i="59"/>
  <c r="R55" i="59"/>
  <c r="R56" i="59"/>
  <c r="V58" i="59"/>
  <c r="F52" i="60"/>
  <c r="V60" i="61"/>
  <c r="V58" i="61"/>
  <c r="V56" i="61"/>
  <c r="V48" i="61"/>
  <c r="V28" i="61"/>
  <c r="V24" i="61"/>
  <c r="V20" i="61"/>
  <c r="V47" i="61"/>
  <c r="V38" i="61"/>
  <c r="V34" i="61"/>
  <c r="V30" i="61"/>
  <c r="V49" i="61"/>
  <c r="V25" i="61"/>
  <c r="V21" i="61"/>
  <c r="V67" i="61"/>
  <c r="V64" i="61"/>
  <c r="V62" i="61"/>
  <c r="V40" i="61"/>
  <c r="V51" i="61"/>
  <c r="V39" i="61"/>
  <c r="V35" i="61"/>
  <c r="V31" i="61"/>
  <c r="V50" i="61"/>
  <c r="V42" i="61"/>
  <c r="V26" i="61"/>
  <c r="V22" i="61"/>
  <c r="V53" i="61"/>
  <c r="V41" i="61"/>
  <c r="V52" i="61"/>
  <c r="V44" i="61"/>
  <c r="V36" i="61"/>
  <c r="V32" i="61"/>
  <c r="Z12" i="61"/>
  <c r="V27" i="61"/>
  <c r="R52" i="64"/>
  <c r="R72" i="64"/>
  <c r="H59" i="68"/>
  <c r="N16" i="68"/>
  <c r="X12" i="55"/>
  <c r="F23" i="55"/>
  <c r="F24" i="55"/>
  <c r="J25" i="55"/>
  <c r="F35" i="55"/>
  <c r="F38" i="55"/>
  <c r="J14" i="56"/>
  <c r="J16" i="56"/>
  <c r="J18" i="56"/>
  <c r="J20" i="56"/>
  <c r="R21" i="56"/>
  <c r="J24" i="56"/>
  <c r="R25" i="56"/>
  <c r="J28" i="56"/>
  <c r="F33" i="56"/>
  <c r="F37" i="56"/>
  <c r="V40" i="56"/>
  <c r="F44" i="56"/>
  <c r="F45" i="56"/>
  <c r="J46" i="56"/>
  <c r="R49" i="56"/>
  <c r="R50" i="56"/>
  <c r="V52" i="56"/>
  <c r="J56" i="56"/>
  <c r="R57" i="56"/>
  <c r="R58" i="56"/>
  <c r="V60" i="56"/>
  <c r="R65" i="56"/>
  <c r="R66" i="56"/>
  <c r="V68" i="56"/>
  <c r="F75" i="56"/>
  <c r="P16" i="57"/>
  <c r="R20" i="57"/>
  <c r="R24" i="57"/>
  <c r="J27" i="57"/>
  <c r="R28" i="57"/>
  <c r="R29" i="57"/>
  <c r="F32" i="57"/>
  <c r="F36" i="57"/>
  <c r="J43" i="57"/>
  <c r="J63" i="57"/>
  <c r="R64" i="57"/>
  <c r="R65" i="57"/>
  <c r="F74" i="57"/>
  <c r="R20" i="58"/>
  <c r="J23" i="58"/>
  <c r="R24" i="58"/>
  <c r="J27" i="58"/>
  <c r="R28" i="58"/>
  <c r="F32" i="58"/>
  <c r="F36" i="58"/>
  <c r="F40" i="58"/>
  <c r="J41" i="58"/>
  <c r="R44" i="58"/>
  <c r="R45" i="58"/>
  <c r="F51" i="58"/>
  <c r="F52" i="58"/>
  <c r="J53" i="58"/>
  <c r="R56" i="58"/>
  <c r="F60" i="58"/>
  <c r="J61" i="58"/>
  <c r="R64" i="58"/>
  <c r="F67" i="58"/>
  <c r="F68" i="58"/>
  <c r="J69" i="58"/>
  <c r="R72" i="58"/>
  <c r="F19" i="59"/>
  <c r="F20" i="59"/>
  <c r="F24" i="59"/>
  <c r="F28" i="59"/>
  <c r="V31" i="59"/>
  <c r="V35" i="59"/>
  <c r="V39" i="59"/>
  <c r="F43" i="59"/>
  <c r="F44" i="59"/>
  <c r="R48" i="59"/>
  <c r="R49" i="59"/>
  <c r="F52" i="59"/>
  <c r="V55" i="59"/>
  <c r="F60" i="59"/>
  <c r="R64" i="59"/>
  <c r="L18" i="60"/>
  <c r="N18" i="60" s="1"/>
  <c r="N40" i="60"/>
  <c r="Z48" i="60"/>
  <c r="X12" i="61"/>
  <c r="L18" i="61"/>
  <c r="N18" i="61" s="1"/>
  <c r="R19" i="61"/>
  <c r="V23" i="61"/>
  <c r="R92" i="64"/>
  <c r="R91" i="64"/>
  <c r="R79" i="64"/>
  <c r="R64" i="64"/>
  <c r="R63" i="64"/>
  <c r="R47" i="64"/>
  <c r="R54" i="64"/>
  <c r="R38" i="64"/>
  <c r="R34" i="64"/>
  <c r="R30" i="64"/>
  <c r="R105" i="64"/>
  <c r="R93" i="64"/>
  <c r="R85" i="64"/>
  <c r="R74" i="64"/>
  <c r="R73" i="64"/>
  <c r="R66" i="64"/>
  <c r="R65" i="64"/>
  <c r="R25" i="64"/>
  <c r="R21" i="64"/>
  <c r="R110" i="64"/>
  <c r="R107" i="64"/>
  <c r="R81" i="64"/>
  <c r="R80" i="64"/>
  <c r="R48" i="64"/>
  <c r="R75" i="64"/>
  <c r="R68" i="64"/>
  <c r="R67" i="64"/>
  <c r="R56" i="64"/>
  <c r="R55" i="64"/>
  <c r="R40" i="64"/>
  <c r="R39" i="64"/>
  <c r="R35" i="64"/>
  <c r="R31" i="64"/>
  <c r="R95" i="64"/>
  <c r="R94" i="64"/>
  <c r="R86" i="64"/>
  <c r="R82" i="64"/>
  <c r="R26" i="64"/>
  <c r="R22" i="64"/>
  <c r="R70" i="64"/>
  <c r="R69" i="64"/>
  <c r="R58" i="64"/>
  <c r="R57" i="64"/>
  <c r="R50" i="64"/>
  <c r="R49" i="64"/>
  <c r="R42" i="64"/>
  <c r="R41" i="64"/>
  <c r="R96" i="64"/>
  <c r="R76" i="64"/>
  <c r="R36" i="64"/>
  <c r="R32" i="64"/>
  <c r="X12" i="64"/>
  <c r="R99" i="64"/>
  <c r="R98" i="64"/>
  <c r="R88" i="64"/>
  <c r="R87" i="64"/>
  <c r="R83" i="64"/>
  <c r="R71" i="64"/>
  <c r="R60" i="64"/>
  <c r="R59" i="64"/>
  <c r="R51" i="64"/>
  <c r="R44" i="64"/>
  <c r="R43" i="64"/>
  <c r="R27" i="64"/>
  <c r="R23" i="64"/>
  <c r="R100" i="64"/>
  <c r="R19" i="64"/>
  <c r="R18" i="64"/>
  <c r="R24" i="64"/>
  <c r="N42" i="64"/>
  <c r="Z56" i="64"/>
  <c r="Z58" i="64"/>
  <c r="R62" i="64"/>
  <c r="Z68" i="64"/>
  <c r="Z70" i="64"/>
  <c r="N78" i="64"/>
  <c r="J24" i="55"/>
  <c r="J19" i="56"/>
  <c r="V21" i="56"/>
  <c r="V25" i="56"/>
  <c r="R30" i="56"/>
  <c r="J33" i="56"/>
  <c r="R34" i="56"/>
  <c r="J37" i="56"/>
  <c r="R38" i="56"/>
  <c r="J45" i="56"/>
  <c r="V49" i="56"/>
  <c r="F54" i="56"/>
  <c r="J55" i="56"/>
  <c r="V57" i="56"/>
  <c r="F62" i="56"/>
  <c r="V65" i="56"/>
  <c r="F71" i="56"/>
  <c r="F73" i="56"/>
  <c r="J75" i="56"/>
  <c r="N12" i="57"/>
  <c r="R14" i="57"/>
  <c r="R16" i="57"/>
  <c r="R18" i="57"/>
  <c r="J32" i="57"/>
  <c r="R33" i="57"/>
  <c r="J36" i="57"/>
  <c r="R37" i="57"/>
  <c r="F40" i="57"/>
  <c r="F41" i="57"/>
  <c r="J42" i="57"/>
  <c r="R45" i="57"/>
  <c r="R46" i="57"/>
  <c r="F52" i="57"/>
  <c r="F53" i="57"/>
  <c r="F60" i="57"/>
  <c r="F61" i="57"/>
  <c r="J62" i="57"/>
  <c r="F70" i="57"/>
  <c r="J74" i="57"/>
  <c r="N12" i="58"/>
  <c r="R14" i="58"/>
  <c r="R16" i="58"/>
  <c r="R18" i="58"/>
  <c r="J32" i="58"/>
  <c r="R33" i="58"/>
  <c r="J36" i="58"/>
  <c r="R37" i="58"/>
  <c r="J40" i="58"/>
  <c r="J52" i="58"/>
  <c r="J60" i="58"/>
  <c r="J68" i="58"/>
  <c r="F80" i="58"/>
  <c r="F83" i="58"/>
  <c r="R21" i="59"/>
  <c r="R25" i="59"/>
  <c r="R29" i="59"/>
  <c r="R30" i="59"/>
  <c r="F33" i="59"/>
  <c r="V48" i="59"/>
  <c r="R53" i="59"/>
  <c r="R54" i="59"/>
  <c r="V56" i="59"/>
  <c r="V64" i="59"/>
  <c r="V69" i="59"/>
  <c r="F58" i="60"/>
  <c r="F56" i="60"/>
  <c r="F47" i="60"/>
  <c r="F46" i="60"/>
  <c r="F18" i="60"/>
  <c r="F16" i="60"/>
  <c r="F14" i="60"/>
  <c r="F60" i="60"/>
  <c r="F38" i="60"/>
  <c r="F34" i="60"/>
  <c r="F30" i="60"/>
  <c r="F29" i="60"/>
  <c r="F49" i="60"/>
  <c r="F48" i="60"/>
  <c r="F25" i="60"/>
  <c r="F21" i="60"/>
  <c r="F65" i="60"/>
  <c r="F62" i="60"/>
  <c r="F51" i="60"/>
  <c r="F50" i="60"/>
  <c r="F39" i="60"/>
  <c r="F35" i="60"/>
  <c r="F31" i="60"/>
  <c r="F41" i="60"/>
  <c r="F40" i="60"/>
  <c r="F43" i="60"/>
  <c r="F42" i="60"/>
  <c r="F27" i="60"/>
  <c r="F23" i="60"/>
  <c r="F33" i="60"/>
  <c r="N42" i="60"/>
  <c r="L40" i="61"/>
  <c r="N40" i="61" s="1"/>
  <c r="Z18" i="64"/>
  <c r="R84" i="64"/>
  <c r="N95" i="64"/>
  <c r="L95" i="64"/>
  <c r="F21" i="55"/>
  <c r="J23" i="55"/>
  <c r="J35" i="55"/>
  <c r="F23" i="56"/>
  <c r="F27" i="56"/>
  <c r="V30" i="56"/>
  <c r="V34" i="56"/>
  <c r="V38" i="56"/>
  <c r="F42" i="56"/>
  <c r="J44" i="56"/>
  <c r="R47" i="56"/>
  <c r="R48" i="56"/>
  <c r="V50" i="56"/>
  <c r="J54" i="56"/>
  <c r="V58" i="56"/>
  <c r="R63" i="56"/>
  <c r="R19" i="57"/>
  <c r="J41" i="57"/>
  <c r="J53" i="57"/>
  <c r="R19" i="58"/>
  <c r="F22" i="58"/>
  <c r="F26" i="58"/>
  <c r="R42" i="58"/>
  <c r="R43" i="58"/>
  <c r="F49" i="58"/>
  <c r="F50" i="58"/>
  <c r="J51" i="58"/>
  <c r="R54" i="58"/>
  <c r="R55" i="58"/>
  <c r="R62" i="58"/>
  <c r="R63" i="58"/>
  <c r="R70" i="58"/>
  <c r="F69" i="59"/>
  <c r="F67" i="59"/>
  <c r="V21" i="59"/>
  <c r="V25" i="59"/>
  <c r="V29" i="59"/>
  <c r="R34" i="59"/>
  <c r="R38" i="59"/>
  <c r="F41" i="59"/>
  <c r="F42" i="59"/>
  <c r="R46" i="59"/>
  <c r="R47" i="59"/>
  <c r="V49" i="59"/>
  <c r="V53" i="59"/>
  <c r="R62" i="59"/>
  <c r="R63" i="59"/>
  <c r="Z18" i="60"/>
  <c r="F28" i="60"/>
  <c r="Z40" i="60"/>
  <c r="Z50" i="60"/>
  <c r="V19" i="61"/>
  <c r="N44" i="61"/>
  <c r="N46" i="61"/>
  <c r="R20" i="64"/>
  <c r="R78" i="64"/>
  <c r="X100" i="64"/>
  <c r="Z100" i="64" s="1"/>
  <c r="P98" i="64"/>
  <c r="X98" i="64" s="1"/>
  <c r="Z98" i="64" s="1"/>
  <c r="N87" i="69"/>
  <c r="X113" i="71"/>
  <c r="Z113" i="71" s="1"/>
  <c r="P110" i="71"/>
  <c r="X110" i="71" s="1"/>
  <c r="Z110" i="71" s="1"/>
  <c r="F22" i="64"/>
  <c r="F26" i="64"/>
  <c r="V29" i="64"/>
  <c r="V33" i="64"/>
  <c r="V37" i="64"/>
  <c r="J41" i="64"/>
  <c r="V45" i="64"/>
  <c r="J49" i="64"/>
  <c r="V53" i="64"/>
  <c r="J57" i="64"/>
  <c r="V61" i="64"/>
  <c r="J69" i="64"/>
  <c r="V77" i="64"/>
  <c r="F81" i="64"/>
  <c r="F82" i="64"/>
  <c r="F86" i="64"/>
  <c r="V89" i="64"/>
  <c r="F94" i="64"/>
  <c r="J95" i="64"/>
  <c r="V101" i="64"/>
  <c r="V103" i="64"/>
  <c r="F107" i="64"/>
  <c r="F110" i="64"/>
  <c r="L16" i="68"/>
  <c r="R21" i="68"/>
  <c r="F36" i="68"/>
  <c r="R38" i="68"/>
  <c r="Z40" i="68"/>
  <c r="J46" i="68"/>
  <c r="P12" i="69"/>
  <c r="Z100" i="69"/>
  <c r="N24" i="70"/>
  <c r="F43" i="70"/>
  <c r="X54" i="70"/>
  <c r="Z58" i="70"/>
  <c r="V30" i="60"/>
  <c r="V34" i="60"/>
  <c r="V38" i="60"/>
  <c r="J44" i="60"/>
  <c r="V50" i="60"/>
  <c r="J54" i="60"/>
  <c r="V60" i="60"/>
  <c r="V62" i="60"/>
  <c r="V65" i="60"/>
  <c r="F21" i="61"/>
  <c r="F25" i="61"/>
  <c r="F48" i="61"/>
  <c r="F49" i="61"/>
  <c r="F58" i="61"/>
  <c r="F60" i="61"/>
  <c r="J62" i="61"/>
  <c r="V14" i="64"/>
  <c r="V16" i="64"/>
  <c r="V18" i="64"/>
  <c r="F31" i="64"/>
  <c r="F35" i="64"/>
  <c r="F39" i="64"/>
  <c r="J40" i="64"/>
  <c r="V46" i="64"/>
  <c r="F55" i="64"/>
  <c r="J56" i="64"/>
  <c r="V62" i="64"/>
  <c r="F66" i="64"/>
  <c r="F67" i="64"/>
  <c r="J68" i="64"/>
  <c r="F74" i="64"/>
  <c r="F75" i="64"/>
  <c r="V78" i="64"/>
  <c r="J82" i="64"/>
  <c r="J86" i="64"/>
  <c r="V90" i="64"/>
  <c r="J94" i="64"/>
  <c r="V100" i="64"/>
  <c r="X16" i="68"/>
  <c r="F39" i="70"/>
  <c r="D12" i="71"/>
  <c r="L56" i="71"/>
  <c r="Z85" i="71"/>
  <c r="N91" i="71"/>
  <c r="V87" i="64"/>
  <c r="V99" i="64"/>
  <c r="J107" i="64"/>
  <c r="J110" i="64"/>
  <c r="Z16" i="68"/>
  <c r="T59" i="68"/>
  <c r="F53" i="70"/>
  <c r="F52" i="70"/>
  <c r="F24" i="70"/>
  <c r="F22" i="70"/>
  <c r="F64" i="70"/>
  <c r="F63" i="70"/>
  <c r="F44" i="70"/>
  <c r="F40" i="70"/>
  <c r="F36" i="70"/>
  <c r="F35" i="70"/>
  <c r="D22" i="70"/>
  <c r="F72" i="70"/>
  <c r="F55" i="70"/>
  <c r="F54" i="70"/>
  <c r="F31" i="70"/>
  <c r="F27" i="70"/>
  <c r="F76" i="70"/>
  <c r="F18" i="70"/>
  <c r="F17" i="70"/>
  <c r="F65" i="70"/>
  <c r="F57" i="70"/>
  <c r="F56" i="70"/>
  <c r="F45" i="70"/>
  <c r="F41" i="70"/>
  <c r="F37" i="70"/>
  <c r="F32" i="70"/>
  <c r="F28" i="70"/>
  <c r="F59" i="70"/>
  <c r="F58" i="70"/>
  <c r="F47" i="70"/>
  <c r="F46" i="70"/>
  <c r="F19" i="70"/>
  <c r="F61" i="70"/>
  <c r="F60" i="70"/>
  <c r="F49" i="70"/>
  <c r="F48" i="70"/>
  <c r="F33" i="70"/>
  <c r="F29" i="70"/>
  <c r="F70" i="70"/>
  <c r="F69" i="70"/>
  <c r="F62" i="70"/>
  <c r="F34" i="70"/>
  <c r="F30" i="70"/>
  <c r="F26" i="70"/>
  <c r="F25" i="70"/>
  <c r="F20" i="70"/>
  <c r="N56" i="71"/>
  <c r="X14" i="73"/>
  <c r="P12" i="73"/>
  <c r="Z57" i="73"/>
  <c r="X57" i="73"/>
  <c r="N12" i="60"/>
  <c r="V20" i="60"/>
  <c r="V24" i="60"/>
  <c r="V28" i="60"/>
  <c r="J32" i="60"/>
  <c r="J36" i="60"/>
  <c r="J42" i="60"/>
  <c r="V48" i="60"/>
  <c r="J52" i="60"/>
  <c r="F14" i="61"/>
  <c r="F16" i="61"/>
  <c r="F18" i="61"/>
  <c r="J30" i="61"/>
  <c r="J34" i="61"/>
  <c r="J38" i="61"/>
  <c r="F46" i="61"/>
  <c r="F47" i="61"/>
  <c r="J48" i="61"/>
  <c r="J58" i="61"/>
  <c r="J60" i="61"/>
  <c r="Z12" i="64"/>
  <c r="F21" i="64"/>
  <c r="F25" i="64"/>
  <c r="V32" i="64"/>
  <c r="V36" i="64"/>
  <c r="V44" i="64"/>
  <c r="J48" i="64"/>
  <c r="V60" i="64"/>
  <c r="F64" i="64"/>
  <c r="F65" i="64"/>
  <c r="J66" i="64"/>
  <c r="F73" i="64"/>
  <c r="J74" i="64"/>
  <c r="V76" i="64"/>
  <c r="J80" i="64"/>
  <c r="F85" i="64"/>
  <c r="V88" i="64"/>
  <c r="F92" i="64"/>
  <c r="F93" i="64"/>
  <c r="V96" i="64"/>
  <c r="V98" i="64"/>
  <c r="F105" i="64"/>
  <c r="R34" i="68"/>
  <c r="Z46" i="68"/>
  <c r="X48" i="68"/>
  <c r="Z48" i="68" s="1"/>
  <c r="Z54" i="68"/>
  <c r="N59" i="69"/>
  <c r="L69" i="69"/>
  <c r="Z89" i="69"/>
  <c r="X91" i="69"/>
  <c r="J74" i="70"/>
  <c r="X56" i="70"/>
  <c r="Z56" i="70" s="1"/>
  <c r="L69" i="70"/>
  <c r="N69" i="70" s="1"/>
  <c r="L80" i="71"/>
  <c r="N80" i="71" s="1"/>
  <c r="L20" i="73"/>
  <c r="N20" i="73" s="1"/>
  <c r="F55" i="61"/>
  <c r="F56" i="61"/>
  <c r="D16" i="64"/>
  <c r="V41" i="64"/>
  <c r="X44" i="64"/>
  <c r="Z44" i="64" s="1"/>
  <c r="V49" i="64"/>
  <c r="F53" i="64"/>
  <c r="F54" i="64"/>
  <c r="V57" i="64"/>
  <c r="X60" i="64"/>
  <c r="Z60" i="64" s="1"/>
  <c r="J65" i="64"/>
  <c r="L66" i="64"/>
  <c r="N66" i="64" s="1"/>
  <c r="V69" i="64"/>
  <c r="J73" i="64"/>
  <c r="L74" i="64"/>
  <c r="N74" i="64" s="1"/>
  <c r="J85" i="64"/>
  <c r="X88" i="64"/>
  <c r="Z88" i="64" s="1"/>
  <c r="J93" i="64"/>
  <c r="F103" i="64"/>
  <c r="J105" i="64"/>
  <c r="F55" i="68"/>
  <c r="F54" i="68"/>
  <c r="F47" i="68"/>
  <c r="F46" i="68"/>
  <c r="F38" i="68"/>
  <c r="F34" i="68"/>
  <c r="F30" i="68"/>
  <c r="F29" i="68"/>
  <c r="F49" i="68"/>
  <c r="F48" i="68"/>
  <c r="F25" i="68"/>
  <c r="F21" i="68"/>
  <c r="F59" i="68"/>
  <c r="F57" i="68"/>
  <c r="F61" i="68"/>
  <c r="F51" i="68"/>
  <c r="F50" i="68"/>
  <c r="F39" i="68"/>
  <c r="F35" i="68"/>
  <c r="F31" i="68"/>
  <c r="F26" i="68"/>
  <c r="F22" i="68"/>
  <c r="F41" i="68"/>
  <c r="F40" i="68"/>
  <c r="F43" i="68"/>
  <c r="F42" i="68"/>
  <c r="F27" i="68"/>
  <c r="F23" i="68"/>
  <c r="F28" i="68"/>
  <c r="F24" i="68"/>
  <c r="F20" i="68"/>
  <c r="F19" i="68"/>
  <c r="L14" i="68"/>
  <c r="F18" i="68"/>
  <c r="R28" i="68"/>
  <c r="F37" i="68"/>
  <c r="F45" i="68"/>
  <c r="R50" i="68"/>
  <c r="F53" i="68"/>
  <c r="P59" i="68"/>
  <c r="N69" i="69"/>
  <c r="Z91" i="69"/>
  <c r="Z95" i="69"/>
  <c r="L12" i="70"/>
  <c r="F67" i="70"/>
  <c r="V14" i="60"/>
  <c r="V16" i="60"/>
  <c r="V18" i="60"/>
  <c r="J22" i="60"/>
  <c r="J26" i="60"/>
  <c r="J40" i="60"/>
  <c r="V46" i="60"/>
  <c r="V54" i="60"/>
  <c r="V56" i="60"/>
  <c r="V58" i="60"/>
  <c r="J14" i="61"/>
  <c r="J16" i="61"/>
  <c r="J18" i="61"/>
  <c r="J20" i="61"/>
  <c r="J24" i="61"/>
  <c r="J28" i="61"/>
  <c r="F33" i="61"/>
  <c r="F37" i="61"/>
  <c r="F44" i="61"/>
  <c r="F45" i="61"/>
  <c r="J46" i="61"/>
  <c r="J56" i="61"/>
  <c r="F14" i="64"/>
  <c r="F16" i="64"/>
  <c r="F18" i="64"/>
  <c r="V22" i="64"/>
  <c r="V26" i="64"/>
  <c r="J30" i="64"/>
  <c r="J34" i="64"/>
  <c r="J38" i="64"/>
  <c r="V42" i="64"/>
  <c r="F46" i="64"/>
  <c r="F47" i="64"/>
  <c r="V50" i="64"/>
  <c r="J54" i="64"/>
  <c r="V58" i="64"/>
  <c r="F62" i="64"/>
  <c r="F63" i="64"/>
  <c r="J64" i="64"/>
  <c r="V70" i="64"/>
  <c r="F78" i="64"/>
  <c r="F79" i="64"/>
  <c r="V82" i="64"/>
  <c r="V86" i="64"/>
  <c r="F90" i="64"/>
  <c r="F91" i="64"/>
  <c r="J92" i="64"/>
  <c r="V94" i="64"/>
  <c r="J48" i="68"/>
  <c r="J38" i="68"/>
  <c r="J34" i="68"/>
  <c r="J30" i="68"/>
  <c r="J59" i="68"/>
  <c r="J57" i="68"/>
  <c r="J49" i="68"/>
  <c r="J25" i="68"/>
  <c r="J21" i="68"/>
  <c r="J50" i="68"/>
  <c r="J61" i="68"/>
  <c r="J51" i="68"/>
  <c r="J39" i="68"/>
  <c r="J35" i="68"/>
  <c r="J31" i="68"/>
  <c r="J40" i="68"/>
  <c r="J26" i="68"/>
  <c r="J22" i="68"/>
  <c r="J66" i="68"/>
  <c r="J63" i="68"/>
  <c r="J41" i="68"/>
  <c r="J52" i="68"/>
  <c r="J42" i="68"/>
  <c r="J36" i="68"/>
  <c r="J32" i="68"/>
  <c r="J44" i="68"/>
  <c r="J55" i="68"/>
  <c r="J47" i="68"/>
  <c r="J29" i="68"/>
  <c r="X14" i="68"/>
  <c r="N18" i="68"/>
  <c r="R24" i="68"/>
  <c r="J37" i="68"/>
  <c r="J45" i="68"/>
  <c r="Z50" i="68"/>
  <c r="J53" i="68"/>
  <c r="R59" i="68"/>
  <c r="Z59" i="69"/>
  <c r="X84" i="69"/>
  <c r="Z84" i="69" s="1"/>
  <c r="Z93" i="69"/>
  <c r="L98" i="69"/>
  <c r="N98" i="69" s="1"/>
  <c r="X72" i="70"/>
  <c r="V27" i="60"/>
  <c r="J31" i="60"/>
  <c r="J35" i="60"/>
  <c r="J39" i="60"/>
  <c r="V43" i="60"/>
  <c r="J51" i="60"/>
  <c r="J45" i="61"/>
  <c r="F53" i="61"/>
  <c r="F54" i="61"/>
  <c r="J55" i="61"/>
  <c r="H16" i="64"/>
  <c r="F24" i="64"/>
  <c r="F28" i="64"/>
  <c r="V31" i="64"/>
  <c r="V35" i="64"/>
  <c r="V39" i="64"/>
  <c r="J47" i="64"/>
  <c r="F52" i="64"/>
  <c r="J53" i="64"/>
  <c r="V55" i="64"/>
  <c r="J63" i="64"/>
  <c r="V67" i="64"/>
  <c r="F72" i="64"/>
  <c r="V75" i="64"/>
  <c r="J79" i="64"/>
  <c r="F84" i="64"/>
  <c r="J91" i="64"/>
  <c r="V95" i="64"/>
  <c r="F101" i="64"/>
  <c r="J103" i="64"/>
  <c r="L12" i="68"/>
  <c r="R14" i="68"/>
  <c r="Z12" i="60"/>
  <c r="X19" i="60"/>
  <c r="Z19" i="60" s="1"/>
  <c r="V32" i="60"/>
  <c r="V36" i="60"/>
  <c r="V44" i="60"/>
  <c r="J50" i="60"/>
  <c r="V52" i="60"/>
  <c r="J62" i="60"/>
  <c r="J65" i="60"/>
  <c r="F23" i="61"/>
  <c r="F27" i="61"/>
  <c r="F42" i="61"/>
  <c r="F43" i="61"/>
  <c r="J44" i="61"/>
  <c r="J54" i="61"/>
  <c r="J14" i="64"/>
  <c r="J16" i="64"/>
  <c r="J18" i="64"/>
  <c r="J20" i="64"/>
  <c r="J24" i="64"/>
  <c r="J28" i="64"/>
  <c r="F33" i="64"/>
  <c r="F37" i="64"/>
  <c r="V40" i="64"/>
  <c r="F44" i="64"/>
  <c r="F45" i="64"/>
  <c r="J46" i="64"/>
  <c r="V48" i="64"/>
  <c r="J52" i="64"/>
  <c r="V56" i="64"/>
  <c r="F60" i="64"/>
  <c r="F61" i="64"/>
  <c r="J62" i="64"/>
  <c r="V68" i="64"/>
  <c r="J72" i="64"/>
  <c r="F77" i="64"/>
  <c r="J78" i="64"/>
  <c r="V80" i="64"/>
  <c r="J84" i="64"/>
  <c r="F88" i="64"/>
  <c r="F89" i="64"/>
  <c r="J90" i="64"/>
  <c r="F98" i="64"/>
  <c r="F100" i="64"/>
  <c r="J101" i="64"/>
  <c r="F33" i="68"/>
  <c r="V84" i="69"/>
  <c r="J98" i="69"/>
  <c r="H81" i="70"/>
  <c r="J81" i="70" s="1"/>
  <c r="F38" i="70"/>
  <c r="F42" i="70"/>
  <c r="F50" i="70"/>
  <c r="Z37" i="71"/>
  <c r="N96" i="71"/>
  <c r="Z102" i="71"/>
  <c r="D22" i="72"/>
  <c r="J21" i="60"/>
  <c r="J25" i="60"/>
  <c r="V41" i="60"/>
  <c r="J49" i="60"/>
  <c r="V53" i="60"/>
  <c r="L12" i="61"/>
  <c r="J23" i="61"/>
  <c r="J27" i="61"/>
  <c r="F32" i="61"/>
  <c r="F36" i="61"/>
  <c r="J43" i="61"/>
  <c r="F51" i="61"/>
  <c r="F52" i="61"/>
  <c r="J53" i="61"/>
  <c r="V21" i="64"/>
  <c r="V25" i="64"/>
  <c r="J33" i="64"/>
  <c r="J37" i="64"/>
  <c r="J45" i="64"/>
  <c r="J61" i="64"/>
  <c r="V65" i="64"/>
  <c r="V73" i="64"/>
  <c r="J77" i="64"/>
  <c r="V81" i="64"/>
  <c r="V85" i="64"/>
  <c r="J89" i="64"/>
  <c r="V93" i="64"/>
  <c r="F99" i="64"/>
  <c r="J100" i="64"/>
  <c r="V105" i="64"/>
  <c r="V107" i="64"/>
  <c r="V110" i="64"/>
  <c r="R61" i="68"/>
  <c r="R51" i="68"/>
  <c r="R40" i="68"/>
  <c r="R39" i="68"/>
  <c r="R35" i="68"/>
  <c r="R31" i="68"/>
  <c r="R66" i="68"/>
  <c r="R63" i="68"/>
  <c r="R26" i="68"/>
  <c r="R22" i="68"/>
  <c r="R42" i="68"/>
  <c r="R41" i="68"/>
  <c r="R52" i="68"/>
  <c r="R36" i="68"/>
  <c r="R32" i="68"/>
  <c r="R44" i="68"/>
  <c r="R43" i="68"/>
  <c r="R27" i="68"/>
  <c r="R23" i="68"/>
  <c r="R19" i="68"/>
  <c r="R54" i="68"/>
  <c r="R53" i="68"/>
  <c r="R46" i="68"/>
  <c r="R45" i="68"/>
  <c r="R37" i="68"/>
  <c r="R33" i="68"/>
  <c r="R18" i="68"/>
  <c r="R16" i="68"/>
  <c r="R55" i="68"/>
  <c r="R48" i="68"/>
  <c r="R47" i="68"/>
  <c r="L59" i="68"/>
  <c r="D63" i="68"/>
  <c r="R20" i="68"/>
  <c r="R49" i="68"/>
  <c r="N58" i="69"/>
  <c r="J25" i="70"/>
  <c r="Z63" i="70"/>
  <c r="Z69" i="70"/>
  <c r="N55" i="71"/>
  <c r="Z67" i="71"/>
  <c r="Z28" i="73"/>
  <c r="V22" i="60"/>
  <c r="V26" i="60"/>
  <c r="J30" i="60"/>
  <c r="J34" i="60"/>
  <c r="J38" i="60"/>
  <c r="J48" i="60"/>
  <c r="N12" i="61"/>
  <c r="J32" i="61"/>
  <c r="J36" i="61"/>
  <c r="F40" i="61"/>
  <c r="F41" i="61"/>
  <c r="J42" i="61"/>
  <c r="F64" i="61"/>
  <c r="F23" i="64"/>
  <c r="F27" i="64"/>
  <c r="V30" i="64"/>
  <c r="V34" i="64"/>
  <c r="V38" i="64"/>
  <c r="F42" i="64"/>
  <c r="F43" i="64"/>
  <c r="J44" i="64"/>
  <c r="F50" i="64"/>
  <c r="F51" i="64"/>
  <c r="V54" i="64"/>
  <c r="F58" i="64"/>
  <c r="F59" i="64"/>
  <c r="J60" i="64"/>
  <c r="V66" i="64"/>
  <c r="F70" i="64"/>
  <c r="F71" i="64"/>
  <c r="F83" i="64"/>
  <c r="J88" i="64"/>
  <c r="J98" i="64"/>
  <c r="F16" i="68"/>
  <c r="Z18" i="68"/>
  <c r="L42" i="68"/>
  <c r="N42" i="68" s="1"/>
  <c r="Z37" i="69"/>
  <c r="L50" i="70"/>
  <c r="N50" i="70" s="1"/>
  <c r="N60" i="70"/>
  <c r="F66" i="70"/>
  <c r="R75" i="74"/>
  <c r="R74" i="74"/>
  <c r="R70" i="74"/>
  <c r="R66" i="74"/>
  <c r="R35" i="74"/>
  <c r="X12" i="74"/>
  <c r="Z12" i="74" s="1"/>
  <c r="R85" i="74"/>
  <c r="R61" i="74"/>
  <c r="R57" i="74"/>
  <c r="R87" i="74"/>
  <c r="R77" i="74"/>
  <c r="R76" i="74"/>
  <c r="R48" i="74"/>
  <c r="R44" i="74"/>
  <c r="R40" i="74"/>
  <c r="R36" i="74"/>
  <c r="R78" i="74"/>
  <c r="R62" i="74"/>
  <c r="R58" i="74"/>
  <c r="R91" i="74"/>
  <c r="R49" i="74"/>
  <c r="R45" i="74"/>
  <c r="R41" i="74"/>
  <c r="R37" i="74"/>
  <c r="R72" i="74"/>
  <c r="R68" i="74"/>
  <c r="R80" i="74"/>
  <c r="R79" i="74"/>
  <c r="R64" i="74"/>
  <c r="R63" i="74"/>
  <c r="R59" i="74"/>
  <c r="R82" i="74"/>
  <c r="R81" i="74"/>
  <c r="R73" i="74"/>
  <c r="R69" i="74"/>
  <c r="R65" i="74"/>
  <c r="R54" i="74"/>
  <c r="R84" i="74"/>
  <c r="R83" i="74"/>
  <c r="R47" i="74"/>
  <c r="R43" i="74"/>
  <c r="R39" i="74"/>
  <c r="R67" i="74"/>
  <c r="R46" i="74"/>
  <c r="R71" i="74"/>
  <c r="R42" i="74"/>
  <c r="R56" i="74"/>
  <c r="R38" i="74"/>
  <c r="R60" i="74"/>
  <c r="R55" i="74"/>
  <c r="P52" i="74"/>
  <c r="R52" i="74" s="1"/>
  <c r="R50" i="74"/>
  <c r="V31" i="68"/>
  <c r="V35" i="68"/>
  <c r="V39" i="68"/>
  <c r="V51" i="68"/>
  <c r="V61" i="68"/>
  <c r="V63" i="68"/>
  <c r="V66" i="68"/>
  <c r="V38" i="69"/>
  <c r="V42" i="69"/>
  <c r="V46" i="69"/>
  <c r="V50" i="69"/>
  <c r="V54" i="69"/>
  <c r="V58" i="69"/>
  <c r="J62" i="69"/>
  <c r="J66" i="69"/>
  <c r="J80" i="69"/>
  <c r="J90" i="69"/>
  <c r="V94" i="69"/>
  <c r="J100" i="69"/>
  <c r="J35" i="70"/>
  <c r="V37" i="70"/>
  <c r="V41" i="70"/>
  <c r="V45" i="70"/>
  <c r="J53" i="70"/>
  <c r="V57" i="70"/>
  <c r="J63" i="70"/>
  <c r="V65" i="70"/>
  <c r="J41" i="71"/>
  <c r="J45" i="71"/>
  <c r="J49" i="71"/>
  <c r="J67" i="71"/>
  <c r="V69" i="71"/>
  <c r="V73" i="71"/>
  <c r="V77" i="71"/>
  <c r="J83" i="71"/>
  <c r="V89" i="71"/>
  <c r="V97" i="71"/>
  <c r="J101" i="71"/>
  <c r="V105" i="71"/>
  <c r="J112" i="71"/>
  <c r="V117" i="71"/>
  <c r="V71" i="73"/>
  <c r="V55" i="73"/>
  <c r="V27" i="73"/>
  <c r="V23" i="73"/>
  <c r="V66" i="73"/>
  <c r="V54" i="73"/>
  <c r="V46" i="73"/>
  <c r="V42" i="73"/>
  <c r="V38" i="73"/>
  <c r="V73" i="73"/>
  <c r="V65" i="73"/>
  <c r="V57" i="73"/>
  <c r="V37" i="73"/>
  <c r="V33" i="73"/>
  <c r="V29" i="73"/>
  <c r="V75" i="73"/>
  <c r="V67" i="73"/>
  <c r="V59" i="73"/>
  <c r="V47" i="73"/>
  <c r="V43" i="73"/>
  <c r="V39" i="73"/>
  <c r="V74" i="73"/>
  <c r="V58" i="73"/>
  <c r="V34" i="73"/>
  <c r="V30" i="73"/>
  <c r="V69" i="73"/>
  <c r="V61" i="73"/>
  <c r="V49" i="73"/>
  <c r="V21" i="73"/>
  <c r="V78" i="73"/>
  <c r="V76" i="73"/>
  <c r="V70" i="73"/>
  <c r="V62" i="73"/>
  <c r="V50" i="73"/>
  <c r="V82" i="73"/>
  <c r="V64" i="73"/>
  <c r="V52" i="73"/>
  <c r="V36" i="73"/>
  <c r="V32" i="73"/>
  <c r="V28" i="73"/>
  <c r="J73" i="73"/>
  <c r="J75" i="73"/>
  <c r="F74" i="76"/>
  <c r="F66" i="76"/>
  <c r="F65" i="76"/>
  <c r="F54" i="76"/>
  <c r="F53" i="76"/>
  <c r="F82" i="76"/>
  <c r="F49" i="76"/>
  <c r="F45" i="76"/>
  <c r="F83" i="76"/>
  <c r="F81" i="76"/>
  <c r="F68" i="76"/>
  <c r="F67" i="76"/>
  <c r="F56" i="76"/>
  <c r="F55" i="76"/>
  <c r="F40" i="76"/>
  <c r="F36" i="76"/>
  <c r="F75" i="76"/>
  <c r="F70" i="76"/>
  <c r="F69" i="76"/>
  <c r="F58" i="76"/>
  <c r="F57" i="76"/>
  <c r="F50" i="76"/>
  <c r="F46" i="76"/>
  <c r="F87" i="76"/>
  <c r="F41" i="76"/>
  <c r="F37" i="76"/>
  <c r="F33" i="76"/>
  <c r="F32" i="76"/>
  <c r="F76" i="76"/>
  <c r="F60" i="76"/>
  <c r="F59" i="76"/>
  <c r="F31" i="76"/>
  <c r="F27" i="76"/>
  <c r="F71" i="76"/>
  <c r="F51" i="76"/>
  <c r="F47" i="76"/>
  <c r="F43" i="76"/>
  <c r="F42" i="76"/>
  <c r="D29" i="76"/>
  <c r="F29" i="76" s="1"/>
  <c r="F78" i="76"/>
  <c r="F77" i="76"/>
  <c r="F62" i="76"/>
  <c r="F61" i="76"/>
  <c r="F38" i="76"/>
  <c r="F34" i="76"/>
  <c r="L12" i="76"/>
  <c r="N12" i="76" s="1"/>
  <c r="F79" i="76"/>
  <c r="F39" i="76"/>
  <c r="F35" i="76"/>
  <c r="F73" i="76"/>
  <c r="F44" i="76"/>
  <c r="F72" i="76"/>
  <c r="F64" i="76"/>
  <c r="F48" i="76"/>
  <c r="F52" i="76"/>
  <c r="V30" i="68"/>
  <c r="V34" i="68"/>
  <c r="V38" i="68"/>
  <c r="V50" i="68"/>
  <c r="V37" i="69"/>
  <c r="V41" i="69"/>
  <c r="V45" i="69"/>
  <c r="V49" i="69"/>
  <c r="V53" i="69"/>
  <c r="J61" i="69"/>
  <c r="J65" i="69"/>
  <c r="V81" i="69"/>
  <c r="J87" i="69"/>
  <c r="V93" i="69"/>
  <c r="J97" i="69"/>
  <c r="V101" i="69"/>
  <c r="J20" i="70"/>
  <c r="V36" i="70"/>
  <c r="V40" i="70"/>
  <c r="V44" i="70"/>
  <c r="J50" i="70"/>
  <c r="V56" i="70"/>
  <c r="V64" i="70"/>
  <c r="J68" i="70"/>
  <c r="J40" i="71"/>
  <c r="J44" i="71"/>
  <c r="J48" i="71"/>
  <c r="H53" i="71"/>
  <c r="V68" i="71"/>
  <c r="V72" i="71"/>
  <c r="V76" i="71"/>
  <c r="V84" i="71"/>
  <c r="J92" i="71"/>
  <c r="V96" i="71"/>
  <c r="J100" i="71"/>
  <c r="J108" i="71"/>
  <c r="H16" i="72"/>
  <c r="N27" i="73"/>
  <c r="V45" i="73"/>
  <c r="N51" i="73"/>
  <c r="L51" i="73"/>
  <c r="L63" i="73"/>
  <c r="N63" i="73" s="1"/>
  <c r="Z73" i="73"/>
  <c r="X73" i="73"/>
  <c r="Z75" i="73"/>
  <c r="P12" i="75"/>
  <c r="X20" i="75"/>
  <c r="X83" i="76"/>
  <c r="Z83" i="76" s="1"/>
  <c r="P81" i="76"/>
  <c r="X81" i="76" s="1"/>
  <c r="Z81" i="76" s="1"/>
  <c r="V20" i="68"/>
  <c r="V24" i="68"/>
  <c r="V28" i="68"/>
  <c r="V48" i="68"/>
  <c r="J39" i="69"/>
  <c r="J43" i="69"/>
  <c r="J47" i="69"/>
  <c r="J51" i="69"/>
  <c r="H56" i="69"/>
  <c r="J69" i="69"/>
  <c r="V71" i="69"/>
  <c r="V75" i="69"/>
  <c r="V79" i="69"/>
  <c r="V91" i="69"/>
  <c r="V99" i="69"/>
  <c r="J109" i="69"/>
  <c r="N12" i="70"/>
  <c r="V26" i="70"/>
  <c r="V30" i="70"/>
  <c r="V34" i="70"/>
  <c r="J38" i="70"/>
  <c r="J42" i="70"/>
  <c r="J48" i="70"/>
  <c r="V54" i="70"/>
  <c r="J60" i="70"/>
  <c r="V62" i="70"/>
  <c r="J66" i="70"/>
  <c r="V70" i="70"/>
  <c r="V72" i="70"/>
  <c r="J56" i="71"/>
  <c r="V58" i="71"/>
  <c r="V62" i="71"/>
  <c r="V66" i="71"/>
  <c r="J70" i="71"/>
  <c r="J74" i="71"/>
  <c r="J80" i="71"/>
  <c r="V82" i="71"/>
  <c r="J90" i="71"/>
  <c r="V94" i="71"/>
  <c r="V102" i="71"/>
  <c r="J106" i="71"/>
  <c r="V112" i="71"/>
  <c r="R29" i="72"/>
  <c r="J20" i="73"/>
  <c r="V31" i="73"/>
  <c r="J36" i="73"/>
  <c r="L38" i="73"/>
  <c r="N38" i="73" s="1"/>
  <c r="N53" i="73"/>
  <c r="V72" i="73"/>
  <c r="V29" i="68"/>
  <c r="V33" i="68"/>
  <c r="V37" i="68"/>
  <c r="V45" i="68"/>
  <c r="V53" i="68"/>
  <c r="X13" i="69"/>
  <c r="Z13" i="69" s="1"/>
  <c r="V40" i="69"/>
  <c r="V44" i="69"/>
  <c r="V48" i="69"/>
  <c r="V52" i="69"/>
  <c r="J56" i="69"/>
  <c r="J58" i="69"/>
  <c r="J60" i="69"/>
  <c r="J64" i="69"/>
  <c r="J68" i="69"/>
  <c r="V80" i="69"/>
  <c r="V88" i="69"/>
  <c r="J96" i="69"/>
  <c r="V100" i="69"/>
  <c r="J19" i="70"/>
  <c r="T22" i="70"/>
  <c r="V35" i="70"/>
  <c r="V39" i="70"/>
  <c r="V43" i="70"/>
  <c r="J47" i="70"/>
  <c r="V51" i="70"/>
  <c r="J59" i="70"/>
  <c r="V63" i="70"/>
  <c r="J39" i="71"/>
  <c r="J43" i="71"/>
  <c r="J47" i="71"/>
  <c r="J51" i="71"/>
  <c r="V67" i="71"/>
  <c r="V71" i="71"/>
  <c r="V75" i="71"/>
  <c r="J79" i="71"/>
  <c r="V83" i="71"/>
  <c r="J89" i="71"/>
  <c r="J99" i="71"/>
  <c r="J105" i="71"/>
  <c r="V111" i="71"/>
  <c r="Z49" i="73"/>
  <c r="X49" i="73"/>
  <c r="X61" i="73"/>
  <c r="Z61" i="73" s="1"/>
  <c r="J82" i="73"/>
  <c r="T89" i="74"/>
  <c r="V89" i="74" s="1"/>
  <c r="V52" i="74"/>
  <c r="Z87" i="77"/>
  <c r="X87" i="77"/>
  <c r="V87" i="77"/>
  <c r="V14" i="68"/>
  <c r="V16" i="68"/>
  <c r="V18" i="68"/>
  <c r="V46" i="68"/>
  <c r="V54" i="68"/>
  <c r="J59" i="69"/>
  <c r="V61" i="69"/>
  <c r="V65" i="69"/>
  <c r="J73" i="69"/>
  <c r="J77" i="69"/>
  <c r="J85" i="69"/>
  <c r="V89" i="69"/>
  <c r="J95" i="69"/>
  <c r="V97" i="69"/>
  <c r="J105" i="69"/>
  <c r="V20" i="70"/>
  <c r="V24" i="70"/>
  <c r="J28" i="70"/>
  <c r="J32" i="70"/>
  <c r="J46" i="70"/>
  <c r="V52" i="70"/>
  <c r="J58" i="70"/>
  <c r="V68" i="70"/>
  <c r="J78" i="70"/>
  <c r="V40" i="71"/>
  <c r="V44" i="71"/>
  <c r="V48" i="71"/>
  <c r="J60" i="71"/>
  <c r="J64" i="71"/>
  <c r="J78" i="71"/>
  <c r="J88" i="71"/>
  <c r="V92" i="71"/>
  <c r="J98" i="71"/>
  <c r="V100" i="71"/>
  <c r="J104" i="71"/>
  <c r="V108" i="71"/>
  <c r="V110" i="71"/>
  <c r="L12" i="72"/>
  <c r="P16" i="72"/>
  <c r="F26" i="72"/>
  <c r="V29" i="72"/>
  <c r="J22" i="73"/>
  <c r="J38" i="73"/>
  <c r="V40" i="73"/>
  <c r="V51" i="73"/>
  <c r="N55" i="73"/>
  <c r="L55" i="73"/>
  <c r="V63" i="73"/>
  <c r="X82" i="74"/>
  <c r="T114" i="75"/>
  <c r="V19" i="68"/>
  <c r="V23" i="68"/>
  <c r="V27" i="68"/>
  <c r="V43" i="68"/>
  <c r="J38" i="69"/>
  <c r="J42" i="69"/>
  <c r="J46" i="69"/>
  <c r="J50" i="69"/>
  <c r="J54" i="69"/>
  <c r="V70" i="69"/>
  <c r="V74" i="69"/>
  <c r="V78" i="69"/>
  <c r="J84" i="69"/>
  <c r="V86" i="69"/>
  <c r="J94" i="69"/>
  <c r="V98" i="69"/>
  <c r="V25" i="70"/>
  <c r="V29" i="70"/>
  <c r="V33" i="70"/>
  <c r="J37" i="70"/>
  <c r="J41" i="70"/>
  <c r="J45" i="70"/>
  <c r="V49" i="70"/>
  <c r="J57" i="70"/>
  <c r="V61" i="70"/>
  <c r="J65" i="70"/>
  <c r="V69" i="70"/>
  <c r="V57" i="71"/>
  <c r="V61" i="71"/>
  <c r="V65" i="71"/>
  <c r="J69" i="71"/>
  <c r="J73" i="71"/>
  <c r="J77" i="71"/>
  <c r="V81" i="71"/>
  <c r="J87" i="71"/>
  <c r="V93" i="71"/>
  <c r="J97" i="71"/>
  <c r="J117" i="71"/>
  <c r="N12" i="72"/>
  <c r="R14" i="72"/>
  <c r="R16" i="72"/>
  <c r="R18" i="72"/>
  <c r="R20" i="72"/>
  <c r="R22" i="72"/>
  <c r="J26" i="72"/>
  <c r="J32" i="73"/>
  <c r="V44" i="73"/>
  <c r="J69" i="73"/>
  <c r="J107" i="75"/>
  <c r="J99" i="75"/>
  <c r="J83" i="75"/>
  <c r="J59" i="75"/>
  <c r="J55" i="75"/>
  <c r="J84" i="75"/>
  <c r="J46" i="75"/>
  <c r="J42" i="75"/>
  <c r="J38" i="75"/>
  <c r="J110" i="75"/>
  <c r="J109" i="75"/>
  <c r="J93" i="75"/>
  <c r="J85" i="75"/>
  <c r="J73" i="75"/>
  <c r="J69" i="75"/>
  <c r="J65" i="75"/>
  <c r="J111" i="75"/>
  <c r="J100" i="75"/>
  <c r="J94" i="75"/>
  <c r="J86" i="75"/>
  <c r="J74" i="75"/>
  <c r="J60" i="75"/>
  <c r="J56" i="75"/>
  <c r="J112" i="75"/>
  <c r="J95" i="75"/>
  <c r="J87" i="75"/>
  <c r="J75" i="75"/>
  <c r="J88" i="75"/>
  <c r="J76" i="75"/>
  <c r="J70" i="75"/>
  <c r="J66" i="75"/>
  <c r="J101" i="75"/>
  <c r="J89" i="75"/>
  <c r="J77" i="75"/>
  <c r="J61" i="75"/>
  <c r="J57" i="75"/>
  <c r="J116" i="75"/>
  <c r="J102" i="75"/>
  <c r="J96" i="75"/>
  <c r="J90" i="75"/>
  <c r="J78" i="75"/>
  <c r="J48" i="75"/>
  <c r="J44" i="75"/>
  <c r="J40" i="75"/>
  <c r="J103" i="75"/>
  <c r="J97" i="75"/>
  <c r="J91" i="75"/>
  <c r="J79" i="75"/>
  <c r="J71" i="75"/>
  <c r="J67" i="75"/>
  <c r="J53" i="75"/>
  <c r="J106" i="75"/>
  <c r="J92" i="75"/>
  <c r="J82" i="75"/>
  <c r="J72" i="75"/>
  <c r="J68" i="75"/>
  <c r="J64" i="75"/>
  <c r="J105" i="75"/>
  <c r="J98" i="75"/>
  <c r="H50" i="75"/>
  <c r="J34" i="75"/>
  <c r="J58" i="75"/>
  <c r="J80" i="75"/>
  <c r="J45" i="75"/>
  <c r="J104" i="75"/>
  <c r="J62" i="75"/>
  <c r="J52" i="75"/>
  <c r="J41" i="75"/>
  <c r="J54" i="75"/>
  <c r="J39" i="75"/>
  <c r="J36" i="75"/>
  <c r="J81" i="75"/>
  <c r="J63" i="75"/>
  <c r="J50" i="75"/>
  <c r="J47" i="75"/>
  <c r="J33" i="75"/>
  <c r="V32" i="68"/>
  <c r="V36" i="68"/>
  <c r="V44" i="68"/>
  <c r="V52" i="68"/>
  <c r="J37" i="69"/>
  <c r="V39" i="69"/>
  <c r="V43" i="69"/>
  <c r="V47" i="69"/>
  <c r="V51" i="69"/>
  <c r="J63" i="69"/>
  <c r="J67" i="69"/>
  <c r="J83" i="69"/>
  <c r="V87" i="69"/>
  <c r="J93" i="69"/>
  <c r="J103" i="69"/>
  <c r="V109" i="69"/>
  <c r="J18" i="70"/>
  <c r="V38" i="70"/>
  <c r="V42" i="70"/>
  <c r="V50" i="70"/>
  <c r="J56" i="70"/>
  <c r="V66" i="70"/>
  <c r="J76" i="70"/>
  <c r="J38" i="71"/>
  <c r="J42" i="71"/>
  <c r="J46" i="71"/>
  <c r="J50" i="71"/>
  <c r="T53" i="71"/>
  <c r="V70" i="71"/>
  <c r="V74" i="71"/>
  <c r="J86" i="71"/>
  <c r="V90" i="71"/>
  <c r="J96" i="71"/>
  <c r="V106" i="71"/>
  <c r="T16" i="72"/>
  <c r="V48" i="73"/>
  <c r="V53" i="73"/>
  <c r="V60" i="73"/>
  <c r="L66" i="73"/>
  <c r="N54" i="74"/>
  <c r="N77" i="74"/>
  <c r="L80" i="75"/>
  <c r="N80" i="75" s="1"/>
  <c r="X26" i="79"/>
  <c r="Z26" i="79" s="1"/>
  <c r="V41" i="68"/>
  <c r="V60" i="69"/>
  <c r="V64" i="69"/>
  <c r="V68" i="69"/>
  <c r="J72" i="69"/>
  <c r="J76" i="69"/>
  <c r="J82" i="69"/>
  <c r="J92" i="69"/>
  <c r="V96" i="69"/>
  <c r="J102" i="69"/>
  <c r="J17" i="70"/>
  <c r="V19" i="70"/>
  <c r="J27" i="70"/>
  <c r="J31" i="70"/>
  <c r="V47" i="70"/>
  <c r="X50" i="70"/>
  <c r="Z50" i="70" s="1"/>
  <c r="J55" i="70"/>
  <c r="V59" i="70"/>
  <c r="V67" i="70"/>
  <c r="J37" i="71"/>
  <c r="V39" i="71"/>
  <c r="V43" i="71"/>
  <c r="V47" i="71"/>
  <c r="V51" i="71"/>
  <c r="V53" i="71"/>
  <c r="V55" i="71"/>
  <c r="J59" i="71"/>
  <c r="J63" i="71"/>
  <c r="V79" i="71"/>
  <c r="J85" i="71"/>
  <c r="V91" i="71"/>
  <c r="J95" i="71"/>
  <c r="V99" i="71"/>
  <c r="J103" i="71"/>
  <c r="V107" i="71"/>
  <c r="V14" i="72"/>
  <c r="V16" i="72"/>
  <c r="V18" i="72"/>
  <c r="V20" i="72"/>
  <c r="R26" i="72"/>
  <c r="J61" i="73"/>
  <c r="J49" i="73"/>
  <c r="J35" i="73"/>
  <c r="J31" i="73"/>
  <c r="J80" i="73"/>
  <c r="J78" i="73"/>
  <c r="J70" i="73"/>
  <c r="J62" i="73"/>
  <c r="J50" i="73"/>
  <c r="J63" i="73"/>
  <c r="J51" i="73"/>
  <c r="J45" i="73"/>
  <c r="J41" i="73"/>
  <c r="J71" i="73"/>
  <c r="J53" i="73"/>
  <c r="J23" i="73"/>
  <c r="J54" i="73"/>
  <c r="J46" i="73"/>
  <c r="J42" i="73"/>
  <c r="J28" i="73"/>
  <c r="J65" i="73"/>
  <c r="J55" i="73"/>
  <c r="J37" i="73"/>
  <c r="J33" i="73"/>
  <c r="J29" i="73"/>
  <c r="J27" i="73"/>
  <c r="J25" i="73"/>
  <c r="J72" i="73"/>
  <c r="J74" i="73"/>
  <c r="J68" i="73"/>
  <c r="J58" i="73"/>
  <c r="J34" i="73"/>
  <c r="J30" i="73"/>
  <c r="J76" i="73"/>
  <c r="J60" i="73"/>
  <c r="J48" i="73"/>
  <c r="J44" i="73"/>
  <c r="J40" i="73"/>
  <c r="V20" i="73"/>
  <c r="J52" i="73"/>
  <c r="J64" i="73"/>
  <c r="V22" i="68"/>
  <c r="V26" i="68"/>
  <c r="J41" i="69"/>
  <c r="J45" i="69"/>
  <c r="J49" i="69"/>
  <c r="J53" i="69"/>
  <c r="T56" i="69"/>
  <c r="V69" i="69"/>
  <c r="V73" i="69"/>
  <c r="V77" i="69"/>
  <c r="J81" i="69"/>
  <c r="J91" i="69"/>
  <c r="V28" i="70"/>
  <c r="V32" i="70"/>
  <c r="J36" i="70"/>
  <c r="J40" i="70"/>
  <c r="J44" i="70"/>
  <c r="V48" i="70"/>
  <c r="J54" i="70"/>
  <c r="J64" i="70"/>
  <c r="J72" i="70"/>
  <c r="V56" i="71"/>
  <c r="V60" i="71"/>
  <c r="V64" i="71"/>
  <c r="J68" i="71"/>
  <c r="J72" i="71"/>
  <c r="J76" i="71"/>
  <c r="V80" i="71"/>
  <c r="J84" i="71"/>
  <c r="V88" i="71"/>
  <c r="J102" i="71"/>
  <c r="D12" i="73"/>
  <c r="V22" i="73"/>
  <c r="T25" i="73"/>
  <c r="J43" i="73"/>
  <c r="J57" i="73"/>
  <c r="J66" i="73"/>
  <c r="Z54" i="74"/>
  <c r="V54" i="74"/>
  <c r="Z84" i="74"/>
  <c r="X84" i="74"/>
  <c r="D12" i="75"/>
  <c r="J35" i="75"/>
  <c r="J37" i="75"/>
  <c r="J43" i="75"/>
  <c r="Z66" i="73"/>
  <c r="J38" i="74"/>
  <c r="J42" i="74"/>
  <c r="J46" i="74"/>
  <c r="J50" i="74"/>
  <c r="J64" i="74"/>
  <c r="V66" i="74"/>
  <c r="V70" i="74"/>
  <c r="V74" i="74"/>
  <c r="J80" i="74"/>
  <c r="N82" i="74"/>
  <c r="V38" i="75"/>
  <c r="Z74" i="75"/>
  <c r="X74" i="75"/>
  <c r="N53" i="76"/>
  <c r="L63" i="76"/>
  <c r="Z83" i="77"/>
  <c r="Z92" i="77"/>
  <c r="N95" i="77"/>
  <c r="N27" i="79"/>
  <c r="N56" i="79"/>
  <c r="F45" i="80"/>
  <c r="V56" i="74"/>
  <c r="V60" i="74"/>
  <c r="J68" i="74"/>
  <c r="J72" i="74"/>
  <c r="V84" i="74"/>
  <c r="N94" i="75"/>
  <c r="J82" i="76"/>
  <c r="J81" i="76"/>
  <c r="J67" i="76"/>
  <c r="J55" i="76"/>
  <c r="J49" i="76"/>
  <c r="J45" i="76"/>
  <c r="J83" i="76"/>
  <c r="J68" i="76"/>
  <c r="J56" i="76"/>
  <c r="J40" i="76"/>
  <c r="J36" i="76"/>
  <c r="J75" i="76"/>
  <c r="J69" i="76"/>
  <c r="J57" i="76"/>
  <c r="J70" i="76"/>
  <c r="J58" i="76"/>
  <c r="J50" i="76"/>
  <c r="J46" i="76"/>
  <c r="J32" i="76"/>
  <c r="J87" i="76"/>
  <c r="J59" i="76"/>
  <c r="J41" i="76"/>
  <c r="J37" i="76"/>
  <c r="J33" i="76"/>
  <c r="J31" i="76"/>
  <c r="J27" i="76"/>
  <c r="J76" i="76"/>
  <c r="J60" i="76"/>
  <c r="J42" i="76"/>
  <c r="H29" i="76"/>
  <c r="J29" i="76" s="1"/>
  <c r="J77" i="76"/>
  <c r="J71" i="76"/>
  <c r="J61" i="76"/>
  <c r="J51" i="76"/>
  <c r="J47" i="76"/>
  <c r="J43" i="76"/>
  <c r="J78" i="76"/>
  <c r="J72" i="76"/>
  <c r="J62" i="76"/>
  <c r="J38" i="76"/>
  <c r="J34" i="76"/>
  <c r="J73" i="76"/>
  <c r="J63" i="76"/>
  <c r="J74" i="76"/>
  <c r="J66" i="76"/>
  <c r="J54" i="76"/>
  <c r="X32" i="76"/>
  <c r="Z32" i="76" s="1"/>
  <c r="J35" i="76"/>
  <c r="N57" i="76"/>
  <c r="N61" i="76"/>
  <c r="N63" i="76"/>
  <c r="J65" i="76"/>
  <c r="N69" i="76"/>
  <c r="N77" i="77"/>
  <c r="X95" i="77"/>
  <c r="Z95" i="77" s="1"/>
  <c r="V95" i="77"/>
  <c r="R27" i="79"/>
  <c r="F31" i="80"/>
  <c r="T68" i="79"/>
  <c r="Z24" i="79"/>
  <c r="Z27" i="79"/>
  <c r="X54" i="79"/>
  <c r="Z54" i="79" s="1"/>
  <c r="V82" i="74"/>
  <c r="N52" i="75"/>
  <c r="Z94" i="75"/>
  <c r="N109" i="75"/>
  <c r="V32" i="76"/>
  <c r="Z63" i="76"/>
  <c r="Z55" i="77"/>
  <c r="N89" i="77"/>
  <c r="Z52" i="79"/>
  <c r="D12" i="74"/>
  <c r="V55" i="74"/>
  <c r="V59" i="74"/>
  <c r="V63" i="74"/>
  <c r="J67" i="74"/>
  <c r="J71" i="74"/>
  <c r="J77" i="74"/>
  <c r="V79" i="74"/>
  <c r="J87" i="74"/>
  <c r="V95" i="75"/>
  <c r="V87" i="75"/>
  <c r="V75" i="75"/>
  <c r="V47" i="75"/>
  <c r="V102" i="75"/>
  <c r="V90" i="75"/>
  <c r="V78" i="75"/>
  <c r="V70" i="75"/>
  <c r="V66" i="75"/>
  <c r="V101" i="75"/>
  <c r="V97" i="75"/>
  <c r="V89" i="75"/>
  <c r="V77" i="75"/>
  <c r="V61" i="75"/>
  <c r="V57" i="75"/>
  <c r="V53" i="75"/>
  <c r="V116" i="75"/>
  <c r="V104" i="75"/>
  <c r="V96" i="75"/>
  <c r="V80" i="75"/>
  <c r="V52" i="75"/>
  <c r="V50" i="75"/>
  <c r="V48" i="75"/>
  <c r="V44" i="75"/>
  <c r="V40" i="75"/>
  <c r="V103" i="75"/>
  <c r="V91" i="75"/>
  <c r="V79" i="75"/>
  <c r="V71" i="75"/>
  <c r="V67" i="75"/>
  <c r="V63" i="75"/>
  <c r="V106" i="75"/>
  <c r="V98" i="75"/>
  <c r="V82" i="75"/>
  <c r="V62" i="75"/>
  <c r="V58" i="75"/>
  <c r="V54" i="75"/>
  <c r="V105" i="75"/>
  <c r="V81" i="75"/>
  <c r="V92" i="75"/>
  <c r="V84" i="75"/>
  <c r="V72" i="75"/>
  <c r="V68" i="75"/>
  <c r="V64" i="75"/>
  <c r="V109" i="75"/>
  <c r="V107" i="75"/>
  <c r="V99" i="75"/>
  <c r="V83" i="75"/>
  <c r="V59" i="75"/>
  <c r="V55" i="75"/>
  <c r="V114" i="75"/>
  <c r="V112" i="75"/>
  <c r="V100" i="75"/>
  <c r="V88" i="75"/>
  <c r="V76" i="75"/>
  <c r="V60" i="75"/>
  <c r="V56" i="75"/>
  <c r="Z63" i="75"/>
  <c r="V73" i="75"/>
  <c r="V94" i="75"/>
  <c r="L104" i="75"/>
  <c r="V111" i="75"/>
  <c r="J52" i="76"/>
  <c r="Z57" i="76"/>
  <c r="Z67" i="76"/>
  <c r="Z69" i="76"/>
  <c r="N38" i="77"/>
  <c r="H52" i="77"/>
  <c r="N36" i="79"/>
  <c r="P12" i="80"/>
  <c r="X13" i="80"/>
  <c r="J36" i="74"/>
  <c r="J40" i="74"/>
  <c r="J44" i="74"/>
  <c r="J48" i="74"/>
  <c r="X55" i="74"/>
  <c r="Z55" i="74" s="1"/>
  <c r="V64" i="74"/>
  <c r="V68" i="74"/>
  <c r="V72" i="74"/>
  <c r="J76" i="74"/>
  <c r="L77" i="74"/>
  <c r="V80" i="74"/>
  <c r="L87" i="74"/>
  <c r="N97" i="75"/>
  <c r="N104" i="75"/>
  <c r="P12" i="76"/>
  <c r="D12" i="77"/>
  <c r="L54" i="77"/>
  <c r="N54" i="77" s="1"/>
  <c r="J35" i="74"/>
  <c r="V37" i="74"/>
  <c r="V41" i="74"/>
  <c r="V45" i="74"/>
  <c r="V49" i="74"/>
  <c r="J57" i="74"/>
  <c r="J61" i="74"/>
  <c r="J75" i="74"/>
  <c r="J85" i="74"/>
  <c r="V91" i="74"/>
  <c r="V39" i="75"/>
  <c r="Z109" i="75"/>
  <c r="X13" i="76"/>
  <c r="Z13" i="76" s="1"/>
  <c r="J48" i="76"/>
  <c r="J64" i="76"/>
  <c r="N72" i="76"/>
  <c r="J79" i="76"/>
  <c r="L13" i="77"/>
  <c r="N13" i="77" s="1"/>
  <c r="P12" i="77"/>
  <c r="Z38" i="77"/>
  <c r="Z66" i="77"/>
  <c r="Z36" i="79"/>
  <c r="Z62" i="79"/>
  <c r="Z24" i="80"/>
  <c r="J39" i="74"/>
  <c r="J43" i="74"/>
  <c r="J47" i="74"/>
  <c r="H52" i="74"/>
  <c r="V67" i="74"/>
  <c r="V71" i="74"/>
  <c r="J83" i="74"/>
  <c r="V69" i="75"/>
  <c r="N76" i="75"/>
  <c r="Z86" i="75"/>
  <c r="X86" i="75"/>
  <c r="Z104" i="75"/>
  <c r="J39" i="76"/>
  <c r="F20" i="80"/>
  <c r="V36" i="74"/>
  <c r="V40" i="74"/>
  <c r="V44" i="74"/>
  <c r="V48" i="74"/>
  <c r="J52" i="74"/>
  <c r="J54" i="74"/>
  <c r="J56" i="74"/>
  <c r="J60" i="74"/>
  <c r="V76" i="74"/>
  <c r="J82" i="74"/>
  <c r="R66" i="79"/>
  <c r="R32" i="79"/>
  <c r="R28" i="79"/>
  <c r="P24" i="79"/>
  <c r="R56" i="79"/>
  <c r="R55" i="79"/>
  <c r="R19" i="79"/>
  <c r="R47" i="79"/>
  <c r="R46" i="79"/>
  <c r="R42" i="79"/>
  <c r="R38" i="79"/>
  <c r="X12" i="79"/>
  <c r="R57" i="79"/>
  <c r="R33" i="79"/>
  <c r="R29" i="79"/>
  <c r="R70" i="79"/>
  <c r="R49" i="79"/>
  <c r="R48" i="79"/>
  <c r="R20" i="79"/>
  <c r="R43" i="79"/>
  <c r="R39" i="79"/>
  <c r="R59" i="79"/>
  <c r="R58" i="79"/>
  <c r="R50" i="79"/>
  <c r="R34" i="79"/>
  <c r="R30" i="79"/>
  <c r="R21" i="79"/>
  <c r="R60" i="79"/>
  <c r="R44" i="79"/>
  <c r="R40" i="79"/>
  <c r="R17" i="79"/>
  <c r="R63" i="79"/>
  <c r="R62" i="79"/>
  <c r="R52" i="79"/>
  <c r="R51" i="79"/>
  <c r="R36" i="79"/>
  <c r="R35" i="79"/>
  <c r="R31" i="79"/>
  <c r="R65" i="79"/>
  <c r="R54" i="79"/>
  <c r="R53" i="79"/>
  <c r="R45" i="79"/>
  <c r="R41" i="79"/>
  <c r="R37" i="79"/>
  <c r="R26" i="79"/>
  <c r="R24" i="79"/>
  <c r="R18" i="79"/>
  <c r="F72" i="80"/>
  <c r="F71" i="80"/>
  <c r="F56" i="80"/>
  <c r="F55" i="80"/>
  <c r="F44" i="80"/>
  <c r="F40" i="80"/>
  <c r="F36" i="80"/>
  <c r="F74" i="80"/>
  <c r="F73" i="80"/>
  <c r="F66" i="80"/>
  <c r="F58" i="80"/>
  <c r="F57" i="80"/>
  <c r="F41" i="80"/>
  <c r="F37" i="80"/>
  <c r="F76" i="80"/>
  <c r="F80" i="80"/>
  <c r="F69" i="80"/>
  <c r="F61" i="80"/>
  <c r="F52" i="80"/>
  <c r="F51" i="80"/>
  <c r="F65" i="80"/>
  <c r="F64" i="80"/>
  <c r="F63" i="80"/>
  <c r="F59" i="80"/>
  <c r="F39" i="80"/>
  <c r="F34" i="80"/>
  <c r="F25" i="80"/>
  <c r="F49" i="80"/>
  <c r="F26" i="80"/>
  <c r="F24" i="80"/>
  <c r="F22" i="80"/>
  <c r="F54" i="80"/>
  <c r="F46" i="80"/>
  <c r="F29" i="80"/>
  <c r="D22" i="80"/>
  <c r="F68" i="80"/>
  <c r="F32" i="80"/>
  <c r="F70" i="80"/>
  <c r="F47" i="80"/>
  <c r="F35" i="80"/>
  <c r="F18" i="80"/>
  <c r="F17" i="80"/>
  <c r="F62" i="80"/>
  <c r="F60" i="80"/>
  <c r="F50" i="80"/>
  <c r="F42" i="80"/>
  <c r="F27" i="80"/>
  <c r="F30" i="80"/>
  <c r="F19" i="80"/>
  <c r="F48" i="80"/>
  <c r="F38" i="80"/>
  <c r="F33" i="80"/>
  <c r="L12" i="80"/>
  <c r="F43" i="80"/>
  <c r="Z17" i="80"/>
  <c r="F67" i="80"/>
  <c r="J55" i="74"/>
  <c r="V57" i="74"/>
  <c r="V61" i="74"/>
  <c r="J65" i="74"/>
  <c r="J69" i="74"/>
  <c r="J73" i="74"/>
  <c r="V77" i="74"/>
  <c r="V85" i="74"/>
  <c r="V87" i="74"/>
  <c r="V35" i="75"/>
  <c r="V43" i="75"/>
  <c r="N53" i="75"/>
  <c r="Z78" i="75"/>
  <c r="Z84" i="75"/>
  <c r="L81" i="77"/>
  <c r="N81" i="77" s="1"/>
  <c r="J81" i="77"/>
  <c r="L101" i="77"/>
  <c r="N101" i="77" s="1"/>
  <c r="D98" i="77"/>
  <c r="L98" i="77" s="1"/>
  <c r="N98" i="77" s="1"/>
  <c r="R22" i="79"/>
  <c r="F28" i="80"/>
  <c r="Z102" i="75"/>
  <c r="T29" i="76"/>
  <c r="V42" i="76"/>
  <c r="V46" i="76"/>
  <c r="V50" i="76"/>
  <c r="V58" i="76"/>
  <c r="V70" i="76"/>
  <c r="V41" i="77"/>
  <c r="V45" i="77"/>
  <c r="V49" i="77"/>
  <c r="J57" i="77"/>
  <c r="J61" i="77"/>
  <c r="J65" i="77"/>
  <c r="V77" i="77"/>
  <c r="J83" i="77"/>
  <c r="V89" i="77"/>
  <c r="J93" i="77"/>
  <c r="J105" i="77"/>
  <c r="V28" i="79"/>
  <c r="V32" i="79"/>
  <c r="J40" i="79"/>
  <c r="J44" i="79"/>
  <c r="N52" i="79"/>
  <c r="V56" i="79"/>
  <c r="J60" i="79"/>
  <c r="N62" i="79"/>
  <c r="V66" i="79"/>
  <c r="V68" i="79"/>
  <c r="V18" i="80"/>
  <c r="J24" i="80"/>
  <c r="N34" i="80"/>
  <c r="J41" i="80"/>
  <c r="L45" i="80"/>
  <c r="J49" i="80"/>
  <c r="V55" i="80"/>
  <c r="R20" i="81"/>
  <c r="R63" i="81"/>
  <c r="Z67" i="81"/>
  <c r="H28" i="83"/>
  <c r="R83" i="84"/>
  <c r="R82" i="84"/>
  <c r="R78" i="84"/>
  <c r="R66" i="84"/>
  <c r="R55" i="84"/>
  <c r="R54" i="84"/>
  <c r="R18" i="84"/>
  <c r="R85" i="84"/>
  <c r="R84" i="84"/>
  <c r="R73" i="84"/>
  <c r="R72" i="84"/>
  <c r="R57" i="84"/>
  <c r="R56" i="84"/>
  <c r="R32" i="84"/>
  <c r="R28" i="84"/>
  <c r="R79" i="84"/>
  <c r="R68" i="84"/>
  <c r="R87" i="84"/>
  <c r="R86" i="84"/>
  <c r="R75" i="84"/>
  <c r="R74" i="84"/>
  <c r="R59" i="84"/>
  <c r="R58" i="84"/>
  <c r="R42" i="84"/>
  <c r="R38" i="84"/>
  <c r="X12" i="84"/>
  <c r="R69" i="84"/>
  <c r="R88" i="84"/>
  <c r="R80" i="84"/>
  <c r="R76" i="84"/>
  <c r="R61" i="84"/>
  <c r="R60" i="84"/>
  <c r="R25" i="84"/>
  <c r="R70" i="84"/>
  <c r="R71" i="84"/>
  <c r="R31" i="84"/>
  <c r="R27" i="84"/>
  <c r="R63" i="84"/>
  <c r="R40" i="84"/>
  <c r="R46" i="84"/>
  <c r="R43" i="84"/>
  <c r="R33" i="84"/>
  <c r="R90" i="84"/>
  <c r="R49" i="84"/>
  <c r="P22" i="84"/>
  <c r="R53" i="84"/>
  <c r="R29" i="84"/>
  <c r="R24" i="84"/>
  <c r="R41" i="84"/>
  <c r="R36" i="84"/>
  <c r="R94" i="84"/>
  <c r="R50" i="84"/>
  <c r="R47" i="84"/>
  <c r="R39" i="84"/>
  <c r="R81" i="84"/>
  <c r="R77" i="84"/>
  <c r="R64" i="84"/>
  <c r="R44" i="84"/>
  <c r="R19" i="84"/>
  <c r="R51" i="84"/>
  <c r="R34" i="84"/>
  <c r="R67" i="84"/>
  <c r="R62" i="84"/>
  <c r="R48" i="84"/>
  <c r="R37" i="84"/>
  <c r="R52" i="84"/>
  <c r="R45" i="84"/>
  <c r="R35" i="84"/>
  <c r="R26" i="84"/>
  <c r="R17" i="84"/>
  <c r="R30" i="84"/>
  <c r="J73" i="80"/>
  <c r="J57" i="80"/>
  <c r="J45" i="80"/>
  <c r="J31" i="80"/>
  <c r="J27" i="80"/>
  <c r="J74" i="80"/>
  <c r="J66" i="80"/>
  <c r="J67" i="80"/>
  <c r="J59" i="80"/>
  <c r="J47" i="80"/>
  <c r="J76" i="80"/>
  <c r="J68" i="80"/>
  <c r="J60" i="80"/>
  <c r="J48" i="80"/>
  <c r="J80" i="80"/>
  <c r="J50" i="80"/>
  <c r="J42" i="80"/>
  <c r="J38" i="80"/>
  <c r="J69" i="80"/>
  <c r="J61" i="80"/>
  <c r="J62" i="80"/>
  <c r="J52" i="80"/>
  <c r="J63" i="80"/>
  <c r="J53" i="80"/>
  <c r="J43" i="80"/>
  <c r="J39" i="80"/>
  <c r="J35" i="80"/>
  <c r="J72" i="80"/>
  <c r="J56" i="80"/>
  <c r="J44" i="80"/>
  <c r="J40" i="80"/>
  <c r="J36" i="80"/>
  <c r="J20" i="80"/>
  <c r="J28" i="80"/>
  <c r="J58" i="80"/>
  <c r="N25" i="81"/>
  <c r="L25" i="81"/>
  <c r="N50" i="84"/>
  <c r="L50" i="84"/>
  <c r="J50" i="84"/>
  <c r="V45" i="76"/>
  <c r="V49" i="76"/>
  <c r="V57" i="76"/>
  <c r="V69" i="76"/>
  <c r="V83" i="76"/>
  <c r="J38" i="77"/>
  <c r="V40" i="77"/>
  <c r="V44" i="77"/>
  <c r="V48" i="77"/>
  <c r="J52" i="77"/>
  <c r="J54" i="77"/>
  <c r="J56" i="77"/>
  <c r="J60" i="77"/>
  <c r="J64" i="77"/>
  <c r="J80" i="77"/>
  <c r="V84" i="77"/>
  <c r="J101" i="77"/>
  <c r="D12" i="79"/>
  <c r="V35" i="79"/>
  <c r="J39" i="79"/>
  <c r="J43" i="79"/>
  <c r="J49" i="79"/>
  <c r="V51" i="79"/>
  <c r="V63" i="79"/>
  <c r="V17" i="80"/>
  <c r="V41" i="80"/>
  <c r="V43" i="80"/>
  <c r="V49" i="80"/>
  <c r="N53" i="80"/>
  <c r="J71" i="80"/>
  <c r="H80" i="81"/>
  <c r="Z17" i="83"/>
  <c r="Z35" i="84"/>
  <c r="X35" i="84"/>
  <c r="N59" i="84"/>
  <c r="L59" i="84"/>
  <c r="J59" i="84"/>
  <c r="V54" i="76"/>
  <c r="V66" i="76"/>
  <c r="V74" i="76"/>
  <c r="V82" i="76"/>
  <c r="J55" i="77"/>
  <c r="V57" i="77"/>
  <c r="V61" i="77"/>
  <c r="V65" i="77"/>
  <c r="J69" i="77"/>
  <c r="J73" i="77"/>
  <c r="J79" i="77"/>
  <c r="V85" i="77"/>
  <c r="V93" i="77"/>
  <c r="J100" i="77"/>
  <c r="V105" i="77"/>
  <c r="X13" i="79"/>
  <c r="J20" i="79"/>
  <c r="V36" i="79"/>
  <c r="V40" i="79"/>
  <c r="V44" i="79"/>
  <c r="J48" i="79"/>
  <c r="L49" i="79"/>
  <c r="N49" i="79" s="1"/>
  <c r="V52" i="79"/>
  <c r="V60" i="79"/>
  <c r="V62" i="79"/>
  <c r="J70" i="79"/>
  <c r="N12" i="80"/>
  <c r="X17" i="80"/>
  <c r="J33" i="80"/>
  <c r="Z34" i="80"/>
  <c r="V36" i="80"/>
  <c r="Z59" i="80"/>
  <c r="X59" i="80"/>
  <c r="Z76" i="80"/>
  <c r="X76" i="80"/>
  <c r="J22" i="81"/>
  <c r="N46" i="81"/>
  <c r="L46" i="81"/>
  <c r="V35" i="76"/>
  <c r="V39" i="76"/>
  <c r="V55" i="76"/>
  <c r="V67" i="76"/>
  <c r="V79" i="76"/>
  <c r="V81" i="76"/>
  <c r="J42" i="77"/>
  <c r="J46" i="77"/>
  <c r="J50" i="77"/>
  <c r="V66" i="77"/>
  <c r="V70" i="77"/>
  <c r="V74" i="77"/>
  <c r="J78" i="77"/>
  <c r="V82" i="77"/>
  <c r="J90" i="77"/>
  <c r="J98" i="77"/>
  <c r="J99" i="77"/>
  <c r="V21" i="79"/>
  <c r="J29" i="79"/>
  <c r="J33" i="79"/>
  <c r="J47" i="79"/>
  <c r="J57" i="79"/>
  <c r="J19" i="80"/>
  <c r="T22" i="80"/>
  <c r="V22" i="80" s="1"/>
  <c r="V28" i="80"/>
  <c r="V34" i="80"/>
  <c r="R27" i="81"/>
  <c r="N58" i="81"/>
  <c r="R62" i="81"/>
  <c r="Z24" i="83"/>
  <c r="X24" i="83"/>
  <c r="V44" i="76"/>
  <c r="V48" i="76"/>
  <c r="V52" i="76"/>
  <c r="V64" i="76"/>
  <c r="V39" i="77"/>
  <c r="V43" i="77"/>
  <c r="V47" i="77"/>
  <c r="J59" i="77"/>
  <c r="J63" i="77"/>
  <c r="J77" i="77"/>
  <c r="V83" i="77"/>
  <c r="J89" i="77"/>
  <c r="V91" i="77"/>
  <c r="V30" i="79"/>
  <c r="V34" i="79"/>
  <c r="J38" i="79"/>
  <c r="J42" i="79"/>
  <c r="J46" i="79"/>
  <c r="V50" i="79"/>
  <c r="J56" i="79"/>
  <c r="V58" i="79"/>
  <c r="J68" i="79"/>
  <c r="V51" i="80"/>
  <c r="V80" i="80"/>
  <c r="V62" i="80"/>
  <c r="V69" i="80"/>
  <c r="V61" i="80"/>
  <c r="V53" i="80"/>
  <c r="V64" i="80"/>
  <c r="V52" i="80"/>
  <c r="V70" i="80"/>
  <c r="V54" i="80"/>
  <c r="V30" i="80"/>
  <c r="V26" i="80"/>
  <c r="V73" i="80"/>
  <c r="V65" i="80"/>
  <c r="V72" i="80"/>
  <c r="V56" i="80"/>
  <c r="V44" i="80"/>
  <c r="V67" i="80"/>
  <c r="V59" i="80"/>
  <c r="V47" i="80"/>
  <c r="V31" i="80"/>
  <c r="V27" i="80"/>
  <c r="V68" i="80"/>
  <c r="V60" i="80"/>
  <c r="V48" i="80"/>
  <c r="V32" i="80"/>
  <c r="V20" i="80"/>
  <c r="V24" i="80"/>
  <c r="J30" i="80"/>
  <c r="V45" i="80"/>
  <c r="L57" i="80"/>
  <c r="V58" i="80"/>
  <c r="X67" i="80"/>
  <c r="Z67" i="80" s="1"/>
  <c r="L14" i="81"/>
  <c r="N14" i="81" s="1"/>
  <c r="D12" i="81"/>
  <c r="Z46" i="81"/>
  <c r="X46" i="81"/>
  <c r="N50" i="81"/>
  <c r="L52" i="81"/>
  <c r="N52" i="81" s="1"/>
  <c r="T80" i="81"/>
  <c r="V80" i="81" s="1"/>
  <c r="H26" i="82"/>
  <c r="N22" i="82"/>
  <c r="N48" i="84"/>
  <c r="V53" i="76"/>
  <c r="V65" i="76"/>
  <c r="V73" i="76"/>
  <c r="X15" i="77"/>
  <c r="V56" i="77"/>
  <c r="V60" i="77"/>
  <c r="V64" i="77"/>
  <c r="J68" i="77"/>
  <c r="J72" i="77"/>
  <c r="J76" i="77"/>
  <c r="V80" i="77"/>
  <c r="J88" i="77"/>
  <c r="V92" i="77"/>
  <c r="J96" i="77"/>
  <c r="H24" i="79"/>
  <c r="V39" i="79"/>
  <c r="V43" i="79"/>
  <c r="J55" i="79"/>
  <c r="V59" i="79"/>
  <c r="J66" i="79"/>
  <c r="V25" i="80"/>
  <c r="V33" i="80"/>
  <c r="V38" i="80"/>
  <c r="J55" i="80"/>
  <c r="L64" i="80"/>
  <c r="N64" i="80" s="1"/>
  <c r="V71" i="80"/>
  <c r="J80" i="81"/>
  <c r="L24" i="81"/>
  <c r="N24" i="81" s="1"/>
  <c r="Z58" i="81"/>
  <c r="X58" i="81"/>
  <c r="X12" i="82"/>
  <c r="R29" i="82"/>
  <c r="R26" i="82"/>
  <c r="R20" i="82"/>
  <c r="R22" i="82"/>
  <c r="R24" i="82"/>
  <c r="R14" i="82"/>
  <c r="R16" i="82"/>
  <c r="R18" i="82"/>
  <c r="P16" i="82"/>
  <c r="Z17" i="84"/>
  <c r="X17" i="84"/>
  <c r="V17" i="84"/>
  <c r="V17" i="88"/>
  <c r="V34" i="76"/>
  <c r="V38" i="76"/>
  <c r="V62" i="76"/>
  <c r="V78" i="76"/>
  <c r="J41" i="77"/>
  <c r="J45" i="77"/>
  <c r="J49" i="77"/>
  <c r="T52" i="77"/>
  <c r="V69" i="77"/>
  <c r="V73" i="77"/>
  <c r="V81" i="77"/>
  <c r="J87" i="77"/>
  <c r="J95" i="77"/>
  <c r="V101" i="77"/>
  <c r="V20" i="79"/>
  <c r="J24" i="79"/>
  <c r="J26" i="79"/>
  <c r="J28" i="79"/>
  <c r="J32" i="79"/>
  <c r="V48" i="79"/>
  <c r="J54" i="79"/>
  <c r="J65" i="79"/>
  <c r="V70" i="79"/>
  <c r="V72" i="79"/>
  <c r="V75" i="79"/>
  <c r="J18" i="80"/>
  <c r="X25" i="80"/>
  <c r="Z25" i="80" s="1"/>
  <c r="J37" i="80"/>
  <c r="V40" i="80"/>
  <c r="V50" i="80"/>
  <c r="J64" i="80"/>
  <c r="V66" i="80"/>
  <c r="J70" i="80"/>
  <c r="R82" i="81"/>
  <c r="R69" i="81"/>
  <c r="R76" i="81"/>
  <c r="R68" i="81"/>
  <c r="R32" i="81"/>
  <c r="R28" i="81"/>
  <c r="R64" i="81"/>
  <c r="R59" i="81"/>
  <c r="R48" i="81"/>
  <c r="R47" i="81"/>
  <c r="R19" i="81"/>
  <c r="R60" i="81"/>
  <c r="R42" i="81"/>
  <c r="R38" i="81"/>
  <c r="X12" i="81"/>
  <c r="Z12" i="81" s="1"/>
  <c r="R78" i="81"/>
  <c r="R72" i="81"/>
  <c r="R50" i="81"/>
  <c r="R49" i="81"/>
  <c r="R33" i="81"/>
  <c r="R29" i="81"/>
  <c r="R65" i="81"/>
  <c r="R61" i="81"/>
  <c r="R52" i="81"/>
  <c r="R51" i="81"/>
  <c r="R43" i="81"/>
  <c r="R39" i="81"/>
  <c r="R24" i="81"/>
  <c r="R35" i="81"/>
  <c r="R34" i="81"/>
  <c r="R30" i="81"/>
  <c r="R26" i="81"/>
  <c r="P22" i="81"/>
  <c r="R70" i="81"/>
  <c r="R54" i="81"/>
  <c r="R53" i="81"/>
  <c r="R74" i="81"/>
  <c r="R67" i="81"/>
  <c r="R66" i="81"/>
  <c r="R44" i="81"/>
  <c r="R40" i="81"/>
  <c r="R36" i="81"/>
  <c r="R17" i="81"/>
  <c r="R75" i="81"/>
  <c r="R58" i="81"/>
  <c r="R57" i="81"/>
  <c r="R46" i="81"/>
  <c r="R45" i="81"/>
  <c r="R41" i="81"/>
  <c r="R37" i="81"/>
  <c r="J24" i="81"/>
  <c r="Z50" i="81"/>
  <c r="V58" i="81"/>
  <c r="R71" i="81"/>
  <c r="X97" i="85"/>
  <c r="Z97" i="85" s="1"/>
  <c r="V97" i="85"/>
  <c r="X52" i="75"/>
  <c r="Z52" i="75" s="1"/>
  <c r="V43" i="76"/>
  <c r="V47" i="76"/>
  <c r="V51" i="76"/>
  <c r="V63" i="76"/>
  <c r="V71" i="76"/>
  <c r="V38" i="77"/>
  <c r="V42" i="77"/>
  <c r="V46" i="77"/>
  <c r="V50" i="77"/>
  <c r="V52" i="77"/>
  <c r="V54" i="77"/>
  <c r="J58" i="77"/>
  <c r="J62" i="77"/>
  <c r="V78" i="77"/>
  <c r="J86" i="77"/>
  <c r="V90" i="77"/>
  <c r="J94" i="77"/>
  <c r="V100" i="77"/>
  <c r="L26" i="79"/>
  <c r="N26" i="79" s="1"/>
  <c r="J27" i="79"/>
  <c r="V29" i="79"/>
  <c r="V33" i="79"/>
  <c r="J37" i="79"/>
  <c r="J41" i="79"/>
  <c r="J45" i="79"/>
  <c r="V49" i="79"/>
  <c r="J53" i="79"/>
  <c r="V57" i="79"/>
  <c r="J64" i="79"/>
  <c r="J17" i="80"/>
  <c r="J32" i="80"/>
  <c r="V42" i="80"/>
  <c r="X64" i="80"/>
  <c r="X24" i="81"/>
  <c r="Z24" i="81" s="1"/>
  <c r="X52" i="81"/>
  <c r="Z52" i="81" s="1"/>
  <c r="R56" i="81"/>
  <c r="V60" i="76"/>
  <c r="V72" i="76"/>
  <c r="V76" i="76"/>
  <c r="V55" i="77"/>
  <c r="V59" i="77"/>
  <c r="V63" i="77"/>
  <c r="J67" i="77"/>
  <c r="J71" i="77"/>
  <c r="J75" i="77"/>
  <c r="V79" i="77"/>
  <c r="J85" i="77"/>
  <c r="V99" i="77"/>
  <c r="Z12" i="79"/>
  <c r="J18" i="79"/>
  <c r="J22" i="79"/>
  <c r="J36" i="79"/>
  <c r="V38" i="79"/>
  <c r="V42" i="79"/>
  <c r="V46" i="79"/>
  <c r="J52" i="79"/>
  <c r="J62" i="79"/>
  <c r="J63" i="79"/>
  <c r="J29" i="80"/>
  <c r="V35" i="80"/>
  <c r="J46" i="80"/>
  <c r="J54" i="80"/>
  <c r="Z64" i="80"/>
  <c r="V74" i="80"/>
  <c r="L16" i="82"/>
  <c r="D22" i="82"/>
  <c r="P28" i="83"/>
  <c r="R28" i="83" s="1"/>
  <c r="R22" i="83"/>
  <c r="V33" i="76"/>
  <c r="V37" i="76"/>
  <c r="V41" i="76"/>
  <c r="V61" i="76"/>
  <c r="V77" i="76"/>
  <c r="V87" i="76"/>
  <c r="J40" i="77"/>
  <c r="J44" i="77"/>
  <c r="J48" i="77"/>
  <c r="J66" i="77"/>
  <c r="V68" i="77"/>
  <c r="V72" i="77"/>
  <c r="V76" i="77"/>
  <c r="V88" i="77"/>
  <c r="V96" i="77"/>
  <c r="J31" i="79"/>
  <c r="J35" i="79"/>
  <c r="V47" i="79"/>
  <c r="H22" i="80"/>
  <c r="J26" i="80"/>
  <c r="V37" i="80"/>
  <c r="V57" i="80"/>
  <c r="L13" i="84"/>
  <c r="N13" i="84" s="1"/>
  <c r="D12" i="84"/>
  <c r="V28" i="81"/>
  <c r="V32" i="81"/>
  <c r="J36" i="81"/>
  <c r="J40" i="81"/>
  <c r="J44" i="81"/>
  <c r="V48" i="81"/>
  <c r="J54" i="81"/>
  <c r="J62" i="81"/>
  <c r="J66" i="81"/>
  <c r="V68" i="81"/>
  <c r="N16" i="82"/>
  <c r="V20" i="82"/>
  <c r="F24" i="82"/>
  <c r="L17" i="83"/>
  <c r="N17" i="83" s="1"/>
  <c r="R18" i="83"/>
  <c r="R24" i="83"/>
  <c r="V40" i="84"/>
  <c r="J42" i="84"/>
  <c r="J51" i="84"/>
  <c r="J54" i="84"/>
  <c r="Z63" i="84"/>
  <c r="X73" i="84"/>
  <c r="Z73" i="84" s="1"/>
  <c r="N75" i="84"/>
  <c r="T28" i="86"/>
  <c r="R26" i="86"/>
  <c r="X17" i="88"/>
  <c r="Z17" i="88" s="1"/>
  <c r="F20" i="83"/>
  <c r="Z65" i="84"/>
  <c r="N83" i="84"/>
  <c r="N85" i="84"/>
  <c r="D12" i="85"/>
  <c r="L13" i="85"/>
  <c r="N13" i="85" s="1"/>
  <c r="N94" i="85"/>
  <c r="L94" i="85"/>
  <c r="Z104" i="85"/>
  <c r="X104" i="85"/>
  <c r="Z23" i="86"/>
  <c r="X23" i="86"/>
  <c r="V23" i="86"/>
  <c r="N59" i="92"/>
  <c r="L59" i="92"/>
  <c r="J25" i="81"/>
  <c r="V27" i="81"/>
  <c r="V31" i="81"/>
  <c r="J39" i="81"/>
  <c r="J43" i="81"/>
  <c r="J51" i="81"/>
  <c r="V55" i="81"/>
  <c r="J61" i="81"/>
  <c r="V62" i="81"/>
  <c r="V63" i="81"/>
  <c r="J65" i="81"/>
  <c r="X14" i="82"/>
  <c r="T16" i="82"/>
  <c r="F22" i="82"/>
  <c r="V26" i="82"/>
  <c r="L13" i="83"/>
  <c r="T22" i="83"/>
  <c r="X13" i="84"/>
  <c r="Z13" i="84" s="1"/>
  <c r="V42" i="84"/>
  <c r="V62" i="84"/>
  <c r="V65" i="84"/>
  <c r="N87" i="84"/>
  <c r="T122" i="85"/>
  <c r="V47" i="85"/>
  <c r="J94" i="85"/>
  <c r="V104" i="85"/>
  <c r="F18" i="86"/>
  <c r="F24" i="86"/>
  <c r="F23" i="86"/>
  <c r="F22" i="86"/>
  <c r="F20" i="86"/>
  <c r="D20" i="86"/>
  <c r="F26" i="86"/>
  <c r="F30" i="86"/>
  <c r="L12" i="86"/>
  <c r="F17" i="86"/>
  <c r="F16" i="86"/>
  <c r="F87" i="88"/>
  <c r="Z57" i="89"/>
  <c r="X57" i="89"/>
  <c r="V57" i="89"/>
  <c r="J72" i="81"/>
  <c r="J68" i="81"/>
  <c r="J20" i="81"/>
  <c r="V36" i="81"/>
  <c r="V40" i="81"/>
  <c r="V44" i="81"/>
  <c r="J50" i="81"/>
  <c r="V56" i="81"/>
  <c r="X63" i="81"/>
  <c r="V66" i="81"/>
  <c r="J73" i="81"/>
  <c r="V74" i="81"/>
  <c r="V75" i="81"/>
  <c r="J22" i="82"/>
  <c r="J20" i="82"/>
  <c r="J18" i="82"/>
  <c r="J16" i="82"/>
  <c r="J14" i="82"/>
  <c r="V16" i="82"/>
  <c r="V17" i="83"/>
  <c r="V32" i="84"/>
  <c r="V34" i="84"/>
  <c r="J36" i="84"/>
  <c r="V48" i="84"/>
  <c r="J58" i="84"/>
  <c r="X65" i="84"/>
  <c r="J74" i="84"/>
  <c r="L87" i="84"/>
  <c r="X76" i="85"/>
  <c r="Z76" i="85" s="1"/>
  <c r="N92" i="85"/>
  <c r="J23" i="86"/>
  <c r="J24" i="86"/>
  <c r="J22" i="86"/>
  <c r="J20" i="86"/>
  <c r="H20" i="86"/>
  <c r="J26" i="86"/>
  <c r="J30" i="86"/>
  <c r="N12" i="86"/>
  <c r="L16" i="86"/>
  <c r="N16" i="86" s="1"/>
  <c r="J18" i="86"/>
  <c r="N85" i="88"/>
  <c r="L47" i="92"/>
  <c r="N47" i="92" s="1"/>
  <c r="J29" i="81"/>
  <c r="J33" i="81"/>
  <c r="J49" i="81"/>
  <c r="V53" i="81"/>
  <c r="J60" i="81"/>
  <c r="J69" i="81"/>
  <c r="V70" i="81"/>
  <c r="J78" i="81"/>
  <c r="F19" i="83"/>
  <c r="R20" i="83"/>
  <c r="F26" i="83"/>
  <c r="V19" i="84"/>
  <c r="V44" i="84"/>
  <c r="V56" i="84"/>
  <c r="V64" i="84"/>
  <c r="V83" i="84"/>
  <c r="Z88" i="85"/>
  <c r="X88" i="85"/>
  <c r="V28" i="86"/>
  <c r="N25" i="88"/>
  <c r="L25" i="88"/>
  <c r="T91" i="92"/>
  <c r="Z16" i="92"/>
  <c r="V26" i="81"/>
  <c r="V30" i="81"/>
  <c r="V34" i="81"/>
  <c r="J38" i="81"/>
  <c r="J42" i="81"/>
  <c r="J48" i="81"/>
  <c r="N12" i="82"/>
  <c r="J19" i="83"/>
  <c r="L24" i="83"/>
  <c r="J81" i="84"/>
  <c r="J77" i="84"/>
  <c r="J63" i="84"/>
  <c r="J53" i="84"/>
  <c r="J35" i="84"/>
  <c r="H22" i="84"/>
  <c r="J22" i="84" s="1"/>
  <c r="J71" i="84"/>
  <c r="J65" i="84"/>
  <c r="J31" i="84"/>
  <c r="J27" i="84"/>
  <c r="J82" i="84"/>
  <c r="J78" i="84"/>
  <c r="J83" i="84"/>
  <c r="J55" i="84"/>
  <c r="J45" i="84"/>
  <c r="J41" i="84"/>
  <c r="J37" i="84"/>
  <c r="J84" i="84"/>
  <c r="J72" i="84"/>
  <c r="J56" i="84"/>
  <c r="J85" i="84"/>
  <c r="J79" i="84"/>
  <c r="J73" i="84"/>
  <c r="J67" i="84"/>
  <c r="J57" i="84"/>
  <c r="J47" i="84"/>
  <c r="J87" i="84"/>
  <c r="J75" i="84"/>
  <c r="J69" i="84"/>
  <c r="J90" i="84"/>
  <c r="J70" i="84"/>
  <c r="J62" i="84"/>
  <c r="J52" i="84"/>
  <c r="J34" i="84"/>
  <c r="J30" i="84"/>
  <c r="J26" i="84"/>
  <c r="J24" i="84"/>
  <c r="J18" i="84"/>
  <c r="J29" i="84"/>
  <c r="X59" i="84"/>
  <c r="Z59" i="84" s="1"/>
  <c r="J66" i="84"/>
  <c r="Z50" i="85"/>
  <c r="Z86" i="85"/>
  <c r="V88" i="85"/>
  <c r="Z22" i="86"/>
  <c r="X22" i="86"/>
  <c r="J26" i="83"/>
  <c r="Z25" i="84"/>
  <c r="V27" i="84"/>
  <c r="J38" i="84"/>
  <c r="J43" i="84"/>
  <c r="J46" i="84"/>
  <c r="J49" i="84"/>
  <c r="N55" i="84"/>
  <c r="V58" i="84"/>
  <c r="L63" i="84"/>
  <c r="N63" i="84" s="1"/>
  <c r="N68" i="84"/>
  <c r="V72" i="84"/>
  <c r="J76" i="84"/>
  <c r="J80" i="84"/>
  <c r="J86" i="84"/>
  <c r="V94" i="84"/>
  <c r="N71" i="85"/>
  <c r="L71" i="85"/>
  <c r="N117" i="85"/>
  <c r="V22" i="86"/>
  <c r="F72" i="88"/>
  <c r="F56" i="88"/>
  <c r="F55" i="88"/>
  <c r="F92" i="88"/>
  <c r="F83" i="88"/>
  <c r="F79" i="88"/>
  <c r="F47" i="88"/>
  <c r="F46" i="88"/>
  <c r="F19" i="88"/>
  <c r="F96" i="88"/>
  <c r="F74" i="88"/>
  <c r="F73" i="88"/>
  <c r="F66" i="88"/>
  <c r="F58" i="88"/>
  <c r="F57" i="88"/>
  <c r="F42" i="88"/>
  <c r="F38" i="88"/>
  <c r="F84" i="88"/>
  <c r="F80" i="88"/>
  <c r="F76" i="88"/>
  <c r="F75" i="88"/>
  <c r="F68" i="88"/>
  <c r="F67" i="88"/>
  <c r="F60" i="88"/>
  <c r="F59" i="88"/>
  <c r="F20" i="88"/>
  <c r="F86" i="88"/>
  <c r="F85" i="88"/>
  <c r="F70" i="88"/>
  <c r="F69" i="88"/>
  <c r="F62" i="88"/>
  <c r="F61" i="88"/>
  <c r="F81" i="88"/>
  <c r="F77" i="88"/>
  <c r="F53" i="88"/>
  <c r="F52" i="88"/>
  <c r="F65" i="88"/>
  <c r="F45" i="88"/>
  <c r="F41" i="88"/>
  <c r="F37" i="88"/>
  <c r="F26" i="88"/>
  <c r="F90" i="88"/>
  <c r="F88" i="88"/>
  <c r="F31" i="88"/>
  <c r="F17" i="88"/>
  <c r="F71" i="88"/>
  <c r="F51" i="88"/>
  <c r="F29" i="88"/>
  <c r="F48" i="88"/>
  <c r="F43" i="88"/>
  <c r="F39" i="88"/>
  <c r="F18" i="88"/>
  <c r="L12" i="88"/>
  <c r="F78" i="88"/>
  <c r="F63" i="88"/>
  <c r="F34" i="88"/>
  <c r="F27" i="88"/>
  <c r="D22" i="88"/>
  <c r="F22" i="88" s="1"/>
  <c r="F82" i="88"/>
  <c r="F89" i="88"/>
  <c r="F54" i="88"/>
  <c r="F32" i="88"/>
  <c r="F24" i="88"/>
  <c r="F64" i="88"/>
  <c r="F44" i="88"/>
  <c r="F40" i="88"/>
  <c r="F28" i="88"/>
  <c r="P22" i="88"/>
  <c r="F33" i="88"/>
  <c r="F35" i="88"/>
  <c r="X87" i="92"/>
  <c r="Z87" i="92" s="1"/>
  <c r="V71" i="81"/>
  <c r="V67" i="81"/>
  <c r="V59" i="81"/>
  <c r="V78" i="81"/>
  <c r="V76" i="81"/>
  <c r="V64" i="81"/>
  <c r="V20" i="81"/>
  <c r="V22" i="81"/>
  <c r="V24" i="81"/>
  <c r="J28" i="81"/>
  <c r="J32" i="81"/>
  <c r="J46" i="81"/>
  <c r="V52" i="81"/>
  <c r="J58" i="81"/>
  <c r="V69" i="81"/>
  <c r="Z73" i="81"/>
  <c r="J76" i="81"/>
  <c r="F18" i="83"/>
  <c r="D22" i="83"/>
  <c r="N17" i="84"/>
  <c r="L35" i="84"/>
  <c r="N35" i="84" s="1"/>
  <c r="V36" i="84"/>
  <c r="L48" i="84"/>
  <c r="V50" i="84"/>
  <c r="L57" i="84"/>
  <c r="N57" i="84" s="1"/>
  <c r="J68" i="84"/>
  <c r="P12" i="85"/>
  <c r="X14" i="85"/>
  <c r="X60" i="85"/>
  <c r="Z60" i="85" s="1"/>
  <c r="R24" i="86"/>
  <c r="P20" i="86"/>
  <c r="R30" i="86"/>
  <c r="X12" i="86"/>
  <c r="Z12" i="86" s="1"/>
  <c r="R16" i="86"/>
  <c r="R17" i="86"/>
  <c r="R22" i="86"/>
  <c r="V33" i="81"/>
  <c r="J37" i="81"/>
  <c r="J41" i="81"/>
  <c r="J45" i="81"/>
  <c r="V49" i="81"/>
  <c r="J57" i="81"/>
  <c r="J63" i="81"/>
  <c r="V72" i="81"/>
  <c r="V73" i="81"/>
  <c r="R30" i="83"/>
  <c r="R17" i="83"/>
  <c r="F17" i="83"/>
  <c r="R19" i="83"/>
  <c r="F22" i="83"/>
  <c r="V31" i="84"/>
  <c r="V53" i="84"/>
  <c r="Z61" i="84"/>
  <c r="V38" i="81"/>
  <c r="V42" i="81"/>
  <c r="V50" i="81"/>
  <c r="J56" i="81"/>
  <c r="J71" i="81"/>
  <c r="J75" i="81"/>
  <c r="R26" i="83"/>
  <c r="V85" i="84"/>
  <c r="V73" i="84"/>
  <c r="V57" i="84"/>
  <c r="V45" i="84"/>
  <c r="V41" i="84"/>
  <c r="V37" i="84"/>
  <c r="V87" i="84"/>
  <c r="V79" i="84"/>
  <c r="V75" i="84"/>
  <c r="V67" i="84"/>
  <c r="V59" i="84"/>
  <c r="V47" i="84"/>
  <c r="V86" i="84"/>
  <c r="V74" i="84"/>
  <c r="V69" i="84"/>
  <c r="V61" i="84"/>
  <c r="V49" i="84"/>
  <c r="V33" i="84"/>
  <c r="V29" i="84"/>
  <c r="V25" i="84"/>
  <c r="V90" i="84"/>
  <c r="V88" i="84"/>
  <c r="V80" i="84"/>
  <c r="V76" i="84"/>
  <c r="V60" i="84"/>
  <c r="V63" i="84"/>
  <c r="V51" i="84"/>
  <c r="V43" i="84"/>
  <c r="V39" i="84"/>
  <c r="V35" i="84"/>
  <c r="V81" i="84"/>
  <c r="V77" i="84"/>
  <c r="V82" i="84"/>
  <c r="V78" i="84"/>
  <c r="V66" i="84"/>
  <c r="V54" i="84"/>
  <c r="V46" i="84"/>
  <c r="V18" i="84"/>
  <c r="V24" i="84"/>
  <c r="V38" i="84"/>
  <c r="V84" i="84"/>
  <c r="J88" i="84"/>
  <c r="V49" i="85"/>
  <c r="N24" i="88"/>
  <c r="J17" i="81"/>
  <c r="V19" i="81"/>
  <c r="J27" i="81"/>
  <c r="J31" i="81"/>
  <c r="V47" i="81"/>
  <c r="J55" i="81"/>
  <c r="V60" i="81"/>
  <c r="J67" i="81"/>
  <c r="J82" i="81"/>
  <c r="X18" i="82"/>
  <c r="X12" i="83"/>
  <c r="Z12" i="83" s="1"/>
  <c r="J17" i="83"/>
  <c r="Z12" i="84"/>
  <c r="T22" i="84"/>
  <c r="J28" i="84"/>
  <c r="J48" i="84"/>
  <c r="V55" i="84"/>
  <c r="L65" i="84"/>
  <c r="N65" i="84" s="1"/>
  <c r="V68" i="84"/>
  <c r="N73" i="84"/>
  <c r="X49" i="85"/>
  <c r="Z49" i="85" s="1"/>
  <c r="L82" i="85"/>
  <c r="N82" i="85" s="1"/>
  <c r="X117" i="85"/>
  <c r="Z117" i="85" s="1"/>
  <c r="V117" i="85"/>
  <c r="J17" i="86"/>
  <c r="R89" i="92"/>
  <c r="R80" i="92"/>
  <c r="R79" i="92"/>
  <c r="R67" i="92"/>
  <c r="R91" i="92"/>
  <c r="R63" i="92"/>
  <c r="R62" i="92"/>
  <c r="R55" i="92"/>
  <c r="R54" i="92"/>
  <c r="R38" i="92"/>
  <c r="R34" i="92"/>
  <c r="R81" i="92"/>
  <c r="R73" i="92"/>
  <c r="R45" i="92"/>
  <c r="R30" i="92"/>
  <c r="R29" i="92"/>
  <c r="R25" i="92"/>
  <c r="R21" i="92"/>
  <c r="R69" i="92"/>
  <c r="R68" i="92"/>
  <c r="R64" i="92"/>
  <c r="R57" i="92"/>
  <c r="R56" i="92"/>
  <c r="R93" i="92"/>
  <c r="R39" i="92"/>
  <c r="R35" i="92"/>
  <c r="R31" i="92"/>
  <c r="R95" i="92"/>
  <c r="R82" i="92"/>
  <c r="R74" i="92"/>
  <c r="R70" i="92"/>
  <c r="R59" i="92"/>
  <c r="R58" i="92"/>
  <c r="R47" i="92"/>
  <c r="R46" i="92"/>
  <c r="R26" i="92"/>
  <c r="R22" i="92"/>
  <c r="R98" i="92"/>
  <c r="R65" i="92"/>
  <c r="R60" i="92"/>
  <c r="R49" i="92"/>
  <c r="R48" i="92"/>
  <c r="R41" i="92"/>
  <c r="R40" i="92"/>
  <c r="R36" i="92"/>
  <c r="R32" i="92"/>
  <c r="X12" i="92"/>
  <c r="R84" i="92"/>
  <c r="R83" i="92"/>
  <c r="R76" i="92"/>
  <c r="R75" i="92"/>
  <c r="R71" i="92"/>
  <c r="R27" i="92"/>
  <c r="R23" i="92"/>
  <c r="R88" i="92"/>
  <c r="R87" i="92"/>
  <c r="R72" i="92"/>
  <c r="R53" i="92"/>
  <c r="R52" i="92"/>
  <c r="R44" i="92"/>
  <c r="R28" i="92"/>
  <c r="R24" i="92"/>
  <c r="R20" i="92"/>
  <c r="P16" i="92"/>
  <c r="R77" i="92"/>
  <c r="R16" i="92"/>
  <c r="R85" i="92"/>
  <c r="R42" i="92"/>
  <c r="R50" i="92"/>
  <c r="R14" i="92"/>
  <c r="R78" i="92"/>
  <c r="R43" i="92"/>
  <c r="R51" i="92"/>
  <c r="R33" i="92"/>
  <c r="R66" i="92"/>
  <c r="R61" i="92"/>
  <c r="V20" i="83"/>
  <c r="V22" i="83"/>
  <c r="V24" i="83"/>
  <c r="V26" i="83"/>
  <c r="Z48" i="84"/>
  <c r="Z68" i="84"/>
  <c r="J32" i="85"/>
  <c r="V34" i="85"/>
  <c r="V38" i="85"/>
  <c r="V42" i="85"/>
  <c r="N50" i="85"/>
  <c r="J54" i="85"/>
  <c r="J58" i="85"/>
  <c r="J74" i="85"/>
  <c r="V78" i="85"/>
  <c r="Z80" i="85"/>
  <c r="J84" i="85"/>
  <c r="N86" i="85"/>
  <c r="V90" i="85"/>
  <c r="Z92" i="85"/>
  <c r="V98" i="85"/>
  <c r="J102" i="85"/>
  <c r="V110" i="85"/>
  <c r="J114" i="85"/>
  <c r="V118" i="85"/>
  <c r="V120" i="85"/>
  <c r="V122" i="85"/>
  <c r="V24" i="86"/>
  <c r="V26" i="86"/>
  <c r="N17" i="88"/>
  <c r="J26" i="88"/>
  <c r="R31" i="88"/>
  <c r="R47" i="88"/>
  <c r="J50" i="88"/>
  <c r="J55" i="88"/>
  <c r="R73" i="88"/>
  <c r="N75" i="88"/>
  <c r="R81" i="88"/>
  <c r="T23" i="89"/>
  <c r="Z18" i="89"/>
  <c r="Z76" i="89"/>
  <c r="X76" i="89"/>
  <c r="N18" i="92"/>
  <c r="N30" i="92"/>
  <c r="J53" i="85"/>
  <c r="J57" i="85"/>
  <c r="J71" i="85"/>
  <c r="J81" i="85"/>
  <c r="J93" i="85"/>
  <c r="N59" i="88"/>
  <c r="N61" i="88"/>
  <c r="V64" i="88"/>
  <c r="Z75" i="88"/>
  <c r="N87" i="88"/>
  <c r="V96" i="88"/>
  <c r="J69" i="89"/>
  <c r="J55" i="89"/>
  <c r="J45" i="89"/>
  <c r="J41" i="89"/>
  <c r="J37" i="89"/>
  <c r="J64" i="89"/>
  <c r="J56" i="89"/>
  <c r="J32" i="89"/>
  <c r="J28" i="89"/>
  <c r="J18" i="89"/>
  <c r="J75" i="89"/>
  <c r="J57" i="89"/>
  <c r="J19" i="89"/>
  <c r="J76" i="89"/>
  <c r="J70" i="89"/>
  <c r="J58" i="89"/>
  <c r="J46" i="89"/>
  <c r="J42" i="89"/>
  <c r="J38" i="89"/>
  <c r="J77" i="89"/>
  <c r="J65" i="89"/>
  <c r="J59" i="89"/>
  <c r="J47" i="89"/>
  <c r="J33" i="89"/>
  <c r="J29" i="89"/>
  <c r="J78" i="89"/>
  <c r="J66" i="89"/>
  <c r="J60" i="89"/>
  <c r="J48" i="89"/>
  <c r="J20" i="89"/>
  <c r="J79" i="89"/>
  <c r="J71" i="89"/>
  <c r="J67" i="89"/>
  <c r="J49" i="89"/>
  <c r="J43" i="89"/>
  <c r="J39" i="89"/>
  <c r="J50" i="89"/>
  <c r="J34" i="89"/>
  <c r="J30" i="89"/>
  <c r="J81" i="89"/>
  <c r="J61" i="89"/>
  <c r="J51" i="89"/>
  <c r="J74" i="89"/>
  <c r="J54" i="89"/>
  <c r="J36" i="89"/>
  <c r="H23" i="89"/>
  <c r="J21" i="89"/>
  <c r="L62" i="89"/>
  <c r="N62" i="89" s="1"/>
  <c r="Z18" i="92"/>
  <c r="X18" i="92"/>
  <c r="N78" i="92"/>
  <c r="J80" i="85"/>
  <c r="J92" i="85"/>
  <c r="J106" i="85"/>
  <c r="J124" i="85"/>
  <c r="Z55" i="88"/>
  <c r="R72" i="88"/>
  <c r="N89" i="88"/>
  <c r="R70" i="89"/>
  <c r="R59" i="89"/>
  <c r="R58" i="89"/>
  <c r="R47" i="89"/>
  <c r="R46" i="89"/>
  <c r="R42" i="89"/>
  <c r="R38" i="89"/>
  <c r="R78" i="89"/>
  <c r="R77" i="89"/>
  <c r="R66" i="89"/>
  <c r="R65" i="89"/>
  <c r="R33" i="89"/>
  <c r="R29" i="89"/>
  <c r="R60" i="89"/>
  <c r="R49" i="89"/>
  <c r="R48" i="89"/>
  <c r="R20" i="89"/>
  <c r="R79" i="89"/>
  <c r="R71" i="89"/>
  <c r="R67" i="89"/>
  <c r="R43" i="89"/>
  <c r="R39" i="89"/>
  <c r="R81" i="89"/>
  <c r="R51" i="89"/>
  <c r="R50" i="89"/>
  <c r="R34" i="89"/>
  <c r="R30" i="89"/>
  <c r="R62" i="89"/>
  <c r="R61" i="89"/>
  <c r="R26" i="89"/>
  <c r="R21" i="89"/>
  <c r="R73" i="89"/>
  <c r="R72" i="89"/>
  <c r="R68" i="89"/>
  <c r="R53" i="89"/>
  <c r="R52" i="89"/>
  <c r="R44" i="89"/>
  <c r="R40" i="89"/>
  <c r="R25" i="89"/>
  <c r="R23" i="89"/>
  <c r="R85" i="89"/>
  <c r="R63" i="89"/>
  <c r="R36" i="89"/>
  <c r="R35" i="89"/>
  <c r="R31" i="89"/>
  <c r="R27" i="89"/>
  <c r="P23" i="89"/>
  <c r="R74" i="89"/>
  <c r="R55" i="89"/>
  <c r="R54" i="89"/>
  <c r="R76" i="89"/>
  <c r="R75" i="89"/>
  <c r="R19" i="89"/>
  <c r="J62" i="89"/>
  <c r="Z53" i="92"/>
  <c r="X53" i="92"/>
  <c r="J35" i="85"/>
  <c r="J39" i="85"/>
  <c r="J43" i="85"/>
  <c r="J79" i="85"/>
  <c r="V83" i="85"/>
  <c r="J91" i="85"/>
  <c r="V95" i="85"/>
  <c r="J99" i="85"/>
  <c r="V107" i="85"/>
  <c r="J111" i="85"/>
  <c r="V115" i="85"/>
  <c r="J83" i="88"/>
  <c r="J79" i="88"/>
  <c r="J73" i="88"/>
  <c r="J57" i="88"/>
  <c r="J47" i="88"/>
  <c r="J96" i="88"/>
  <c r="J74" i="88"/>
  <c r="J66" i="88"/>
  <c r="J58" i="88"/>
  <c r="J48" i="88"/>
  <c r="J42" i="88"/>
  <c r="J38" i="88"/>
  <c r="J75" i="88"/>
  <c r="J67" i="88"/>
  <c r="J59" i="88"/>
  <c r="J49" i="88"/>
  <c r="J33" i="88"/>
  <c r="J29" i="88"/>
  <c r="J85" i="88"/>
  <c r="J69" i="88"/>
  <c r="J61" i="88"/>
  <c r="J51" i="88"/>
  <c r="J43" i="88"/>
  <c r="J39" i="88"/>
  <c r="J25" i="88"/>
  <c r="J86" i="88"/>
  <c r="J87" i="88"/>
  <c r="J81" i="88"/>
  <c r="J77" i="88"/>
  <c r="J63" i="88"/>
  <c r="J53" i="88"/>
  <c r="J88" i="88"/>
  <c r="J64" i="88"/>
  <c r="J44" i="88"/>
  <c r="J40" i="88"/>
  <c r="J36" i="88"/>
  <c r="J92" i="88"/>
  <c r="J72" i="88"/>
  <c r="J56" i="88"/>
  <c r="J46" i="88"/>
  <c r="J32" i="88"/>
  <c r="J28" i="88"/>
  <c r="J24" i="88"/>
  <c r="R25" i="88"/>
  <c r="J37" i="88"/>
  <c r="V49" i="88"/>
  <c r="X50" i="88"/>
  <c r="X55" i="88"/>
  <c r="R57" i="88"/>
  <c r="R59" i="88"/>
  <c r="J82" i="88"/>
  <c r="V85" i="88"/>
  <c r="J89" i="88"/>
  <c r="X12" i="89"/>
  <c r="Z12" i="89" s="1"/>
  <c r="X14" i="89"/>
  <c r="R32" i="89"/>
  <c r="R56" i="89"/>
  <c r="J73" i="89"/>
  <c r="Z51" i="92"/>
  <c r="N69" i="92"/>
  <c r="Z84" i="92"/>
  <c r="J52" i="85"/>
  <c r="J56" i="85"/>
  <c r="V72" i="85"/>
  <c r="J78" i="85"/>
  <c r="V84" i="85"/>
  <c r="J90" i="85"/>
  <c r="V100" i="85"/>
  <c r="J110" i="85"/>
  <c r="V112" i="85"/>
  <c r="J120" i="85"/>
  <c r="R19" i="88"/>
  <c r="J27" i="88"/>
  <c r="R32" i="88"/>
  <c r="J34" i="88"/>
  <c r="V54" i="88"/>
  <c r="Z57" i="88"/>
  <c r="X59" i="88"/>
  <c r="Z59" i="88" s="1"/>
  <c r="N63" i="88"/>
  <c r="J65" i="88"/>
  <c r="N67" i="88"/>
  <c r="J76" i="88"/>
  <c r="J78" i="88"/>
  <c r="J80" i="88"/>
  <c r="J84" i="88"/>
  <c r="R69" i="89"/>
  <c r="Z43" i="92"/>
  <c r="X78" i="92"/>
  <c r="Z78" i="92" s="1"/>
  <c r="H80" i="93"/>
  <c r="J22" i="93"/>
  <c r="X58" i="93"/>
  <c r="Z58" i="93"/>
  <c r="V53" i="85"/>
  <c r="V57" i="85"/>
  <c r="J61" i="85"/>
  <c r="J65" i="85"/>
  <c r="J69" i="85"/>
  <c r="V73" i="85"/>
  <c r="J77" i="85"/>
  <c r="V81" i="85"/>
  <c r="J89" i="85"/>
  <c r="V93" i="85"/>
  <c r="V101" i="85"/>
  <c r="J105" i="85"/>
  <c r="J109" i="85"/>
  <c r="V113" i="85"/>
  <c r="N12" i="88"/>
  <c r="J18" i="88"/>
  <c r="V19" i="88"/>
  <c r="H22" i="88"/>
  <c r="V25" i="88"/>
  <c r="V35" i="88"/>
  <c r="J41" i="88"/>
  <c r="J45" i="88"/>
  <c r="V46" i="88"/>
  <c r="V59" i="88"/>
  <c r="V61" i="88"/>
  <c r="L69" i="88"/>
  <c r="N69" i="88" s="1"/>
  <c r="V74" i="88"/>
  <c r="Z89" i="88"/>
  <c r="Z76" i="92"/>
  <c r="V58" i="93"/>
  <c r="R71" i="94"/>
  <c r="R19" i="94"/>
  <c r="R74" i="94"/>
  <c r="R73" i="94"/>
  <c r="R59" i="94"/>
  <c r="R58" i="94"/>
  <c r="R47" i="94"/>
  <c r="R46" i="94"/>
  <c r="R42" i="94"/>
  <c r="R38" i="94"/>
  <c r="R65" i="94"/>
  <c r="R33" i="94"/>
  <c r="R29" i="94"/>
  <c r="R61" i="94"/>
  <c r="R60" i="94"/>
  <c r="R49" i="94"/>
  <c r="R48" i="94"/>
  <c r="R20" i="94"/>
  <c r="R43" i="94"/>
  <c r="R39" i="94"/>
  <c r="R78" i="94"/>
  <c r="R67" i="94"/>
  <c r="R66" i="94"/>
  <c r="R62" i="94"/>
  <c r="R51" i="94"/>
  <c r="R50" i="94"/>
  <c r="R34" i="94"/>
  <c r="R30" i="94"/>
  <c r="R26" i="94"/>
  <c r="R21" i="94"/>
  <c r="R68" i="94"/>
  <c r="R53" i="94"/>
  <c r="R52" i="94"/>
  <c r="R44" i="94"/>
  <c r="R40" i="94"/>
  <c r="R25" i="94"/>
  <c r="R23" i="94"/>
  <c r="R64" i="94"/>
  <c r="R57" i="94"/>
  <c r="R56" i="94"/>
  <c r="R32" i="94"/>
  <c r="R28" i="94"/>
  <c r="X12" i="94"/>
  <c r="Z12" i="94" s="1"/>
  <c r="R69" i="94"/>
  <c r="P23" i="94"/>
  <c r="R18" i="94"/>
  <c r="R55" i="94"/>
  <c r="R70" i="94"/>
  <c r="R41" i="94"/>
  <c r="R37" i="94"/>
  <c r="R45" i="94"/>
  <c r="R27" i="94"/>
  <c r="R35" i="94"/>
  <c r="R31" i="94"/>
  <c r="R63" i="94"/>
  <c r="R36" i="94"/>
  <c r="L26" i="95"/>
  <c r="N26" i="95"/>
  <c r="J34" i="85"/>
  <c r="J38" i="85"/>
  <c r="J42" i="85"/>
  <c r="H47" i="85"/>
  <c r="J60" i="85"/>
  <c r="J76" i="85"/>
  <c r="J88" i="85"/>
  <c r="J98" i="85"/>
  <c r="J104" i="85"/>
  <c r="J118" i="85"/>
  <c r="V124" i="85"/>
  <c r="R85" i="88"/>
  <c r="R84" i="88"/>
  <c r="R80" i="88"/>
  <c r="R76" i="88"/>
  <c r="R69" i="88"/>
  <c r="R68" i="88"/>
  <c r="R61" i="88"/>
  <c r="R60" i="88"/>
  <c r="R52" i="88"/>
  <c r="R51" i="88"/>
  <c r="R43" i="88"/>
  <c r="R39" i="88"/>
  <c r="R24" i="88"/>
  <c r="R22" i="88"/>
  <c r="R87" i="88"/>
  <c r="R86" i="88"/>
  <c r="R70" i="88"/>
  <c r="R63" i="88"/>
  <c r="R62" i="88"/>
  <c r="R35" i="88"/>
  <c r="R34" i="88"/>
  <c r="R30" i="88"/>
  <c r="R26" i="88"/>
  <c r="R89" i="88"/>
  <c r="R88" i="88"/>
  <c r="R64" i="88"/>
  <c r="R44" i="88"/>
  <c r="R40" i="88"/>
  <c r="R36" i="88"/>
  <c r="R17" i="88"/>
  <c r="R90" i="88"/>
  <c r="R82" i="88"/>
  <c r="R78" i="88"/>
  <c r="R55" i="88"/>
  <c r="R54" i="88"/>
  <c r="R92" i="88"/>
  <c r="R65" i="88"/>
  <c r="R46" i="88"/>
  <c r="R45" i="88"/>
  <c r="R41" i="88"/>
  <c r="R37" i="88"/>
  <c r="R50" i="88"/>
  <c r="R49" i="88"/>
  <c r="R33" i="88"/>
  <c r="R29" i="88"/>
  <c r="R67" i="88"/>
  <c r="J71" i="88"/>
  <c r="F74" i="89"/>
  <c r="F73" i="89"/>
  <c r="F54" i="89"/>
  <c r="F53" i="89"/>
  <c r="F25" i="89"/>
  <c r="F69" i="89"/>
  <c r="F45" i="89"/>
  <c r="F41" i="89"/>
  <c r="F37" i="89"/>
  <c r="F36" i="89"/>
  <c r="D23" i="89"/>
  <c r="F23" i="89" s="1"/>
  <c r="F64" i="89"/>
  <c r="F56" i="89"/>
  <c r="F55" i="89"/>
  <c r="F32" i="89"/>
  <c r="F28" i="89"/>
  <c r="L12" i="89"/>
  <c r="N12" i="89" s="1"/>
  <c r="F75" i="89"/>
  <c r="F70" i="89"/>
  <c r="F58" i="89"/>
  <c r="F57" i="89"/>
  <c r="F46" i="89"/>
  <c r="F42" i="89"/>
  <c r="F38" i="89"/>
  <c r="F77" i="89"/>
  <c r="F76" i="89"/>
  <c r="F65" i="89"/>
  <c r="F33" i="89"/>
  <c r="F29" i="89"/>
  <c r="F60" i="89"/>
  <c r="F59" i="89"/>
  <c r="F48" i="89"/>
  <c r="F47" i="89"/>
  <c r="F20" i="89"/>
  <c r="F79" i="89"/>
  <c r="F78" i="89"/>
  <c r="F71" i="89"/>
  <c r="F67" i="89"/>
  <c r="F66" i="89"/>
  <c r="F43" i="89"/>
  <c r="F39" i="89"/>
  <c r="F50" i="89"/>
  <c r="F49" i="89"/>
  <c r="F34" i="89"/>
  <c r="F30" i="89"/>
  <c r="F85" i="89"/>
  <c r="F63" i="89"/>
  <c r="F62" i="89"/>
  <c r="F35" i="89"/>
  <c r="F31" i="89"/>
  <c r="F27" i="89"/>
  <c r="F26" i="89"/>
  <c r="J23" i="89"/>
  <c r="N26" i="89"/>
  <c r="L26" i="89"/>
  <c r="R28" i="89"/>
  <c r="J35" i="89"/>
  <c r="F51" i="89"/>
  <c r="F72" i="89"/>
  <c r="F81" i="89"/>
  <c r="Z14" i="92"/>
  <c r="X14" i="92"/>
  <c r="X46" i="93"/>
  <c r="Z46" i="93" s="1"/>
  <c r="V46" i="93"/>
  <c r="J47" i="85"/>
  <c r="J49" i="85"/>
  <c r="J51" i="85"/>
  <c r="J55" i="85"/>
  <c r="J59" i="85"/>
  <c r="V71" i="85"/>
  <c r="J75" i="85"/>
  <c r="V79" i="85"/>
  <c r="J87" i="85"/>
  <c r="V91" i="85"/>
  <c r="J97" i="85"/>
  <c r="V99" i="85"/>
  <c r="J103" i="85"/>
  <c r="V111" i="85"/>
  <c r="J117" i="85"/>
  <c r="V87" i="88"/>
  <c r="V63" i="88"/>
  <c r="V51" i="88"/>
  <c r="V43" i="88"/>
  <c r="V39" i="88"/>
  <c r="V86" i="88"/>
  <c r="V70" i="88"/>
  <c r="V62" i="88"/>
  <c r="V34" i="88"/>
  <c r="V30" i="88"/>
  <c r="V26" i="88"/>
  <c r="V89" i="88"/>
  <c r="V81" i="88"/>
  <c r="V77" i="88"/>
  <c r="V53" i="88"/>
  <c r="V71" i="88"/>
  <c r="V55" i="88"/>
  <c r="V31" i="88"/>
  <c r="V27" i="88"/>
  <c r="V92" i="88"/>
  <c r="V90" i="88"/>
  <c r="V82" i="88"/>
  <c r="V78" i="88"/>
  <c r="V73" i="88"/>
  <c r="V65" i="88"/>
  <c r="V57" i="88"/>
  <c r="V45" i="88"/>
  <c r="V41" i="88"/>
  <c r="V72" i="88"/>
  <c r="V56" i="88"/>
  <c r="V48" i="88"/>
  <c r="V32" i="88"/>
  <c r="V28" i="88"/>
  <c r="V84" i="88"/>
  <c r="V80" i="88"/>
  <c r="V76" i="88"/>
  <c r="V68" i="88"/>
  <c r="V60" i="88"/>
  <c r="V52" i="88"/>
  <c r="V24" i="88"/>
  <c r="V20" i="88"/>
  <c r="R27" i="88"/>
  <c r="J31" i="88"/>
  <c r="R56" i="88"/>
  <c r="J60" i="88"/>
  <c r="X67" i="88"/>
  <c r="Z67" i="88" s="1"/>
  <c r="J26" i="89"/>
  <c r="N51" i="89"/>
  <c r="L51" i="89"/>
  <c r="F61" i="89"/>
  <c r="J63" i="89"/>
  <c r="F68" i="89"/>
  <c r="J72" i="89"/>
  <c r="N81" i="89"/>
  <c r="L81" i="89"/>
  <c r="J33" i="85"/>
  <c r="J37" i="85"/>
  <c r="J41" i="85"/>
  <c r="J45" i="85"/>
  <c r="V65" i="85"/>
  <c r="V69" i="85"/>
  <c r="V77" i="85"/>
  <c r="J85" i="85"/>
  <c r="V89" i="85"/>
  <c r="V105" i="85"/>
  <c r="Z12" i="88"/>
  <c r="V18" i="88"/>
  <c r="J20" i="88"/>
  <c r="T22" i="88"/>
  <c r="R53" i="88"/>
  <c r="V58" i="88"/>
  <c r="J62" i="88"/>
  <c r="R71" i="88"/>
  <c r="V88" i="88"/>
  <c r="R18" i="89"/>
  <c r="J31" i="89"/>
  <c r="Z51" i="89"/>
  <c r="Z19" i="92"/>
  <c r="N25" i="93"/>
  <c r="V38" i="89"/>
  <c r="V42" i="89"/>
  <c r="V46" i="89"/>
  <c r="V58" i="89"/>
  <c r="V66" i="89"/>
  <c r="V70" i="89"/>
  <c r="V78" i="89"/>
  <c r="L12" i="92"/>
  <c r="J23" i="92"/>
  <c r="J27" i="92"/>
  <c r="F32" i="92"/>
  <c r="F36" i="92"/>
  <c r="F40" i="92"/>
  <c r="J41" i="92"/>
  <c r="F47" i="92"/>
  <c r="F48" i="92"/>
  <c r="J49" i="92"/>
  <c r="V55" i="92"/>
  <c r="F59" i="92"/>
  <c r="F60" i="92"/>
  <c r="V63" i="92"/>
  <c r="V67" i="92"/>
  <c r="J71" i="92"/>
  <c r="J75" i="92"/>
  <c r="V79" i="92"/>
  <c r="J83" i="92"/>
  <c r="V89" i="92"/>
  <c r="V91" i="92"/>
  <c r="F95" i="92"/>
  <c r="F98" i="92"/>
  <c r="D12" i="93"/>
  <c r="J18" i="93"/>
  <c r="V27" i="93"/>
  <c r="V41" i="93"/>
  <c r="J52" i="93"/>
  <c r="V56" i="93"/>
  <c r="V60" i="93"/>
  <c r="N75" i="93"/>
  <c r="D12" i="94"/>
  <c r="L13" i="94"/>
  <c r="N13" i="94" s="1"/>
  <c r="T23" i="94"/>
  <c r="X18" i="94"/>
  <c r="Z18" i="94" s="1"/>
  <c r="V57" i="94"/>
  <c r="R54" i="95"/>
  <c r="R78" i="95"/>
  <c r="R77" i="95"/>
  <c r="R73" i="95"/>
  <c r="R66" i="95"/>
  <c r="R65" i="95"/>
  <c r="R80" i="95"/>
  <c r="R79" i="95"/>
  <c r="R68" i="95"/>
  <c r="R67" i="95"/>
  <c r="R56" i="95"/>
  <c r="R55" i="95"/>
  <c r="R74" i="95"/>
  <c r="R47" i="95"/>
  <c r="R46" i="95"/>
  <c r="R42" i="95"/>
  <c r="R38" i="95"/>
  <c r="R81" i="95"/>
  <c r="R83" i="95"/>
  <c r="R49" i="95"/>
  <c r="R48" i="95"/>
  <c r="R75" i="95"/>
  <c r="R71" i="95"/>
  <c r="R60" i="95"/>
  <c r="R59" i="95"/>
  <c r="R64" i="95"/>
  <c r="R63" i="95"/>
  <c r="R36" i="95"/>
  <c r="R35" i="95"/>
  <c r="R31" i="95"/>
  <c r="R27" i="95"/>
  <c r="R30" i="95"/>
  <c r="R21" i="95"/>
  <c r="R33" i="95"/>
  <c r="R69" i="95"/>
  <c r="R62" i="95"/>
  <c r="R53" i="95"/>
  <c r="R44" i="95"/>
  <c r="R28" i="95"/>
  <c r="R57" i="95"/>
  <c r="R50" i="95"/>
  <c r="R39" i="95"/>
  <c r="R25" i="95"/>
  <c r="P23" i="95"/>
  <c r="R76" i="95"/>
  <c r="R72" i="95"/>
  <c r="R18" i="95"/>
  <c r="R70" i="95"/>
  <c r="R51" i="95"/>
  <c r="R37" i="95"/>
  <c r="R26" i="95"/>
  <c r="X12" i="95"/>
  <c r="R58" i="95"/>
  <c r="R45" i="95"/>
  <c r="R29" i="95"/>
  <c r="R19" i="95"/>
  <c r="R87" i="95"/>
  <c r="R40" i="95"/>
  <c r="R34" i="95"/>
  <c r="R41" i="95"/>
  <c r="X49" i="95"/>
  <c r="J63" i="95"/>
  <c r="V14" i="92"/>
  <c r="V16" i="92"/>
  <c r="V18" i="92"/>
  <c r="V42" i="92"/>
  <c r="V50" i="92"/>
  <c r="V66" i="92"/>
  <c r="J70" i="92"/>
  <c r="J74" i="92"/>
  <c r="V78" i="92"/>
  <c r="J82" i="92"/>
  <c r="F93" i="92"/>
  <c r="X66" i="93"/>
  <c r="Z66" i="93" s="1"/>
  <c r="N70" i="95"/>
  <c r="L70" i="95"/>
  <c r="V18" i="89"/>
  <c r="V54" i="89"/>
  <c r="V74" i="89"/>
  <c r="V19" i="92"/>
  <c r="V23" i="92"/>
  <c r="V27" i="92"/>
  <c r="J31" i="92"/>
  <c r="J35" i="92"/>
  <c r="J39" i="92"/>
  <c r="V43" i="92"/>
  <c r="V51" i="92"/>
  <c r="F55" i="92"/>
  <c r="F56" i="92"/>
  <c r="J57" i="92"/>
  <c r="F63" i="92"/>
  <c r="F64" i="92"/>
  <c r="F68" i="92"/>
  <c r="J69" i="92"/>
  <c r="V71" i="92"/>
  <c r="V75" i="92"/>
  <c r="V83" i="92"/>
  <c r="F91" i="92"/>
  <c r="J93" i="92"/>
  <c r="P12" i="93"/>
  <c r="J24" i="93"/>
  <c r="J25" i="93"/>
  <c r="V29" i="93"/>
  <c r="V40" i="93"/>
  <c r="V45" i="93"/>
  <c r="V52" i="93"/>
  <c r="N47" i="94"/>
  <c r="J48" i="95"/>
  <c r="V31" i="89"/>
  <c r="V35" i="89"/>
  <c r="V55" i="89"/>
  <c r="V63" i="89"/>
  <c r="V85" i="89"/>
  <c r="Z12" i="92"/>
  <c r="J30" i="92"/>
  <c r="V32" i="92"/>
  <c r="V36" i="92"/>
  <c r="V40" i="92"/>
  <c r="F45" i="92"/>
  <c r="V48" i="92"/>
  <c r="J56" i="92"/>
  <c r="V60" i="92"/>
  <c r="J64" i="92"/>
  <c r="J68" i="92"/>
  <c r="F73" i="92"/>
  <c r="V76" i="92"/>
  <c r="F80" i="92"/>
  <c r="F81" i="92"/>
  <c r="V84" i="92"/>
  <c r="V73" i="93"/>
  <c r="V61" i="93"/>
  <c r="V49" i="93"/>
  <c r="V72" i="93"/>
  <c r="V68" i="93"/>
  <c r="V75" i="93"/>
  <c r="V63" i="93"/>
  <c r="V51" i="93"/>
  <c r="V43" i="93"/>
  <c r="V39" i="93"/>
  <c r="V35" i="93"/>
  <c r="V74" i="93"/>
  <c r="V62" i="93"/>
  <c r="V54" i="93"/>
  <c r="V34" i="93"/>
  <c r="V30" i="93"/>
  <c r="V26" i="93"/>
  <c r="V69" i="93"/>
  <c r="V78" i="93"/>
  <c r="V76" i="93"/>
  <c r="V64" i="93"/>
  <c r="V55" i="93"/>
  <c r="V71" i="93"/>
  <c r="V67" i="93"/>
  <c r="V59" i="93"/>
  <c r="V47" i="93"/>
  <c r="L24" i="93"/>
  <c r="N24" i="93" s="1"/>
  <c r="V57" i="93"/>
  <c r="N49" i="94"/>
  <c r="J49" i="94"/>
  <c r="J87" i="95"/>
  <c r="J61" i="95"/>
  <c r="J51" i="95"/>
  <c r="J76" i="95"/>
  <c r="J72" i="95"/>
  <c r="J62" i="95"/>
  <c r="J64" i="95"/>
  <c r="J54" i="95"/>
  <c r="J36" i="95"/>
  <c r="J77" i="95"/>
  <c r="J73" i="95"/>
  <c r="J65" i="95"/>
  <c r="J45" i="95"/>
  <c r="J41" i="95"/>
  <c r="J37" i="95"/>
  <c r="J78" i="95"/>
  <c r="J79" i="95"/>
  <c r="J67" i="95"/>
  <c r="J55" i="95"/>
  <c r="J80" i="95"/>
  <c r="J74" i="95"/>
  <c r="J68" i="95"/>
  <c r="J56" i="95"/>
  <c r="J60" i="95"/>
  <c r="J50" i="95"/>
  <c r="J34" i="95"/>
  <c r="J30" i="95"/>
  <c r="J81" i="95"/>
  <c r="J52" i="95"/>
  <c r="J49" i="95"/>
  <c r="J43" i="95"/>
  <c r="J38" i="95"/>
  <c r="J32" i="95"/>
  <c r="J20" i="95"/>
  <c r="J75" i="95"/>
  <c r="J71" i="95"/>
  <c r="J59" i="95"/>
  <c r="J46" i="95"/>
  <c r="J35" i="95"/>
  <c r="J33" i="95"/>
  <c r="J21" i="95"/>
  <c r="J53" i="95"/>
  <c r="J47" i="95"/>
  <c r="J28" i="95"/>
  <c r="J69" i="95"/>
  <c r="J44" i="95"/>
  <c r="J83" i="95"/>
  <c r="J57" i="95"/>
  <c r="J42" i="95"/>
  <c r="J39" i="95"/>
  <c r="J31" i="95"/>
  <c r="J26" i="95"/>
  <c r="J25" i="95"/>
  <c r="H23" i="95"/>
  <c r="J66" i="95"/>
  <c r="J27" i="95"/>
  <c r="V68" i="89"/>
  <c r="V72" i="89"/>
  <c r="D16" i="92"/>
  <c r="J21" i="92"/>
  <c r="J25" i="92"/>
  <c r="J29" i="92"/>
  <c r="V41" i="92"/>
  <c r="J45" i="92"/>
  <c r="V49" i="92"/>
  <c r="F53" i="92"/>
  <c r="F54" i="92"/>
  <c r="J55" i="92"/>
  <c r="F62" i="92"/>
  <c r="J63" i="92"/>
  <c r="V65" i="92"/>
  <c r="J73" i="92"/>
  <c r="J81" i="92"/>
  <c r="F87" i="92"/>
  <c r="F89" i="92"/>
  <c r="J91" i="92"/>
  <c r="V18" i="93"/>
  <c r="V48" i="93"/>
  <c r="Z25" i="96"/>
  <c r="X25" i="96"/>
  <c r="V21" i="89"/>
  <c r="V23" i="89"/>
  <c r="V25" i="89"/>
  <c r="V53" i="89"/>
  <c r="V61" i="89"/>
  <c r="V73" i="89"/>
  <c r="F14" i="92"/>
  <c r="F16" i="92"/>
  <c r="F18" i="92"/>
  <c r="V22" i="92"/>
  <c r="V26" i="92"/>
  <c r="J34" i="92"/>
  <c r="J38" i="92"/>
  <c r="V46" i="92"/>
  <c r="J54" i="92"/>
  <c r="V58" i="92"/>
  <c r="J62" i="92"/>
  <c r="F67" i="92"/>
  <c r="V70" i="92"/>
  <c r="V74" i="92"/>
  <c r="F78" i="92"/>
  <c r="F79" i="92"/>
  <c r="J80" i="92"/>
  <c r="V82" i="92"/>
  <c r="F88" i="92"/>
  <c r="J89" i="92"/>
  <c r="V98" i="92"/>
  <c r="V28" i="93"/>
  <c r="V31" i="93"/>
  <c r="V42" i="93"/>
  <c r="N50" i="93"/>
  <c r="X54" i="93"/>
  <c r="Z54" i="93" s="1"/>
  <c r="N63" i="93"/>
  <c r="L51" i="94"/>
  <c r="N51" i="94" s="1"/>
  <c r="X70" i="94"/>
  <c r="Z70" i="94" s="1"/>
  <c r="J58" i="95"/>
  <c r="X68" i="95"/>
  <c r="Z68" i="95"/>
  <c r="V25" i="96"/>
  <c r="H16" i="92"/>
  <c r="V31" i="92"/>
  <c r="V35" i="92"/>
  <c r="V39" i="92"/>
  <c r="V47" i="92"/>
  <c r="J53" i="92"/>
  <c r="V59" i="92"/>
  <c r="J67" i="92"/>
  <c r="F72" i="92"/>
  <c r="J79" i="92"/>
  <c r="J87" i="92"/>
  <c r="J88" i="92"/>
  <c r="V93" i="92"/>
  <c r="V95" i="92"/>
  <c r="V65" i="93"/>
  <c r="H80" i="94"/>
  <c r="L58" i="95"/>
  <c r="V39" i="89"/>
  <c r="V43" i="89"/>
  <c r="V51" i="89"/>
  <c r="V67" i="89"/>
  <c r="V71" i="89"/>
  <c r="V79" i="89"/>
  <c r="V81" i="89"/>
  <c r="J14" i="92"/>
  <c r="J16" i="92"/>
  <c r="J18" i="92"/>
  <c r="J20" i="92"/>
  <c r="J24" i="92"/>
  <c r="J28" i="92"/>
  <c r="F37" i="92"/>
  <c r="J44" i="92"/>
  <c r="J52" i="92"/>
  <c r="V56" i="92"/>
  <c r="F61" i="92"/>
  <c r="V64" i="92"/>
  <c r="V68" i="92"/>
  <c r="J72" i="92"/>
  <c r="F76" i="92"/>
  <c r="F77" i="92"/>
  <c r="J78" i="92"/>
  <c r="F84" i="92"/>
  <c r="F85" i="92"/>
  <c r="T22" i="93"/>
  <c r="V24" i="93"/>
  <c r="V25" i="93"/>
  <c r="V37" i="93"/>
  <c r="V82" i="93"/>
  <c r="Z53" i="94"/>
  <c r="L61" i="94"/>
  <c r="L18" i="95"/>
  <c r="N18" i="95" s="1"/>
  <c r="P12" i="98"/>
  <c r="X16" i="98"/>
  <c r="V20" i="89"/>
  <c r="V48" i="89"/>
  <c r="V60" i="89"/>
  <c r="J19" i="92"/>
  <c r="V21" i="92"/>
  <c r="V25" i="92"/>
  <c r="V29" i="92"/>
  <c r="J33" i="92"/>
  <c r="J37" i="92"/>
  <c r="F41" i="92"/>
  <c r="F42" i="92"/>
  <c r="J43" i="92"/>
  <c r="V45" i="92"/>
  <c r="F49" i="92"/>
  <c r="F50" i="92"/>
  <c r="J51" i="92"/>
  <c r="V57" i="92"/>
  <c r="J61" i="92"/>
  <c r="F66" i="92"/>
  <c r="V69" i="92"/>
  <c r="V73" i="92"/>
  <c r="J77" i="92"/>
  <c r="V81" i="92"/>
  <c r="J85" i="92"/>
  <c r="V22" i="93"/>
  <c r="X25" i="93"/>
  <c r="Z25" i="93" s="1"/>
  <c r="V53" i="93"/>
  <c r="V70" i="93"/>
  <c r="J18" i="95"/>
  <c r="L51" i="95"/>
  <c r="N51" i="95"/>
  <c r="X56" i="95"/>
  <c r="Z56" i="95"/>
  <c r="Z49" i="98"/>
  <c r="X49" i="98"/>
  <c r="V49" i="89"/>
  <c r="V65" i="89"/>
  <c r="V30" i="92"/>
  <c r="V34" i="92"/>
  <c r="V38" i="92"/>
  <c r="J42" i="92"/>
  <c r="J50" i="92"/>
  <c r="V54" i="92"/>
  <c r="J66" i="92"/>
  <c r="F71" i="92"/>
  <c r="F75" i="92"/>
  <c r="J76" i="92"/>
  <c r="J84" i="92"/>
  <c r="V33" i="93"/>
  <c r="L48" i="93"/>
  <c r="N48" i="93" s="1"/>
  <c r="N61" i="94"/>
  <c r="N67" i="94"/>
  <c r="J27" i="93"/>
  <c r="J31" i="93"/>
  <c r="J55" i="93"/>
  <c r="Z61" i="93"/>
  <c r="Z73" i="93"/>
  <c r="V19" i="94"/>
  <c r="J23" i="94"/>
  <c r="J25" i="94"/>
  <c r="J27" i="94"/>
  <c r="J31" i="94"/>
  <c r="J35" i="94"/>
  <c r="V47" i="94"/>
  <c r="Z49" i="94"/>
  <c r="J53" i="94"/>
  <c r="N55" i="94"/>
  <c r="V59" i="94"/>
  <c r="Z61" i="94"/>
  <c r="J63" i="94"/>
  <c r="V71" i="94"/>
  <c r="V73" i="94"/>
  <c r="D12" i="95"/>
  <c r="V21" i="95"/>
  <c r="Z25" i="95"/>
  <c r="V30" i="95"/>
  <c r="V35" i="95"/>
  <c r="Z64" i="95"/>
  <c r="L17" i="96"/>
  <c r="N17" i="96" s="1"/>
  <c r="J43" i="93"/>
  <c r="J51" i="93"/>
  <c r="J61" i="93"/>
  <c r="J73" i="93"/>
  <c r="V27" i="94"/>
  <c r="V31" i="94"/>
  <c r="V35" i="94"/>
  <c r="V55" i="94"/>
  <c r="J61" i="94"/>
  <c r="V63" i="94"/>
  <c r="L80" i="95"/>
  <c r="V85" i="96"/>
  <c r="V69" i="96"/>
  <c r="V89" i="96"/>
  <c r="V81" i="96"/>
  <c r="V77" i="96"/>
  <c r="V65" i="96"/>
  <c r="V88" i="96"/>
  <c r="V64" i="96"/>
  <c r="V44" i="96"/>
  <c r="V40" i="96"/>
  <c r="V36" i="96"/>
  <c r="V96" i="96"/>
  <c r="V86" i="96"/>
  <c r="V74" i="96"/>
  <c r="V58" i="96"/>
  <c r="V50" i="96"/>
  <c r="V42" i="96"/>
  <c r="V38" i="96"/>
  <c r="V82" i="96"/>
  <c r="V75" i="96"/>
  <c r="V71" i="96"/>
  <c r="V52" i="96"/>
  <c r="V51" i="96"/>
  <c r="V34" i="96"/>
  <c r="V30" i="96"/>
  <c r="V26" i="96"/>
  <c r="V80" i="96"/>
  <c r="V66" i="96"/>
  <c r="V39" i="96"/>
  <c r="V17" i="96"/>
  <c r="V57" i="96"/>
  <c r="V78" i="96"/>
  <c r="V67" i="96"/>
  <c r="V56" i="96"/>
  <c r="V47" i="96"/>
  <c r="V43" i="96"/>
  <c r="V31" i="96"/>
  <c r="V27" i="96"/>
  <c r="V76" i="96"/>
  <c r="V72" i="96"/>
  <c r="V48" i="96"/>
  <c r="V18" i="96"/>
  <c r="V83" i="96"/>
  <c r="V73" i="96"/>
  <c r="V63" i="96"/>
  <c r="V62" i="96"/>
  <c r="V59" i="96"/>
  <c r="V53" i="96"/>
  <c r="V87" i="96"/>
  <c r="V84" i="96"/>
  <c r="V37" i="96"/>
  <c r="V32" i="96"/>
  <c r="V28" i="96"/>
  <c r="V90" i="96"/>
  <c r="V19" i="96"/>
  <c r="V61" i="96"/>
  <c r="V35" i="96"/>
  <c r="T22" i="96"/>
  <c r="V22" i="96" s="1"/>
  <c r="V70" i="96"/>
  <c r="J68" i="93"/>
  <c r="J72" i="93"/>
  <c r="V36" i="94"/>
  <c r="V40" i="94"/>
  <c r="V44" i="94"/>
  <c r="V52" i="94"/>
  <c r="V68" i="94"/>
  <c r="J76" i="94"/>
  <c r="V77" i="95"/>
  <c r="V73" i="95"/>
  <c r="V65" i="95"/>
  <c r="V45" i="95"/>
  <c r="V41" i="95"/>
  <c r="V37" i="95"/>
  <c r="V80" i="95"/>
  <c r="V68" i="95"/>
  <c r="V56" i="95"/>
  <c r="V74" i="95"/>
  <c r="V70" i="95"/>
  <c r="V58" i="95"/>
  <c r="V46" i="95"/>
  <c r="V42" i="95"/>
  <c r="V38" i="95"/>
  <c r="V83" i="95"/>
  <c r="V81" i="95"/>
  <c r="V69" i="95"/>
  <c r="V57" i="95"/>
  <c r="V49" i="95"/>
  <c r="V33" i="95"/>
  <c r="V29" i="95"/>
  <c r="V75" i="95"/>
  <c r="V71" i="95"/>
  <c r="V59" i="95"/>
  <c r="V51" i="95"/>
  <c r="V43" i="95"/>
  <c r="V39" i="95"/>
  <c r="V62" i="95"/>
  <c r="V78" i="95"/>
  <c r="V66" i="95"/>
  <c r="V54" i="95"/>
  <c r="V34" i="95"/>
  <c r="V40" i="95"/>
  <c r="V87" i="95"/>
  <c r="N35" i="96"/>
  <c r="V21" i="94"/>
  <c r="V23" i="94"/>
  <c r="V25" i="94"/>
  <c r="V53" i="94"/>
  <c r="J73" i="94"/>
  <c r="J74" i="94"/>
  <c r="V19" i="95"/>
  <c r="V31" i="95"/>
  <c r="V48" i="95"/>
  <c r="V55" i="95"/>
  <c r="N80" i="95"/>
  <c r="X14" i="96"/>
  <c r="Z14" i="96" s="1"/>
  <c r="P12" i="96"/>
  <c r="Z49" i="101"/>
  <c r="J38" i="93"/>
  <c r="J42" i="93"/>
  <c r="J48" i="93"/>
  <c r="X13" i="94"/>
  <c r="Z13" i="94" s="1"/>
  <c r="V26" i="94"/>
  <c r="V30" i="94"/>
  <c r="V34" i="94"/>
  <c r="J38" i="94"/>
  <c r="J42" i="94"/>
  <c r="J46" i="94"/>
  <c r="V50" i="94"/>
  <c r="J58" i="94"/>
  <c r="V62" i="94"/>
  <c r="V66" i="94"/>
  <c r="V78" i="94"/>
  <c r="Z12" i="95"/>
  <c r="Z51" i="95"/>
  <c r="L62" i="95"/>
  <c r="N62" i="95"/>
  <c r="V67" i="95"/>
  <c r="L48" i="96"/>
  <c r="N48" i="96" s="1"/>
  <c r="V54" i="96"/>
  <c r="V68" i="96"/>
  <c r="V85" i="98"/>
  <c r="V83" i="98"/>
  <c r="V81" i="98"/>
  <c r="V61" i="98"/>
  <c r="V53" i="98"/>
  <c r="V25" i="98"/>
  <c r="V23" i="98"/>
  <c r="V21" i="98"/>
  <c r="V68" i="98"/>
  <c r="V60" i="98"/>
  <c r="V52" i="98"/>
  <c r="V44" i="98"/>
  <c r="V40" i="98"/>
  <c r="V36" i="98"/>
  <c r="T23" i="98"/>
  <c r="V75" i="98"/>
  <c r="V35" i="98"/>
  <c r="V31" i="98"/>
  <c r="V27" i="98"/>
  <c r="V70" i="98"/>
  <c r="V62" i="98"/>
  <c r="V89" i="98"/>
  <c r="V69" i="98"/>
  <c r="V45" i="98"/>
  <c r="V41" i="98"/>
  <c r="V37" i="98"/>
  <c r="V76" i="98"/>
  <c r="V72" i="98"/>
  <c r="V64" i="98"/>
  <c r="V32" i="98"/>
  <c r="V28" i="98"/>
  <c r="V71" i="98"/>
  <c r="V63" i="98"/>
  <c r="V55" i="98"/>
  <c r="V47" i="98"/>
  <c r="V19" i="98"/>
  <c r="V78" i="98"/>
  <c r="V66" i="98"/>
  <c r="V82" i="98"/>
  <c r="V74" i="98"/>
  <c r="V58" i="98"/>
  <c r="V50" i="98"/>
  <c r="V34" i="98"/>
  <c r="V30" i="98"/>
  <c r="V26" i="98"/>
  <c r="V18" i="98"/>
  <c r="V56" i="98"/>
  <c r="V54" i="98"/>
  <c r="V43" i="98"/>
  <c r="V39" i="98"/>
  <c r="V57" i="98"/>
  <c r="V48" i="98"/>
  <c r="V33" i="98"/>
  <c r="V73" i="98"/>
  <c r="V65" i="98"/>
  <c r="V59" i="98"/>
  <c r="V67" i="98"/>
  <c r="V51" i="98"/>
  <c r="V46" i="98"/>
  <c r="V29" i="98"/>
  <c r="F29" i="99"/>
  <c r="F26" i="99"/>
  <c r="F20" i="99"/>
  <c r="F14" i="99"/>
  <c r="F22" i="99"/>
  <c r="F16" i="99"/>
  <c r="D16" i="99"/>
  <c r="L12" i="99"/>
  <c r="F24" i="99"/>
  <c r="F18" i="99"/>
  <c r="L13" i="102"/>
  <c r="N13" i="102" s="1"/>
  <c r="D12" i="102"/>
  <c r="J47" i="93"/>
  <c r="J59" i="93"/>
  <c r="J67" i="93"/>
  <c r="J71" i="93"/>
  <c r="J19" i="94"/>
  <c r="V39" i="94"/>
  <c r="V43" i="94"/>
  <c r="V51" i="94"/>
  <c r="J57" i="94"/>
  <c r="V67" i="94"/>
  <c r="J71" i="94"/>
  <c r="V26" i="95"/>
  <c r="L47" i="95"/>
  <c r="X62" i="95"/>
  <c r="Z62" i="95" s="1"/>
  <c r="V72" i="95"/>
  <c r="V76" i="95"/>
  <c r="X80" i="95"/>
  <c r="Z80" i="95" s="1"/>
  <c r="F90" i="96"/>
  <c r="F89" i="96"/>
  <c r="F82" i="96"/>
  <c r="F78" i="96"/>
  <c r="F96" i="96"/>
  <c r="F74" i="96"/>
  <c r="F73" i="96"/>
  <c r="F85" i="96"/>
  <c r="F84" i="96"/>
  <c r="F69" i="96"/>
  <c r="F49" i="96"/>
  <c r="F48" i="96"/>
  <c r="F71" i="96"/>
  <c r="F79" i="96"/>
  <c r="F63" i="96"/>
  <c r="F19" i="96"/>
  <c r="F77" i="96"/>
  <c r="F68" i="96"/>
  <c r="F64" i="96"/>
  <c r="F60" i="96"/>
  <c r="F59" i="96"/>
  <c r="F54" i="96"/>
  <c r="F41" i="96"/>
  <c r="L12" i="96"/>
  <c r="F38" i="96"/>
  <c r="F33" i="96"/>
  <c r="F29" i="96"/>
  <c r="F88" i="96"/>
  <c r="F50" i="96"/>
  <c r="F45" i="96"/>
  <c r="F20" i="96"/>
  <c r="F92" i="96"/>
  <c r="F65" i="96"/>
  <c r="F42" i="96"/>
  <c r="F80" i="96"/>
  <c r="F66" i="96"/>
  <c r="F61" i="96"/>
  <c r="F55" i="96"/>
  <c r="F51" i="96"/>
  <c r="F46" i="96"/>
  <c r="F34" i="96"/>
  <c r="F30" i="96"/>
  <c r="F26" i="96"/>
  <c r="F25" i="96"/>
  <c r="F75" i="96"/>
  <c r="F39" i="96"/>
  <c r="F24" i="96"/>
  <c r="F86" i="96"/>
  <c r="F56" i="96"/>
  <c r="F52" i="96"/>
  <c r="F47" i="96"/>
  <c r="F36" i="96"/>
  <c r="F35" i="96"/>
  <c r="D22" i="96"/>
  <c r="F70" i="96"/>
  <c r="F44" i="96"/>
  <c r="F37" i="96"/>
  <c r="F32" i="96"/>
  <c r="F28" i="96"/>
  <c r="V20" i="96"/>
  <c r="V33" i="96"/>
  <c r="V60" i="96"/>
  <c r="F81" i="96"/>
  <c r="F87" i="96"/>
  <c r="V92" i="96"/>
  <c r="J66" i="93"/>
  <c r="J82" i="93"/>
  <c r="V48" i="94"/>
  <c r="V60" i="94"/>
  <c r="J70" i="94"/>
  <c r="V18" i="95"/>
  <c r="V50" i="95"/>
  <c r="L56" i="95"/>
  <c r="J41" i="93"/>
  <c r="J45" i="93"/>
  <c r="J57" i="93"/>
  <c r="J65" i="93"/>
  <c r="V29" i="94"/>
  <c r="V33" i="94"/>
  <c r="V49" i="94"/>
  <c r="J55" i="94"/>
  <c r="V61" i="94"/>
  <c r="V65" i="94"/>
  <c r="J69" i="94"/>
  <c r="T23" i="95"/>
  <c r="V25" i="95"/>
  <c r="V28" i="95"/>
  <c r="V44" i="95"/>
  <c r="X53" i="95"/>
  <c r="Z53" i="95" s="1"/>
  <c r="V60" i="95"/>
  <c r="V46" i="96"/>
  <c r="H87" i="98"/>
  <c r="J87" i="98" s="1"/>
  <c r="J23" i="98"/>
  <c r="J56" i="93"/>
  <c r="J70" i="93"/>
  <c r="J78" i="93"/>
  <c r="V38" i="94"/>
  <c r="V42" i="94"/>
  <c r="V46" i="94"/>
  <c r="V58" i="94"/>
  <c r="V74" i="94"/>
  <c r="V36" i="95"/>
  <c r="V47" i="95"/>
  <c r="V53" i="95"/>
  <c r="N66" i="95"/>
  <c r="V29" i="96"/>
  <c r="X50" i="96"/>
  <c r="Z50" i="96" s="1"/>
  <c r="N57" i="96"/>
  <c r="L57" i="96"/>
  <c r="L67" i="96"/>
  <c r="N67" i="96" s="1"/>
  <c r="Z17" i="96"/>
  <c r="J19" i="96"/>
  <c r="Z46" i="96"/>
  <c r="J59" i="96"/>
  <c r="N73" i="96"/>
  <c r="J79" i="96"/>
  <c r="J84" i="96"/>
  <c r="Z66" i="98"/>
  <c r="J17" i="96"/>
  <c r="J27" i="96"/>
  <c r="J31" i="96"/>
  <c r="J43" i="96"/>
  <c r="J62" i="96"/>
  <c r="J72" i="96"/>
  <c r="N12" i="99"/>
  <c r="J22" i="99"/>
  <c r="J20" i="99"/>
  <c r="J18" i="99"/>
  <c r="J16" i="99"/>
  <c r="J14" i="99"/>
  <c r="J26" i="99"/>
  <c r="H16" i="99"/>
  <c r="J29" i="99"/>
  <c r="J24" i="99"/>
  <c r="J36" i="96"/>
  <c r="J47" i="96"/>
  <c r="N52" i="96"/>
  <c r="J56" i="96"/>
  <c r="J89" i="96"/>
  <c r="D12" i="98"/>
  <c r="X57" i="98"/>
  <c r="Z57" i="98" s="1"/>
  <c r="H22" i="96"/>
  <c r="J35" i="96"/>
  <c r="J39" i="96"/>
  <c r="J52" i="96"/>
  <c r="N70" i="98"/>
  <c r="J22" i="96"/>
  <c r="J24" i="96"/>
  <c r="J26" i="96"/>
  <c r="J30" i="96"/>
  <c r="J34" i="96"/>
  <c r="N46" i="96"/>
  <c r="J51" i="96"/>
  <c r="N61" i="96"/>
  <c r="X63" i="96"/>
  <c r="Z63" i="96" s="1"/>
  <c r="Z67" i="96"/>
  <c r="J71" i="96"/>
  <c r="X73" i="96"/>
  <c r="Z73" i="96" s="1"/>
  <c r="L18" i="98"/>
  <c r="N18" i="98" s="1"/>
  <c r="J70" i="98"/>
  <c r="J25" i="96"/>
  <c r="J42" i="96"/>
  <c r="J46" i="96"/>
  <c r="J55" i="96"/>
  <c r="L92" i="96"/>
  <c r="N92" i="96"/>
  <c r="N25" i="98"/>
  <c r="J25" i="98"/>
  <c r="L70" i="98"/>
  <c r="X78" i="98"/>
  <c r="J67" i="96"/>
  <c r="J85" i="96"/>
  <c r="J75" i="96"/>
  <c r="J69" i="96"/>
  <c r="J86" i="96"/>
  <c r="J80" i="96"/>
  <c r="J76" i="96"/>
  <c r="J60" i="96"/>
  <c r="J50" i="96"/>
  <c r="J87" i="96"/>
  <c r="J90" i="96"/>
  <c r="J82" i="96"/>
  <c r="J78" i="96"/>
  <c r="J66" i="96"/>
  <c r="J54" i="96"/>
  <c r="J20" i="96"/>
  <c r="J45" i="96"/>
  <c r="J65" i="96"/>
  <c r="J88" i="96"/>
  <c r="J92" i="96"/>
  <c r="J96" i="96"/>
  <c r="X20" i="100"/>
  <c r="Z20" i="100" s="1"/>
  <c r="J29" i="96"/>
  <c r="J33" i="96"/>
  <c r="J38" i="96"/>
  <c r="L50" i="96"/>
  <c r="Z52" i="96"/>
  <c r="J74" i="96"/>
  <c r="Z78" i="98"/>
  <c r="X14" i="99"/>
  <c r="P16" i="99"/>
  <c r="T53" i="100"/>
  <c r="Z17" i="100"/>
  <c r="L19" i="100"/>
  <c r="N19" i="100" s="1"/>
  <c r="N57" i="101"/>
  <c r="L57" i="101"/>
  <c r="J57" i="101"/>
  <c r="N12" i="96"/>
  <c r="J41" i="96"/>
  <c r="J49" i="96"/>
  <c r="J64" i="96"/>
  <c r="J68" i="96"/>
  <c r="J77" i="96"/>
  <c r="N36" i="98"/>
  <c r="X47" i="98"/>
  <c r="Z47" i="98" s="1"/>
  <c r="L49" i="98"/>
  <c r="N49" i="98" s="1"/>
  <c r="J49" i="98"/>
  <c r="N61" i="103"/>
  <c r="L61" i="103"/>
  <c r="Z36" i="98"/>
  <c r="J38" i="98"/>
  <c r="J42" i="98"/>
  <c r="J46" i="98"/>
  <c r="J64" i="98"/>
  <c r="N66" i="98"/>
  <c r="J72" i="98"/>
  <c r="N78" i="98"/>
  <c r="J85" i="98"/>
  <c r="R15" i="100"/>
  <c r="R40" i="100"/>
  <c r="Z41" i="100"/>
  <c r="X41" i="100"/>
  <c r="D12" i="101"/>
  <c r="L13" i="101"/>
  <c r="N13" i="101" s="1"/>
  <c r="X49" i="101"/>
  <c r="X55" i="102"/>
  <c r="J53" i="100"/>
  <c r="J42" i="100"/>
  <c r="J60" i="100"/>
  <c r="J57" i="100"/>
  <c r="J43" i="100"/>
  <c r="J37" i="100"/>
  <c r="J33" i="100"/>
  <c r="J44" i="100"/>
  <c r="J28" i="100"/>
  <c r="J24" i="100"/>
  <c r="J14" i="100"/>
  <c r="J45" i="100"/>
  <c r="J15" i="100"/>
  <c r="J46" i="100"/>
  <c r="J38" i="100"/>
  <c r="J34" i="100"/>
  <c r="J20" i="100"/>
  <c r="J51" i="100"/>
  <c r="J50" i="100"/>
  <c r="J26" i="100"/>
  <c r="J22" i="100"/>
  <c r="J36" i="100"/>
  <c r="R24" i="101"/>
  <c r="N55" i="101"/>
  <c r="P12" i="102"/>
  <c r="X13" i="102"/>
  <c r="Z13" i="102" s="1"/>
  <c r="J53" i="98"/>
  <c r="J61" i="98"/>
  <c r="L12" i="100"/>
  <c r="H17" i="100"/>
  <c r="J31" i="100"/>
  <c r="J48" i="100"/>
  <c r="V51" i="101"/>
  <c r="R60" i="101"/>
  <c r="Z25" i="102"/>
  <c r="N47" i="102"/>
  <c r="Z80" i="102"/>
  <c r="N14" i="103"/>
  <c r="H16" i="103"/>
  <c r="L14" i="103"/>
  <c r="J26" i="98"/>
  <c r="J40" i="98"/>
  <c r="J44" i="98"/>
  <c r="J52" i="98"/>
  <c r="J60" i="98"/>
  <c r="J68" i="98"/>
  <c r="J82" i="98"/>
  <c r="N12" i="100"/>
  <c r="J17" i="100"/>
  <c r="X19" i="100"/>
  <c r="Z19" i="100" s="1"/>
  <c r="R26" i="100"/>
  <c r="H22" i="101"/>
  <c r="N17" i="101"/>
  <c r="R48" i="101"/>
  <c r="X51" i="101"/>
  <c r="Z51" i="101" s="1"/>
  <c r="R59" i="101"/>
  <c r="Z60" i="101"/>
  <c r="N51" i="102"/>
  <c r="L51" i="102"/>
  <c r="X77" i="102"/>
  <c r="J51" i="98"/>
  <c r="J59" i="98"/>
  <c r="J81" i="98"/>
  <c r="R60" i="100"/>
  <c r="R57" i="100"/>
  <c r="R47" i="100"/>
  <c r="R46" i="100"/>
  <c r="R38" i="100"/>
  <c r="R34" i="100"/>
  <c r="R19" i="100"/>
  <c r="R17" i="100"/>
  <c r="R30" i="100"/>
  <c r="R29" i="100"/>
  <c r="R25" i="100"/>
  <c r="R21" i="100"/>
  <c r="P17" i="100"/>
  <c r="R48" i="100"/>
  <c r="R51" i="100"/>
  <c r="R50" i="100"/>
  <c r="R39" i="100"/>
  <c r="R35" i="100"/>
  <c r="R31" i="100"/>
  <c r="R55" i="100"/>
  <c r="R27" i="100"/>
  <c r="R23" i="100"/>
  <c r="Z14" i="100"/>
  <c r="J21" i="100"/>
  <c r="R36" i="100"/>
  <c r="J41" i="100"/>
  <c r="R28" i="101"/>
  <c r="R37" i="101"/>
  <c r="N45" i="101"/>
  <c r="N59" i="102"/>
  <c r="Z77" i="102"/>
  <c r="J23" i="100"/>
  <c r="N47" i="100"/>
  <c r="L47" i="100"/>
  <c r="R65" i="101"/>
  <c r="R70" i="101"/>
  <c r="R62" i="101"/>
  <c r="R61" i="101"/>
  <c r="R34" i="101"/>
  <c r="R33" i="101"/>
  <c r="R29" i="101"/>
  <c r="R69" i="101"/>
  <c r="R53" i="101"/>
  <c r="R52" i="101"/>
  <c r="R25" i="101"/>
  <c r="R20" i="101"/>
  <c r="R63" i="101"/>
  <c r="R43" i="101"/>
  <c r="R39" i="101"/>
  <c r="R35" i="101"/>
  <c r="R55" i="101"/>
  <c r="R54" i="101"/>
  <c r="R30" i="101"/>
  <c r="R26" i="101"/>
  <c r="P22" i="101"/>
  <c r="R64" i="101"/>
  <c r="R57" i="101"/>
  <c r="R56" i="101"/>
  <c r="R45" i="101"/>
  <c r="R44" i="101"/>
  <c r="R40" i="101"/>
  <c r="R36" i="101"/>
  <c r="R17" i="101"/>
  <c r="R31" i="101"/>
  <c r="R27" i="101"/>
  <c r="R58" i="101"/>
  <c r="R47" i="101"/>
  <c r="R46" i="101"/>
  <c r="R18" i="101"/>
  <c r="R67" i="101"/>
  <c r="R51" i="101"/>
  <c r="R50" i="101"/>
  <c r="R42" i="101"/>
  <c r="R38" i="101"/>
  <c r="X12" i="101"/>
  <c r="Z12" i="101" s="1"/>
  <c r="J57" i="98"/>
  <c r="J30" i="100"/>
  <c r="J35" i="100"/>
  <c r="J40" i="100"/>
  <c r="J47" i="100"/>
  <c r="X14" i="101"/>
  <c r="R32" i="101"/>
  <c r="R66" i="101"/>
  <c r="H83" i="102"/>
  <c r="X18" i="104"/>
  <c r="Z18" i="104"/>
  <c r="D61" i="105"/>
  <c r="F61" i="105" s="1"/>
  <c r="L57" i="98"/>
  <c r="N57" i="98" s="1"/>
  <c r="J66" i="98"/>
  <c r="J78" i="98"/>
  <c r="J25" i="100"/>
  <c r="L30" i="100"/>
  <c r="N30" i="100" s="1"/>
  <c r="R22" i="101"/>
  <c r="P63" i="103"/>
  <c r="V18" i="104"/>
  <c r="J65" i="98"/>
  <c r="J73" i="98"/>
  <c r="J77" i="98"/>
  <c r="Z82" i="98"/>
  <c r="L14" i="100"/>
  <c r="D17" i="100"/>
  <c r="N20" i="100"/>
  <c r="J27" i="100"/>
  <c r="J32" i="100"/>
  <c r="R19" i="101"/>
  <c r="N65" i="101"/>
  <c r="X26" i="102"/>
  <c r="Z26" i="102" s="1"/>
  <c r="Z57" i="102"/>
  <c r="X57" i="102"/>
  <c r="Z63" i="102"/>
  <c r="R26" i="99"/>
  <c r="R29" i="99"/>
  <c r="V14" i="100"/>
  <c r="F30" i="100"/>
  <c r="F31" i="100"/>
  <c r="F35" i="100"/>
  <c r="F39" i="100"/>
  <c r="V42" i="100"/>
  <c r="V25" i="101"/>
  <c r="V29" i="101"/>
  <c r="V33" i="101"/>
  <c r="J37" i="101"/>
  <c r="J41" i="101"/>
  <c r="J47" i="101"/>
  <c r="N49" i="101"/>
  <c r="V53" i="101"/>
  <c r="Z55" i="101"/>
  <c r="V61" i="101"/>
  <c r="J66" i="101"/>
  <c r="V69" i="101"/>
  <c r="J74" i="101"/>
  <c r="V20" i="102"/>
  <c r="N26" i="102"/>
  <c r="J48" i="102"/>
  <c r="V52" i="102"/>
  <c r="V66" i="102"/>
  <c r="N18" i="103"/>
  <c r="N46" i="103"/>
  <c r="H90" i="104"/>
  <c r="J90" i="104" s="1"/>
  <c r="J23" i="104"/>
  <c r="V26" i="100"/>
  <c r="V37" i="101"/>
  <c r="V41" i="101"/>
  <c r="V49" i="101"/>
  <c r="J55" i="101"/>
  <c r="V66" i="101"/>
  <c r="V74" i="101"/>
  <c r="V25" i="102"/>
  <c r="V26" i="102"/>
  <c r="J30" i="102"/>
  <c r="J33" i="102"/>
  <c r="J36" i="102"/>
  <c r="V40" i="102"/>
  <c r="J42" i="102"/>
  <c r="J47" i="102"/>
  <c r="J50" i="102"/>
  <c r="V54" i="102"/>
  <c r="V57" i="102"/>
  <c r="V62" i="102"/>
  <c r="V67" i="102"/>
  <c r="N69" i="102"/>
  <c r="J74" i="102"/>
  <c r="V80" i="102"/>
  <c r="Z18" i="103"/>
  <c r="Z46" i="103"/>
  <c r="T16" i="99"/>
  <c r="F24" i="100"/>
  <c r="F28" i="100"/>
  <c r="V31" i="100"/>
  <c r="V35" i="100"/>
  <c r="V39" i="100"/>
  <c r="F43" i="100"/>
  <c r="F44" i="100"/>
  <c r="V51" i="100"/>
  <c r="V53" i="100"/>
  <c r="F57" i="100"/>
  <c r="F60" i="100"/>
  <c r="V18" i="101"/>
  <c r="J22" i="101"/>
  <c r="J24" i="101"/>
  <c r="J26" i="101"/>
  <c r="J30" i="101"/>
  <c r="V46" i="101"/>
  <c r="J54" i="101"/>
  <c r="V58" i="101"/>
  <c r="J18" i="102"/>
  <c r="V19" i="102"/>
  <c r="J21" i="102"/>
  <c r="V28" i="102"/>
  <c r="V37" i="102"/>
  <c r="J44" i="102"/>
  <c r="J64" i="102"/>
  <c r="V14" i="99"/>
  <c r="V16" i="99"/>
  <c r="V18" i="99"/>
  <c r="V20" i="99"/>
  <c r="F33" i="100"/>
  <c r="F37" i="100"/>
  <c r="V48" i="100"/>
  <c r="V50" i="100"/>
  <c r="J25" i="101"/>
  <c r="V27" i="101"/>
  <c r="V31" i="101"/>
  <c r="J35" i="101"/>
  <c r="J39" i="101"/>
  <c r="J43" i="101"/>
  <c r="V47" i="101"/>
  <c r="J53" i="101"/>
  <c r="J63" i="101"/>
  <c r="J69" i="101"/>
  <c r="J70" i="101"/>
  <c r="J77" i="102"/>
  <c r="J78" i="102"/>
  <c r="J54" i="102"/>
  <c r="J65" i="102"/>
  <c r="J55" i="102"/>
  <c r="J45" i="102"/>
  <c r="J41" i="102"/>
  <c r="J37" i="102"/>
  <c r="J81" i="102"/>
  <c r="J80" i="102"/>
  <c r="J72" i="102"/>
  <c r="J66" i="102"/>
  <c r="J56" i="102"/>
  <c r="J32" i="102"/>
  <c r="J28" i="102"/>
  <c r="J67" i="102"/>
  <c r="J57" i="102"/>
  <c r="J85" i="102"/>
  <c r="J73" i="102"/>
  <c r="J59" i="102"/>
  <c r="J75" i="102"/>
  <c r="J69" i="102"/>
  <c r="J61" i="102"/>
  <c r="J49" i="102"/>
  <c r="J43" i="102"/>
  <c r="J39" i="102"/>
  <c r="T23" i="102"/>
  <c r="Z51" i="102"/>
  <c r="J53" i="102"/>
  <c r="V59" i="102"/>
  <c r="N61" i="102"/>
  <c r="V76" i="102"/>
  <c r="L19" i="103"/>
  <c r="N19" i="103" s="1"/>
  <c r="N56" i="103"/>
  <c r="X16" i="104"/>
  <c r="P12" i="104"/>
  <c r="V21" i="100"/>
  <c r="V25" i="100"/>
  <c r="F41" i="100"/>
  <c r="J20" i="101"/>
  <c r="J34" i="101"/>
  <c r="V36" i="101"/>
  <c r="V40" i="101"/>
  <c r="V44" i="101"/>
  <c r="J52" i="101"/>
  <c r="V56" i="101"/>
  <c r="J62" i="101"/>
  <c r="V64" i="101"/>
  <c r="V65" i="101"/>
  <c r="X18" i="102"/>
  <c r="Z18" i="102" s="1"/>
  <c r="V23" i="102"/>
  <c r="J27" i="102"/>
  <c r="J35" i="102"/>
  <c r="V56" i="102"/>
  <c r="J58" i="102"/>
  <c r="F65" i="103"/>
  <c r="F67" i="103"/>
  <c r="F57" i="103"/>
  <c r="F53" i="103"/>
  <c r="F47" i="103"/>
  <c r="F46" i="103"/>
  <c r="F18" i="103"/>
  <c r="F16" i="103"/>
  <c r="F14" i="103"/>
  <c r="F38" i="103"/>
  <c r="F34" i="103"/>
  <c r="F30" i="103"/>
  <c r="F29" i="103"/>
  <c r="D16" i="103"/>
  <c r="F49" i="103"/>
  <c r="F48" i="103"/>
  <c r="F25" i="103"/>
  <c r="F21" i="103"/>
  <c r="F63" i="103"/>
  <c r="F70" i="103"/>
  <c r="F58" i="103"/>
  <c r="F54" i="103"/>
  <c r="F51" i="103"/>
  <c r="F50" i="103"/>
  <c r="F39" i="103"/>
  <c r="F35" i="103"/>
  <c r="F31" i="103"/>
  <c r="F26" i="103"/>
  <c r="F22" i="103"/>
  <c r="F59" i="103"/>
  <c r="F41" i="103"/>
  <c r="F40" i="103"/>
  <c r="F52" i="103"/>
  <c r="F43" i="103"/>
  <c r="F42" i="103"/>
  <c r="F27" i="103"/>
  <c r="F23" i="103"/>
  <c r="F19" i="103"/>
  <c r="F24" i="103"/>
  <c r="L42" i="103"/>
  <c r="Z64" i="104"/>
  <c r="N67" i="104"/>
  <c r="N17" i="105"/>
  <c r="L17" i="105"/>
  <c r="J17" i="105"/>
  <c r="V17" i="101"/>
  <c r="V45" i="101"/>
  <c r="V57" i="101"/>
  <c r="V30" i="102"/>
  <c r="V44" i="102"/>
  <c r="V47" i="102"/>
  <c r="V50" i="102"/>
  <c r="V64" i="102"/>
  <c r="J68" i="102"/>
  <c r="N42" i="103"/>
  <c r="Z50" i="103"/>
  <c r="Z82" i="104"/>
  <c r="X82" i="104"/>
  <c r="V54" i="101"/>
  <c r="V74" i="102"/>
  <c r="V58" i="102"/>
  <c r="V46" i="102"/>
  <c r="V42" i="102"/>
  <c r="V85" i="102"/>
  <c r="V73" i="102"/>
  <c r="V69" i="102"/>
  <c r="V61" i="102"/>
  <c r="V49" i="102"/>
  <c r="V33" i="102"/>
  <c r="V29" i="102"/>
  <c r="V68" i="102"/>
  <c r="V60" i="102"/>
  <c r="V48" i="102"/>
  <c r="V75" i="102"/>
  <c r="V63" i="102"/>
  <c r="V51" i="102"/>
  <c r="V43" i="102"/>
  <c r="V39" i="102"/>
  <c r="V70" i="102"/>
  <c r="V77" i="102"/>
  <c r="V53" i="102"/>
  <c r="V71" i="102"/>
  <c r="V55" i="102"/>
  <c r="V35" i="102"/>
  <c r="V31" i="102"/>
  <c r="V27" i="102"/>
  <c r="V21" i="102"/>
  <c r="T22" i="101"/>
  <c r="V35" i="101"/>
  <c r="V39" i="101"/>
  <c r="V43" i="101"/>
  <c r="J49" i="101"/>
  <c r="V55" i="101"/>
  <c r="V63" i="101"/>
  <c r="V70" i="101"/>
  <c r="V18" i="102"/>
  <c r="J26" i="102"/>
  <c r="V36" i="102"/>
  <c r="Z53" i="102"/>
  <c r="N63" i="102"/>
  <c r="X16" i="103"/>
  <c r="Z80" i="104"/>
  <c r="V20" i="101"/>
  <c r="V22" i="101"/>
  <c r="V24" i="101"/>
  <c r="V32" i="102"/>
  <c r="V41" i="102"/>
  <c r="V81" i="102"/>
  <c r="X40" i="103"/>
  <c r="Z40" i="103" s="1"/>
  <c r="N44" i="103"/>
  <c r="J70" i="103"/>
  <c r="J67" i="103"/>
  <c r="J53" i="103"/>
  <c r="J59" i="103"/>
  <c r="J51" i="103"/>
  <c r="V30" i="103"/>
  <c r="V34" i="103"/>
  <c r="V38" i="103"/>
  <c r="J44" i="103"/>
  <c r="R47" i="103"/>
  <c r="R48" i="103"/>
  <c r="V50" i="103"/>
  <c r="V53" i="103"/>
  <c r="V63" i="103"/>
  <c r="Z25" i="104"/>
  <c r="V53" i="104"/>
  <c r="V82" i="104"/>
  <c r="R19" i="105"/>
  <c r="F54" i="105"/>
  <c r="Z36" i="108"/>
  <c r="V92" i="104"/>
  <c r="R59" i="105"/>
  <c r="R25" i="105"/>
  <c r="R20" i="105"/>
  <c r="R43" i="105"/>
  <c r="R39" i="105"/>
  <c r="R35" i="105"/>
  <c r="R24" i="105"/>
  <c r="R22" i="105"/>
  <c r="R52" i="105"/>
  <c r="R30" i="105"/>
  <c r="R26" i="105"/>
  <c r="P22" i="105"/>
  <c r="R53" i="105"/>
  <c r="R45" i="105"/>
  <c r="R44" i="105"/>
  <c r="R40" i="105"/>
  <c r="R36" i="105"/>
  <c r="R17" i="105"/>
  <c r="R54" i="105"/>
  <c r="R31" i="105"/>
  <c r="R27" i="105"/>
  <c r="R47" i="105"/>
  <c r="R46" i="105"/>
  <c r="R18" i="105"/>
  <c r="R41" i="105"/>
  <c r="R37" i="105"/>
  <c r="R57" i="105"/>
  <c r="R51" i="105"/>
  <c r="R34" i="105"/>
  <c r="R33" i="105"/>
  <c r="R29" i="105"/>
  <c r="X37" i="106"/>
  <c r="Z37" i="106" s="1"/>
  <c r="D80" i="102"/>
  <c r="L80" i="102" s="1"/>
  <c r="R14" i="103"/>
  <c r="R16" i="103"/>
  <c r="R18" i="103"/>
  <c r="R33" i="103"/>
  <c r="R37" i="103"/>
  <c r="R45" i="103"/>
  <c r="R46" i="103"/>
  <c r="V63" i="104"/>
  <c r="V61" i="105"/>
  <c r="T65" i="105"/>
  <c r="N45" i="105"/>
  <c r="L45" i="105"/>
  <c r="N40" i="109"/>
  <c r="L40" i="109"/>
  <c r="R56" i="103"/>
  <c r="R55" i="103"/>
  <c r="R58" i="103"/>
  <c r="R57" i="103"/>
  <c r="R52" i="103"/>
  <c r="T16" i="103"/>
  <c r="R19" i="103"/>
  <c r="V83" i="104"/>
  <c r="V71" i="104"/>
  <c r="V67" i="104"/>
  <c r="V55" i="104"/>
  <c r="V19" i="104"/>
  <c r="V66" i="104"/>
  <c r="V58" i="104"/>
  <c r="V46" i="104"/>
  <c r="V42" i="104"/>
  <c r="V38" i="104"/>
  <c r="V85" i="104"/>
  <c r="V77" i="104"/>
  <c r="V73" i="104"/>
  <c r="V57" i="104"/>
  <c r="V68" i="104"/>
  <c r="V60" i="104"/>
  <c r="V48" i="104"/>
  <c r="V59" i="104"/>
  <c r="V47" i="104"/>
  <c r="V43" i="104"/>
  <c r="V39" i="104"/>
  <c r="V88" i="104"/>
  <c r="V86" i="104"/>
  <c r="V78" i="104"/>
  <c r="V74" i="104"/>
  <c r="V62" i="104"/>
  <c r="V50" i="104"/>
  <c r="V34" i="104"/>
  <c r="V30" i="104"/>
  <c r="V26" i="104"/>
  <c r="V69" i="104"/>
  <c r="V61" i="104"/>
  <c r="V49" i="104"/>
  <c r="V25" i="104"/>
  <c r="V21" i="104"/>
  <c r="V80" i="104"/>
  <c r="V64" i="104"/>
  <c r="V52" i="104"/>
  <c r="V44" i="104"/>
  <c r="V40" i="104"/>
  <c r="V84" i="104"/>
  <c r="V76" i="104"/>
  <c r="V72" i="104"/>
  <c r="V56" i="104"/>
  <c r="V36" i="104"/>
  <c r="V32" i="104"/>
  <c r="V28" i="104"/>
  <c r="V27" i="104"/>
  <c r="V29" i="104"/>
  <c r="J48" i="104"/>
  <c r="V79" i="104"/>
  <c r="J45" i="105"/>
  <c r="R56" i="105"/>
  <c r="V58" i="103"/>
  <c r="V57" i="103"/>
  <c r="V70" i="103"/>
  <c r="V67" i="103"/>
  <c r="V65" i="103"/>
  <c r="V14" i="103"/>
  <c r="V16" i="103"/>
  <c r="V18" i="103"/>
  <c r="R23" i="103"/>
  <c r="R27" i="103"/>
  <c r="X29" i="103"/>
  <c r="Z29" i="103" s="1"/>
  <c r="J40" i="103"/>
  <c r="R43" i="103"/>
  <c r="R44" i="103"/>
  <c r="V46" i="103"/>
  <c r="V52" i="103"/>
  <c r="V55" i="103"/>
  <c r="V56" i="103"/>
  <c r="V61" i="103"/>
  <c r="R65" i="103"/>
  <c r="V31" i="104"/>
  <c r="L48" i="104"/>
  <c r="N48" i="104" s="1"/>
  <c r="V70" i="104"/>
  <c r="F52" i="105"/>
  <c r="F51" i="105"/>
  <c r="F55" i="105"/>
  <c r="F48" i="105"/>
  <c r="F47" i="105"/>
  <c r="F32" i="105"/>
  <c r="F28" i="105"/>
  <c r="F19" i="105"/>
  <c r="F50" i="105"/>
  <c r="F49" i="105"/>
  <c r="F42" i="105"/>
  <c r="F38" i="105"/>
  <c r="L12" i="105"/>
  <c r="F57" i="105"/>
  <c r="F56" i="105"/>
  <c r="F33" i="105"/>
  <c r="F29" i="105"/>
  <c r="F20" i="105"/>
  <c r="F43" i="105"/>
  <c r="F39" i="105"/>
  <c r="F35" i="105"/>
  <c r="F34" i="105"/>
  <c r="F59" i="105"/>
  <c r="F30" i="105"/>
  <c r="F26" i="105"/>
  <c r="F25" i="105"/>
  <c r="F24" i="105"/>
  <c r="F22" i="105"/>
  <c r="F63" i="105"/>
  <c r="F41" i="105"/>
  <c r="F37" i="105"/>
  <c r="F18" i="105"/>
  <c r="R17" i="108"/>
  <c r="X12" i="103"/>
  <c r="R32" i="103"/>
  <c r="R36" i="103"/>
  <c r="V43" i="103"/>
  <c r="N54" i="103"/>
  <c r="X56" i="103"/>
  <c r="Z56" i="103" s="1"/>
  <c r="R59" i="103"/>
  <c r="D12" i="104"/>
  <c r="T23" i="104"/>
  <c r="V23" i="104" s="1"/>
  <c r="V33" i="104"/>
  <c r="N58" i="104"/>
  <c r="F44" i="105"/>
  <c r="Z45" i="105"/>
  <c r="Z12" i="103"/>
  <c r="V32" i="103"/>
  <c r="V36" i="103"/>
  <c r="R41" i="103"/>
  <c r="R42" i="103"/>
  <c r="V44" i="103"/>
  <c r="J50" i="103"/>
  <c r="J54" i="103"/>
  <c r="J58" i="103"/>
  <c r="V59" i="103"/>
  <c r="L13" i="104"/>
  <c r="L25" i="104"/>
  <c r="N25" i="104" s="1"/>
  <c r="L60" i="104"/>
  <c r="N60" i="104" s="1"/>
  <c r="V75" i="104"/>
  <c r="R28" i="105"/>
  <c r="R32" i="105"/>
  <c r="F40" i="105"/>
  <c r="F53" i="105"/>
  <c r="J23" i="106"/>
  <c r="H92" i="106"/>
  <c r="R22" i="103"/>
  <c r="R26" i="103"/>
  <c r="V41" i="103"/>
  <c r="J49" i="103"/>
  <c r="R51" i="103"/>
  <c r="X54" i="103"/>
  <c r="Z54" i="103" s="1"/>
  <c r="J63" i="103"/>
  <c r="R70" i="103"/>
  <c r="V35" i="104"/>
  <c r="X52" i="104"/>
  <c r="Z52" i="104" s="1"/>
  <c r="F46" i="105"/>
  <c r="R49" i="105"/>
  <c r="N53" i="105"/>
  <c r="R31" i="103"/>
  <c r="R35" i="103"/>
  <c r="R39" i="103"/>
  <c r="R40" i="103"/>
  <c r="R54" i="103"/>
  <c r="Z54" i="104"/>
  <c r="X64" i="104"/>
  <c r="Z34" i="105"/>
  <c r="Z51" i="105"/>
  <c r="J26" i="104"/>
  <c r="J40" i="104"/>
  <c r="J44" i="104"/>
  <c r="J50" i="104"/>
  <c r="N52" i="104"/>
  <c r="Z58" i="104"/>
  <c r="J62" i="104"/>
  <c r="N64" i="104"/>
  <c r="N80" i="104"/>
  <c r="J88" i="104"/>
  <c r="V20" i="105"/>
  <c r="V22" i="105"/>
  <c r="V24" i="105"/>
  <c r="J28" i="105"/>
  <c r="J32" i="105"/>
  <c r="J48" i="105"/>
  <c r="Z53" i="105"/>
  <c r="J55" i="105"/>
  <c r="N56" i="105"/>
  <c r="Z56" i="106"/>
  <c r="X83" i="106"/>
  <c r="Z83" i="106" s="1"/>
  <c r="V29" i="107"/>
  <c r="V26" i="107"/>
  <c r="V24" i="107"/>
  <c r="V18" i="107"/>
  <c r="T16" i="107"/>
  <c r="V20" i="107"/>
  <c r="V22" i="107"/>
  <c r="Z12" i="107"/>
  <c r="V16" i="107"/>
  <c r="J58" i="104"/>
  <c r="J68" i="104"/>
  <c r="V28" i="105"/>
  <c r="V32" i="105"/>
  <c r="J36" i="105"/>
  <c r="J40" i="105"/>
  <c r="J44" i="105"/>
  <c r="V48" i="105"/>
  <c r="V56" i="105"/>
  <c r="V63" i="105"/>
  <c r="P12" i="106"/>
  <c r="V37" i="106"/>
  <c r="V57" i="106"/>
  <c r="N70" i="106"/>
  <c r="N75" i="106"/>
  <c r="Z17" i="108"/>
  <c r="R39" i="108"/>
  <c r="L13" i="110"/>
  <c r="N13" i="110" s="1"/>
  <c r="D12" i="110"/>
  <c r="J29" i="104"/>
  <c r="J33" i="104"/>
  <c r="J57" i="104"/>
  <c r="J67" i="104"/>
  <c r="J73" i="104"/>
  <c r="J77" i="104"/>
  <c r="J85" i="104"/>
  <c r="H22" i="105"/>
  <c r="L22" i="105" s="1"/>
  <c r="V37" i="105"/>
  <c r="V41" i="105"/>
  <c r="V49" i="105"/>
  <c r="V87" i="106"/>
  <c r="V79" i="106"/>
  <c r="V75" i="106"/>
  <c r="V59" i="106"/>
  <c r="V47" i="106"/>
  <c r="V86" i="106"/>
  <c r="V74" i="106"/>
  <c r="V70" i="106"/>
  <c r="V62" i="106"/>
  <c r="V50" i="106"/>
  <c r="V34" i="106"/>
  <c r="V30" i="106"/>
  <c r="V26" i="106"/>
  <c r="V69" i="106"/>
  <c r="V61" i="106"/>
  <c r="V49" i="106"/>
  <c r="V25" i="106"/>
  <c r="V21" i="106"/>
  <c r="V90" i="106"/>
  <c r="V88" i="106"/>
  <c r="V80" i="106"/>
  <c r="V76" i="106"/>
  <c r="V64" i="106"/>
  <c r="V52" i="106"/>
  <c r="V44" i="106"/>
  <c r="V40" i="106"/>
  <c r="V71" i="106"/>
  <c r="V63" i="106"/>
  <c r="V51" i="106"/>
  <c r="V35" i="106"/>
  <c r="V31" i="106"/>
  <c r="V27" i="106"/>
  <c r="V66" i="106"/>
  <c r="V54" i="106"/>
  <c r="V18" i="106"/>
  <c r="V81" i="106"/>
  <c r="V77" i="106"/>
  <c r="V65" i="106"/>
  <c r="V53" i="106"/>
  <c r="V45" i="106"/>
  <c r="V94" i="106"/>
  <c r="V72" i="106"/>
  <c r="V56" i="106"/>
  <c r="V83" i="106"/>
  <c r="V67" i="106"/>
  <c r="V55" i="106"/>
  <c r="V84" i="106"/>
  <c r="V68" i="106"/>
  <c r="V60" i="106"/>
  <c r="V48" i="106"/>
  <c r="V20" i="106"/>
  <c r="T23" i="106"/>
  <c r="V23" i="106" s="1"/>
  <c r="R44" i="109"/>
  <c r="R48" i="109"/>
  <c r="R36" i="109"/>
  <c r="R24" i="109"/>
  <c r="R20" i="109"/>
  <c r="P16" i="109"/>
  <c r="R42" i="109"/>
  <c r="R33" i="109"/>
  <c r="R43" i="109"/>
  <c r="R34" i="109"/>
  <c r="R26" i="109"/>
  <c r="R22" i="109"/>
  <c r="R50" i="109"/>
  <c r="R38" i="109"/>
  <c r="R31" i="109"/>
  <c r="X12" i="109"/>
  <c r="R46" i="109"/>
  <c r="R29" i="109"/>
  <c r="R18" i="109"/>
  <c r="R16" i="109"/>
  <c r="R14" i="109"/>
  <c r="R41" i="109"/>
  <c r="R32" i="109"/>
  <c r="R30" i="109"/>
  <c r="R53" i="109"/>
  <c r="R23" i="109"/>
  <c r="R19" i="109"/>
  <c r="R37" i="109"/>
  <c r="R35" i="109"/>
  <c r="R27" i="109"/>
  <c r="R25" i="109"/>
  <c r="R21" i="109"/>
  <c r="R28" i="109"/>
  <c r="T46" i="109"/>
  <c r="Z16" i="109"/>
  <c r="J38" i="104"/>
  <c r="J42" i="104"/>
  <c r="J46" i="104"/>
  <c r="J56" i="104"/>
  <c r="J66" i="104"/>
  <c r="J72" i="104"/>
  <c r="J84" i="104"/>
  <c r="V18" i="105"/>
  <c r="J22" i="105"/>
  <c r="J24" i="105"/>
  <c r="J26" i="105"/>
  <c r="J30" i="105"/>
  <c r="V46" i="105"/>
  <c r="J52" i="105"/>
  <c r="N26" i="106"/>
  <c r="N48" i="106"/>
  <c r="V78" i="106"/>
  <c r="V14" i="107"/>
  <c r="R32" i="108"/>
  <c r="R49" i="108"/>
  <c r="V53" i="109"/>
  <c r="V50" i="109"/>
  <c r="V48" i="109"/>
  <c r="V37" i="109"/>
  <c r="V33" i="109"/>
  <c r="V29" i="109"/>
  <c r="V42" i="109"/>
  <c r="V30" i="109"/>
  <c r="V25" i="109"/>
  <c r="V21" i="109"/>
  <c r="V34" i="109"/>
  <c r="V26" i="109"/>
  <c r="V22" i="109"/>
  <c r="V38" i="109"/>
  <c r="V31" i="109"/>
  <c r="V44" i="109"/>
  <c r="V28" i="109"/>
  <c r="Z12" i="109"/>
  <c r="V40" i="109"/>
  <c r="V35" i="109"/>
  <c r="V27" i="109"/>
  <c r="V23" i="109"/>
  <c r="V19" i="109"/>
  <c r="V36" i="109"/>
  <c r="V24" i="109"/>
  <c r="V20" i="109"/>
  <c r="V41" i="109"/>
  <c r="V32" i="109"/>
  <c r="V14" i="109"/>
  <c r="V43" i="109"/>
  <c r="V46" i="109"/>
  <c r="V16" i="109"/>
  <c r="V18" i="109"/>
  <c r="J19" i="104"/>
  <c r="J37" i="104"/>
  <c r="J55" i="104"/>
  <c r="J71" i="104"/>
  <c r="J83" i="104"/>
  <c r="J25" i="105"/>
  <c r="V27" i="105"/>
  <c r="V31" i="105"/>
  <c r="J35" i="105"/>
  <c r="J39" i="105"/>
  <c r="J43" i="105"/>
  <c r="V47" i="105"/>
  <c r="V54" i="105"/>
  <c r="V19" i="106"/>
  <c r="V36" i="106"/>
  <c r="L52" i="106"/>
  <c r="N52" i="106" s="1"/>
  <c r="N60" i="106"/>
  <c r="N64" i="106"/>
  <c r="J54" i="104"/>
  <c r="J76" i="104"/>
  <c r="J82" i="104"/>
  <c r="J53" i="105"/>
  <c r="J63" i="105"/>
  <c r="J20" i="105"/>
  <c r="J34" i="105"/>
  <c r="J51" i="105"/>
  <c r="D12" i="108"/>
  <c r="L15" i="108"/>
  <c r="X60" i="108"/>
  <c r="Z60" i="108" s="1"/>
  <c r="J53" i="104"/>
  <c r="J65" i="104"/>
  <c r="J81" i="104"/>
  <c r="V17" i="105"/>
  <c r="J29" i="105"/>
  <c r="J33" i="105"/>
  <c r="V45" i="105"/>
  <c r="J57" i="105"/>
  <c r="D12" i="106"/>
  <c r="L13" i="106"/>
  <c r="V38" i="106"/>
  <c r="V42" i="106"/>
  <c r="J52" i="106"/>
  <c r="X58" i="106"/>
  <c r="R62" i="108"/>
  <c r="R61" i="108"/>
  <c r="R84" i="108"/>
  <c r="R85" i="108"/>
  <c r="R77" i="108"/>
  <c r="R73" i="108"/>
  <c r="R66" i="108"/>
  <c r="R65" i="108"/>
  <c r="R54" i="108"/>
  <c r="R53" i="108"/>
  <c r="R45" i="108"/>
  <c r="R41" i="108"/>
  <c r="R37" i="108"/>
  <c r="R68" i="108"/>
  <c r="R67" i="108"/>
  <c r="R56" i="108"/>
  <c r="R55" i="108"/>
  <c r="R19" i="108"/>
  <c r="R79" i="108"/>
  <c r="R78" i="108"/>
  <c r="R74" i="108"/>
  <c r="R47" i="108"/>
  <c r="R46" i="108"/>
  <c r="R42" i="108"/>
  <c r="R38" i="108"/>
  <c r="R91" i="108"/>
  <c r="R69" i="108"/>
  <c r="R58" i="108"/>
  <c r="R57" i="108"/>
  <c r="R33" i="108"/>
  <c r="R83" i="108"/>
  <c r="R82" i="108"/>
  <c r="R70" i="108"/>
  <c r="R50" i="108"/>
  <c r="R34" i="108"/>
  <c r="R30" i="108"/>
  <c r="R26" i="108"/>
  <c r="P22" i="108"/>
  <c r="R22" i="108" s="1"/>
  <c r="R52" i="108"/>
  <c r="R40" i="108"/>
  <c r="R35" i="108"/>
  <c r="R24" i="108"/>
  <c r="R18" i="108"/>
  <c r="X12" i="108"/>
  <c r="R63" i="108"/>
  <c r="R25" i="108"/>
  <c r="R28" i="108"/>
  <c r="R36" i="108"/>
  <c r="R75" i="108"/>
  <c r="R31" i="108"/>
  <c r="R80" i="108"/>
  <c r="R71" i="108"/>
  <c r="R64" i="108"/>
  <c r="R48" i="108"/>
  <c r="R43" i="108"/>
  <c r="R29" i="108"/>
  <c r="R20" i="108"/>
  <c r="R87" i="108"/>
  <c r="R60" i="108"/>
  <c r="R44" i="108"/>
  <c r="J52" i="104"/>
  <c r="J64" i="104"/>
  <c r="J70" i="104"/>
  <c r="J80" i="104"/>
  <c r="J92" i="104"/>
  <c r="N12" i="105"/>
  <c r="X17" i="105"/>
  <c r="J38" i="105"/>
  <c r="J42" i="105"/>
  <c r="X45" i="105"/>
  <c r="J50" i="105"/>
  <c r="J56" i="105"/>
  <c r="Z58" i="106"/>
  <c r="T89" i="108"/>
  <c r="J27" i="104"/>
  <c r="J31" i="104"/>
  <c r="J35" i="104"/>
  <c r="J51" i="104"/>
  <c r="J63" i="104"/>
  <c r="J75" i="104"/>
  <c r="Z17" i="105"/>
  <c r="J19" i="105"/>
  <c r="V35" i="105"/>
  <c r="V39" i="105"/>
  <c r="V43" i="105"/>
  <c r="J49" i="105"/>
  <c r="N25" i="106"/>
  <c r="Z54" i="106"/>
  <c r="V58" i="106"/>
  <c r="R22" i="107"/>
  <c r="R29" i="107"/>
  <c r="R14" i="107"/>
  <c r="R16" i="107"/>
  <c r="R18" i="107"/>
  <c r="P16" i="107"/>
  <c r="R20" i="107"/>
  <c r="R24" i="107"/>
  <c r="X12" i="107"/>
  <c r="V22" i="108"/>
  <c r="R76" i="108"/>
  <c r="J18" i="106"/>
  <c r="J28" i="106"/>
  <c r="J32" i="106"/>
  <c r="J36" i="106"/>
  <c r="J54" i="106"/>
  <c r="J66" i="106"/>
  <c r="J72" i="106"/>
  <c r="J94" i="106"/>
  <c r="N12" i="107"/>
  <c r="J24" i="107"/>
  <c r="J20" i="108"/>
  <c r="V24" i="108"/>
  <c r="Z54" i="108"/>
  <c r="J67" i="108"/>
  <c r="X72" i="108"/>
  <c r="Z72" i="108" s="1"/>
  <c r="J81" i="108"/>
  <c r="J35" i="106"/>
  <c r="J51" i="106"/>
  <c r="J63" i="106"/>
  <c r="J71" i="106"/>
  <c r="F20" i="107"/>
  <c r="J26" i="108"/>
  <c r="J31" i="108"/>
  <c r="V39" i="108"/>
  <c r="J43" i="108"/>
  <c r="V51" i="108"/>
  <c r="V59" i="108"/>
  <c r="J61" i="108"/>
  <c r="V62" i="108"/>
  <c r="N19" i="109"/>
  <c r="J62" i="106"/>
  <c r="J70" i="106"/>
  <c r="J76" i="106"/>
  <c r="J80" i="106"/>
  <c r="J88" i="106"/>
  <c r="D16" i="107"/>
  <c r="J19" i="108"/>
  <c r="V34" i="108"/>
  <c r="N36" i="108"/>
  <c r="V41" i="108"/>
  <c r="V53" i="108"/>
  <c r="J61" i="106"/>
  <c r="J69" i="106"/>
  <c r="J75" i="106"/>
  <c r="J87" i="106"/>
  <c r="J80" i="108"/>
  <c r="J58" i="108"/>
  <c r="J48" i="108"/>
  <c r="J82" i="108"/>
  <c r="J84" i="108"/>
  <c r="J76" i="108"/>
  <c r="J62" i="108"/>
  <c r="J44" i="108"/>
  <c r="J40" i="108"/>
  <c r="J72" i="108"/>
  <c r="J64" i="108"/>
  <c r="J52" i="108"/>
  <c r="J36" i="108"/>
  <c r="J18" i="108"/>
  <c r="J85" i="108"/>
  <c r="J77" i="108"/>
  <c r="J73" i="108"/>
  <c r="J65" i="108"/>
  <c r="J53" i="108"/>
  <c r="J45" i="108"/>
  <c r="J41" i="108"/>
  <c r="J37" i="108"/>
  <c r="J66" i="108"/>
  <c r="J54" i="108"/>
  <c r="J32" i="108"/>
  <c r="J91" i="108"/>
  <c r="J79" i="108"/>
  <c r="J69" i="108"/>
  <c r="J57" i="108"/>
  <c r="J47" i="108"/>
  <c r="J33" i="108"/>
  <c r="J29" i="108"/>
  <c r="N25" i="108"/>
  <c r="J55" i="108"/>
  <c r="N66" i="108"/>
  <c r="L66" i="108"/>
  <c r="V85" i="108"/>
  <c r="L43" i="110"/>
  <c r="N43" i="110" s="1"/>
  <c r="J30" i="106"/>
  <c r="J34" i="106"/>
  <c r="J48" i="106"/>
  <c r="J60" i="106"/>
  <c r="J74" i="106"/>
  <c r="J86" i="106"/>
  <c r="F14" i="107"/>
  <c r="H16" i="107"/>
  <c r="J18" i="107"/>
  <c r="J24" i="108"/>
  <c r="J25" i="108"/>
  <c r="V26" i="108"/>
  <c r="J28" i="108"/>
  <c r="X36" i="108"/>
  <c r="J38" i="108"/>
  <c r="V43" i="108"/>
  <c r="V45" i="108"/>
  <c r="J50" i="108"/>
  <c r="X56" i="108"/>
  <c r="J63" i="108"/>
  <c r="V71" i="108"/>
  <c r="Z83" i="108"/>
  <c r="X19" i="109"/>
  <c r="Z19" i="109" s="1"/>
  <c r="N15" i="110"/>
  <c r="H17" i="110"/>
  <c r="Z41" i="110"/>
  <c r="J39" i="106"/>
  <c r="J43" i="106"/>
  <c r="J47" i="106"/>
  <c r="J59" i="106"/>
  <c r="J79" i="106"/>
  <c r="J85" i="106"/>
  <c r="J16" i="107"/>
  <c r="V19" i="108"/>
  <c r="L25" i="108"/>
  <c r="V31" i="108"/>
  <c r="J35" i="108"/>
  <c r="N52" i="108"/>
  <c r="V55" i="108"/>
  <c r="Z66" i="108"/>
  <c r="V73" i="108"/>
  <c r="V75" i="108"/>
  <c r="V77" i="108"/>
  <c r="V83" i="108"/>
  <c r="J58" i="106"/>
  <c r="J68" i="106"/>
  <c r="J84" i="106"/>
  <c r="H22" i="108"/>
  <c r="J30" i="108"/>
  <c r="J42" i="108"/>
  <c r="V50" i="108"/>
  <c r="V66" i="108"/>
  <c r="J68" i="108"/>
  <c r="V82" i="108"/>
  <c r="N53" i="110"/>
  <c r="J29" i="106"/>
  <c r="J33" i="106"/>
  <c r="J57" i="106"/>
  <c r="J73" i="106"/>
  <c r="J83" i="106"/>
  <c r="V84" i="108"/>
  <c r="V76" i="108"/>
  <c r="V72" i="108"/>
  <c r="V64" i="108"/>
  <c r="V52" i="108"/>
  <c r="V44" i="108"/>
  <c r="V40" i="108"/>
  <c r="V68" i="108"/>
  <c r="V56" i="108"/>
  <c r="V32" i="108"/>
  <c r="V28" i="108"/>
  <c r="V78" i="108"/>
  <c r="V74" i="108"/>
  <c r="V58" i="108"/>
  <c r="V46" i="108"/>
  <c r="V42" i="108"/>
  <c r="V38" i="108"/>
  <c r="Z12" i="108"/>
  <c r="V91" i="108"/>
  <c r="V81" i="108"/>
  <c r="V69" i="108"/>
  <c r="V57" i="108"/>
  <c r="V49" i="108"/>
  <c r="V33" i="108"/>
  <c r="V29" i="108"/>
  <c r="V80" i="108"/>
  <c r="V60" i="108"/>
  <c r="V48" i="108"/>
  <c r="V61" i="108"/>
  <c r="V36" i="108"/>
  <c r="J60" i="108"/>
  <c r="J70" i="108"/>
  <c r="N87" i="108"/>
  <c r="L87" i="108"/>
  <c r="J38" i="106"/>
  <c r="J42" i="106"/>
  <c r="J46" i="106"/>
  <c r="J56" i="106"/>
  <c r="J78" i="106"/>
  <c r="J82" i="106"/>
  <c r="J27" i="108"/>
  <c r="J46" i="108"/>
  <c r="L49" i="108"/>
  <c r="N49" i="108" s="1"/>
  <c r="N54" i="108"/>
  <c r="L54" i="108"/>
  <c r="L60" i="108"/>
  <c r="N60" i="108" s="1"/>
  <c r="V63" i="108"/>
  <c r="N72" i="108"/>
  <c r="J87" i="108"/>
  <c r="Z14" i="109"/>
  <c r="X14" i="109"/>
  <c r="X45" i="110"/>
  <c r="Z45" i="110" s="1"/>
  <c r="J17" i="108"/>
  <c r="Z24" i="108"/>
  <c r="V25" i="108"/>
  <c r="V30" i="108"/>
  <c r="V35" i="108"/>
  <c r="J39" i="108"/>
  <c r="V47" i="108"/>
  <c r="J49" i="108"/>
  <c r="J51" i="108"/>
  <c r="J59" i="108"/>
  <c r="V65" i="108"/>
  <c r="V70" i="108"/>
  <c r="J74" i="108"/>
  <c r="J78" i="108"/>
  <c r="V79" i="108"/>
  <c r="X18" i="109"/>
  <c r="Z18" i="109" s="1"/>
  <c r="T69" i="110"/>
  <c r="V69" i="110" s="1"/>
  <c r="V17" i="110"/>
  <c r="N81" i="108"/>
  <c r="N12" i="109"/>
  <c r="N28" i="109"/>
  <c r="F38" i="109"/>
  <c r="P40" i="109"/>
  <c r="X40" i="109" s="1"/>
  <c r="Z40" i="109" s="1"/>
  <c r="J50" i="109"/>
  <c r="V15" i="110"/>
  <c r="L19" i="110"/>
  <c r="N19" i="110" s="1"/>
  <c r="R24" i="110"/>
  <c r="V27" i="110"/>
  <c r="R30" i="110"/>
  <c r="R33" i="110"/>
  <c r="V38" i="110"/>
  <c r="J40" i="110"/>
  <c r="R45" i="110"/>
  <c r="V48" i="110"/>
  <c r="V54" i="110"/>
  <c r="J34" i="109"/>
  <c r="R29" i="110"/>
  <c r="V40" i="110"/>
  <c r="V44" i="110"/>
  <c r="V57" i="110"/>
  <c r="V59" i="110"/>
  <c r="F21" i="109"/>
  <c r="F25" i="109"/>
  <c r="F30" i="109"/>
  <c r="F37" i="109"/>
  <c r="L43" i="109"/>
  <c r="F48" i="109"/>
  <c r="R20" i="110"/>
  <c r="R23" i="110"/>
  <c r="V47" i="110"/>
  <c r="R62" i="110"/>
  <c r="D16" i="109"/>
  <c r="J21" i="109"/>
  <c r="J25" i="109"/>
  <c r="J30" i="109"/>
  <c r="J37" i="109"/>
  <c r="J48" i="109"/>
  <c r="V23" i="110"/>
  <c r="V32" i="110"/>
  <c r="R37" i="110"/>
  <c r="V56" i="110"/>
  <c r="V62" i="110"/>
  <c r="F33" i="109"/>
  <c r="L15" i="110"/>
  <c r="R43" i="110"/>
  <c r="R67" i="110"/>
  <c r="H16" i="109"/>
  <c r="F19" i="109"/>
  <c r="F20" i="109"/>
  <c r="F24" i="109"/>
  <c r="J33" i="109"/>
  <c r="F36" i="109"/>
  <c r="J42" i="109"/>
  <c r="J71" i="110"/>
  <c r="J59" i="110"/>
  <c r="J49" i="110"/>
  <c r="J39" i="110"/>
  <c r="J35" i="110"/>
  <c r="J31" i="110"/>
  <c r="J53" i="110"/>
  <c r="J63" i="110"/>
  <c r="J55" i="110"/>
  <c r="J43" i="110"/>
  <c r="J37" i="110"/>
  <c r="J33" i="110"/>
  <c r="J67" i="110"/>
  <c r="J66" i="110"/>
  <c r="J58" i="110"/>
  <c r="J46" i="110"/>
  <c r="J38" i="110"/>
  <c r="J34" i="110"/>
  <c r="J20" i="110"/>
  <c r="J47" i="110"/>
  <c r="J29" i="110"/>
  <c r="J25" i="110"/>
  <c r="J21" i="110"/>
  <c r="J19" i="110"/>
  <c r="J15" i="110"/>
  <c r="P17" i="110"/>
  <c r="R17" i="110" s="1"/>
  <c r="R28" i="110"/>
  <c r="V34" i="110"/>
  <c r="J36" i="110"/>
  <c r="V39" i="110"/>
  <c r="R42" i="110"/>
  <c r="L55" i="110"/>
  <c r="N55" i="110" s="1"/>
  <c r="R66" i="110"/>
  <c r="F42" i="109"/>
  <c r="F40" i="109"/>
  <c r="F35" i="109"/>
  <c r="F31" i="109"/>
  <c r="F43" i="109"/>
  <c r="J19" i="109"/>
  <c r="J29" i="109"/>
  <c r="F32" i="109"/>
  <c r="J40" i="109"/>
  <c r="J41" i="109"/>
  <c r="J41" i="110"/>
  <c r="R49" i="110"/>
  <c r="N51" i="110"/>
  <c r="R55" i="110"/>
  <c r="J43" i="109"/>
  <c r="J44" i="109"/>
  <c r="F23" i="109"/>
  <c r="F27" i="109"/>
  <c r="J28" i="109"/>
  <c r="J32" i="109"/>
  <c r="J46" i="109"/>
  <c r="F50" i="109"/>
  <c r="R53" i="110"/>
  <c r="R52" i="110"/>
  <c r="R41" i="110"/>
  <c r="R40" i="110"/>
  <c r="R36" i="110"/>
  <c r="R32" i="110"/>
  <c r="R64" i="110"/>
  <c r="R57" i="110"/>
  <c r="R56" i="110"/>
  <c r="R58" i="110"/>
  <c r="R47" i="110"/>
  <c r="R46" i="110"/>
  <c r="R38" i="110"/>
  <c r="R34" i="110"/>
  <c r="R19" i="110"/>
  <c r="R15" i="110"/>
  <c r="R71" i="110"/>
  <c r="R60" i="110"/>
  <c r="R59" i="110"/>
  <c r="R39" i="110"/>
  <c r="R35" i="110"/>
  <c r="R31" i="110"/>
  <c r="R51" i="110"/>
  <c r="R50" i="110"/>
  <c r="R26" i="110"/>
  <c r="R22" i="110"/>
  <c r="X12" i="110"/>
  <c r="L41" i="110"/>
  <c r="N41" i="110" s="1"/>
  <c r="L12" i="109"/>
  <c r="J23" i="109"/>
  <c r="J27" i="109"/>
  <c r="J35" i="109"/>
  <c r="V63" i="110"/>
  <c r="V55" i="110"/>
  <c r="V43" i="110"/>
  <c r="V67" i="110"/>
  <c r="V49" i="110"/>
  <c r="V29" i="110"/>
  <c r="V25" i="110"/>
  <c r="V21" i="110"/>
  <c r="V71" i="110"/>
  <c r="V50" i="110"/>
  <c r="V26" i="110"/>
  <c r="V22" i="110"/>
  <c r="Z12" i="110"/>
  <c r="V61" i="110"/>
  <c r="V53" i="110"/>
  <c r="V41" i="110"/>
  <c r="R27" i="110"/>
  <c r="R48" i="110"/>
  <c r="X49" i="110"/>
  <c r="Z49" i="110" s="1"/>
  <c r="R54" i="110"/>
  <c r="V64" i="110"/>
  <c r="L30" i="110"/>
  <c r="N30" i="110" s="1"/>
  <c r="H89" i="108" l="1"/>
  <c r="H69" i="110"/>
  <c r="F44" i="104"/>
  <c r="F40" i="104"/>
  <c r="F88" i="104"/>
  <c r="F79" i="104"/>
  <c r="F75" i="104"/>
  <c r="F63" i="104"/>
  <c r="F62" i="104"/>
  <c r="F51" i="104"/>
  <c r="F50" i="104"/>
  <c r="F92" i="104"/>
  <c r="F70" i="104"/>
  <c r="F81" i="104"/>
  <c r="F80" i="104"/>
  <c r="F65" i="104"/>
  <c r="F64" i="104"/>
  <c r="F53" i="104"/>
  <c r="F52" i="104"/>
  <c r="F45" i="104"/>
  <c r="F41" i="104"/>
  <c r="F76" i="104"/>
  <c r="F36" i="104"/>
  <c r="F32" i="104"/>
  <c r="F28" i="104"/>
  <c r="L12" i="104"/>
  <c r="N12" i="104" s="1"/>
  <c r="F83" i="104"/>
  <c r="F82" i="104"/>
  <c r="F71" i="104"/>
  <c r="F55" i="104"/>
  <c r="F54" i="104"/>
  <c r="F19" i="104"/>
  <c r="F18" i="104"/>
  <c r="F66" i="104"/>
  <c r="F46" i="104"/>
  <c r="F42" i="104"/>
  <c r="F38" i="104"/>
  <c r="F37" i="104"/>
  <c r="F85" i="104"/>
  <c r="F84" i="104"/>
  <c r="F77" i="104"/>
  <c r="F73" i="104"/>
  <c r="F72" i="104"/>
  <c r="F57" i="104"/>
  <c r="F56" i="104"/>
  <c r="F33" i="104"/>
  <c r="F29" i="104"/>
  <c r="F69" i="104"/>
  <c r="F61" i="104"/>
  <c r="F60" i="104"/>
  <c r="F49" i="104"/>
  <c r="F48" i="104"/>
  <c r="F21" i="104"/>
  <c r="F86" i="104"/>
  <c r="F39" i="104"/>
  <c r="F25" i="104"/>
  <c r="F78" i="104"/>
  <c r="F47" i="104"/>
  <c r="F43" i="104"/>
  <c r="F30" i="104"/>
  <c r="F68" i="104"/>
  <c r="F58" i="104"/>
  <c r="F35" i="104"/>
  <c r="F26" i="104"/>
  <c r="F31" i="104"/>
  <c r="F23" i="104"/>
  <c r="D23" i="104"/>
  <c r="F20" i="104"/>
  <c r="F59" i="104"/>
  <c r="F67" i="104"/>
  <c r="F74" i="104"/>
  <c r="F34" i="104"/>
  <c r="F27" i="104"/>
  <c r="H94" i="104"/>
  <c r="P67" i="103"/>
  <c r="H87" i="102"/>
  <c r="H85" i="95"/>
  <c r="P28" i="86"/>
  <c r="X20" i="86"/>
  <c r="Z20" i="86" s="1"/>
  <c r="H78" i="80"/>
  <c r="D26" i="82"/>
  <c r="L22" i="82"/>
  <c r="X16" i="82"/>
  <c r="P22" i="82"/>
  <c r="R49" i="77"/>
  <c r="R45" i="77"/>
  <c r="R41" i="77"/>
  <c r="R96" i="77"/>
  <c r="R89" i="77"/>
  <c r="R88" i="77"/>
  <c r="R77" i="77"/>
  <c r="R76" i="77"/>
  <c r="R72" i="77"/>
  <c r="R68" i="77"/>
  <c r="X12" i="77"/>
  <c r="Z12" i="77" s="1"/>
  <c r="R99" i="77"/>
  <c r="R98" i="77"/>
  <c r="R63" i="77"/>
  <c r="R59" i="77"/>
  <c r="R100" i="77"/>
  <c r="R90" i="77"/>
  <c r="R79" i="77"/>
  <c r="R78" i="77"/>
  <c r="R55" i="77"/>
  <c r="R50" i="77"/>
  <c r="R46" i="77"/>
  <c r="R42" i="77"/>
  <c r="R101" i="77"/>
  <c r="R73" i="77"/>
  <c r="R69" i="77"/>
  <c r="R54" i="77"/>
  <c r="R38" i="77"/>
  <c r="R81" i="77"/>
  <c r="R80" i="77"/>
  <c r="R64" i="77"/>
  <c r="R60" i="77"/>
  <c r="R56" i="77"/>
  <c r="P52" i="77"/>
  <c r="R92" i="77"/>
  <c r="R91" i="77"/>
  <c r="R47" i="77"/>
  <c r="R43" i="77"/>
  <c r="R39" i="77"/>
  <c r="R83" i="77"/>
  <c r="R82" i="77"/>
  <c r="R74" i="77"/>
  <c r="R70" i="77"/>
  <c r="R105" i="77"/>
  <c r="R93" i="77"/>
  <c r="R66" i="77"/>
  <c r="R65" i="77"/>
  <c r="R61" i="77"/>
  <c r="R57" i="77"/>
  <c r="R85" i="77"/>
  <c r="R84" i="77"/>
  <c r="R95" i="77"/>
  <c r="R94" i="77"/>
  <c r="R87" i="77"/>
  <c r="R86" i="77"/>
  <c r="R62" i="77"/>
  <c r="R58" i="77"/>
  <c r="R67" i="77"/>
  <c r="R71" i="77"/>
  <c r="R40" i="77"/>
  <c r="R44" i="77"/>
  <c r="R75" i="77"/>
  <c r="R48" i="77"/>
  <c r="F76" i="73"/>
  <c r="F75" i="73"/>
  <c r="F60" i="73"/>
  <c r="F59" i="73"/>
  <c r="F48" i="73"/>
  <c r="F44" i="73"/>
  <c r="F40" i="73"/>
  <c r="L12" i="73"/>
  <c r="N12" i="73" s="1"/>
  <c r="F35" i="73"/>
  <c r="F31" i="73"/>
  <c r="F70" i="73"/>
  <c r="F62" i="73"/>
  <c r="F61" i="73"/>
  <c r="F50" i="73"/>
  <c r="F49" i="73"/>
  <c r="F22" i="73"/>
  <c r="F82" i="73"/>
  <c r="F64" i="73"/>
  <c r="F63" i="73"/>
  <c r="F52" i="73"/>
  <c r="F51" i="73"/>
  <c r="F36" i="73"/>
  <c r="F32" i="73"/>
  <c r="F71" i="73"/>
  <c r="F23" i="73"/>
  <c r="F54" i="73"/>
  <c r="F53" i="73"/>
  <c r="F46" i="73"/>
  <c r="F42" i="73"/>
  <c r="F67" i="73"/>
  <c r="F66" i="73"/>
  <c r="F47" i="73"/>
  <c r="F43" i="73"/>
  <c r="F39" i="73"/>
  <c r="F38" i="73"/>
  <c r="D25" i="73"/>
  <c r="F69" i="73"/>
  <c r="F68" i="73"/>
  <c r="F21" i="73"/>
  <c r="F20" i="73"/>
  <c r="F78" i="73"/>
  <c r="F41" i="73"/>
  <c r="F73" i="73"/>
  <c r="F37" i="73"/>
  <c r="F57" i="73"/>
  <c r="F30" i="73"/>
  <c r="F28" i="73"/>
  <c r="F25" i="73"/>
  <c r="F55" i="73"/>
  <c r="F34" i="73"/>
  <c r="F74" i="73"/>
  <c r="F56" i="73"/>
  <c r="F45" i="73"/>
  <c r="F65" i="73"/>
  <c r="F58" i="73"/>
  <c r="F33" i="73"/>
  <c r="F72" i="73"/>
  <c r="F29" i="73"/>
  <c r="F27" i="73"/>
  <c r="T74" i="70"/>
  <c r="T50" i="109"/>
  <c r="N16" i="92"/>
  <c r="H91" i="92"/>
  <c r="P76" i="94"/>
  <c r="X23" i="94"/>
  <c r="H84" i="93"/>
  <c r="T92" i="84"/>
  <c r="L22" i="83"/>
  <c r="N22" i="83" s="1"/>
  <c r="D28" i="83"/>
  <c r="P94" i="88"/>
  <c r="X22" i="88"/>
  <c r="Z22" i="88" s="1"/>
  <c r="T28" i="83"/>
  <c r="V22" i="84"/>
  <c r="X22" i="81"/>
  <c r="Z22" i="81" s="1"/>
  <c r="P80" i="81"/>
  <c r="H84" i="81"/>
  <c r="J22" i="80"/>
  <c r="F105" i="77"/>
  <c r="F93" i="77"/>
  <c r="F92" i="77"/>
  <c r="F65" i="77"/>
  <c r="F61" i="77"/>
  <c r="F57" i="77"/>
  <c r="F84" i="77"/>
  <c r="F83" i="77"/>
  <c r="F48" i="77"/>
  <c r="F44" i="77"/>
  <c r="F40" i="77"/>
  <c r="F75" i="77"/>
  <c r="F71" i="77"/>
  <c r="F67" i="77"/>
  <c r="F66" i="77"/>
  <c r="F94" i="77"/>
  <c r="F86" i="77"/>
  <c r="F85" i="77"/>
  <c r="F62" i="77"/>
  <c r="F58" i="77"/>
  <c r="F49" i="77"/>
  <c r="F45" i="77"/>
  <c r="F41" i="77"/>
  <c r="F96" i="77"/>
  <c r="F95" i="77"/>
  <c r="F88" i="77"/>
  <c r="F87" i="77"/>
  <c r="F76" i="77"/>
  <c r="F72" i="77"/>
  <c r="F68" i="77"/>
  <c r="L12" i="77"/>
  <c r="N12" i="77" s="1"/>
  <c r="F63" i="77"/>
  <c r="F59" i="77"/>
  <c r="F99" i="77"/>
  <c r="F90" i="77"/>
  <c r="F89" i="77"/>
  <c r="F78" i="77"/>
  <c r="F77" i="77"/>
  <c r="F50" i="77"/>
  <c r="F46" i="77"/>
  <c r="F42" i="77"/>
  <c r="F100" i="77"/>
  <c r="F98" i="77"/>
  <c r="F73" i="77"/>
  <c r="F69" i="77"/>
  <c r="F101" i="77"/>
  <c r="F80" i="77"/>
  <c r="F79" i="77"/>
  <c r="F82" i="77"/>
  <c r="F81" i="77"/>
  <c r="F74" i="77"/>
  <c r="F70" i="77"/>
  <c r="D52" i="77"/>
  <c r="F60" i="77"/>
  <c r="F39" i="77"/>
  <c r="F54" i="77"/>
  <c r="F43" i="77"/>
  <c r="F56" i="77"/>
  <c r="F47" i="77"/>
  <c r="F64" i="77"/>
  <c r="F52" i="77"/>
  <c r="F38" i="77"/>
  <c r="F91" i="77"/>
  <c r="F55" i="77"/>
  <c r="T107" i="69"/>
  <c r="N16" i="72"/>
  <c r="H22" i="72"/>
  <c r="D66" i="68"/>
  <c r="D72" i="57"/>
  <c r="L16" i="57"/>
  <c r="R95" i="51"/>
  <c r="R94" i="51"/>
  <c r="R87" i="51"/>
  <c r="R86" i="51"/>
  <c r="R62" i="51"/>
  <c r="R58" i="51"/>
  <c r="R99" i="51"/>
  <c r="R98" i="51"/>
  <c r="R63" i="51"/>
  <c r="R59" i="51"/>
  <c r="R100" i="51"/>
  <c r="R90" i="51"/>
  <c r="R79" i="51"/>
  <c r="R78" i="51"/>
  <c r="R55" i="51"/>
  <c r="R50" i="51"/>
  <c r="R46" i="51"/>
  <c r="R42" i="51"/>
  <c r="R101" i="51"/>
  <c r="R73" i="51"/>
  <c r="R69" i="51"/>
  <c r="R54" i="51"/>
  <c r="R52" i="51"/>
  <c r="R38" i="51"/>
  <c r="R81" i="51"/>
  <c r="R80" i="51"/>
  <c r="R64" i="51"/>
  <c r="R60" i="51"/>
  <c r="R56" i="51"/>
  <c r="P52" i="51"/>
  <c r="R92" i="51"/>
  <c r="R91" i="51"/>
  <c r="R47" i="51"/>
  <c r="R43" i="51"/>
  <c r="R39" i="51"/>
  <c r="R105" i="51"/>
  <c r="R93" i="51"/>
  <c r="R66" i="51"/>
  <c r="R65" i="51"/>
  <c r="R61" i="51"/>
  <c r="R57" i="51"/>
  <c r="R85" i="51"/>
  <c r="R84" i="51"/>
  <c r="R48" i="51"/>
  <c r="R44" i="51"/>
  <c r="R40" i="51"/>
  <c r="R70" i="51"/>
  <c r="R82" i="51"/>
  <c r="R75" i="51"/>
  <c r="R49" i="51"/>
  <c r="R68" i="51"/>
  <c r="R45" i="51"/>
  <c r="R83" i="51"/>
  <c r="R41" i="51"/>
  <c r="X12" i="51"/>
  <c r="Z12" i="51" s="1"/>
  <c r="R96" i="51"/>
  <c r="R71" i="51"/>
  <c r="R88" i="51"/>
  <c r="R76" i="51"/>
  <c r="R67" i="51"/>
  <c r="R74" i="51"/>
  <c r="R89" i="51"/>
  <c r="R77" i="51"/>
  <c r="R72" i="51"/>
  <c r="P73" i="48"/>
  <c r="T101" i="45"/>
  <c r="T69" i="48"/>
  <c r="Z17" i="48"/>
  <c r="H146" i="39"/>
  <c r="F276" i="18"/>
  <c r="F248" i="18"/>
  <c r="F244" i="18"/>
  <c r="F243" i="18"/>
  <c r="F232" i="18"/>
  <c r="F200" i="18"/>
  <c r="F199" i="18"/>
  <c r="F164" i="18"/>
  <c r="F160" i="18"/>
  <c r="F156" i="18"/>
  <c r="F152" i="18"/>
  <c r="F148" i="18"/>
  <c r="F144" i="18"/>
  <c r="F140" i="18"/>
  <c r="F136" i="18"/>
  <c r="F132" i="18"/>
  <c r="F128" i="18"/>
  <c r="F124" i="18"/>
  <c r="F120" i="18"/>
  <c r="F116" i="18"/>
  <c r="L12" i="18"/>
  <c r="N12" i="18" s="1"/>
  <c r="F264" i="18"/>
  <c r="F255" i="18"/>
  <c r="F254" i="18"/>
  <c r="F227" i="18"/>
  <c r="F226" i="18"/>
  <c r="F215" i="18"/>
  <c r="F207" i="18"/>
  <c r="F206" i="18"/>
  <c r="F191" i="18"/>
  <c r="F187" i="18"/>
  <c r="F183" i="18"/>
  <c r="F265" i="18"/>
  <c r="F263" i="18"/>
  <c r="F238" i="18"/>
  <c r="F178" i="18"/>
  <c r="F174" i="18"/>
  <c r="F266" i="18"/>
  <c r="F257" i="18"/>
  <c r="F256" i="18"/>
  <c r="F249" i="18"/>
  <c r="F245" i="18"/>
  <c r="F233" i="18"/>
  <c r="F217" i="18"/>
  <c r="F216" i="18"/>
  <c r="F201" i="18"/>
  <c r="F193" i="18"/>
  <c r="F192" i="18"/>
  <c r="F165" i="18"/>
  <c r="F161" i="18"/>
  <c r="F157" i="18"/>
  <c r="F153" i="18"/>
  <c r="F149" i="18"/>
  <c r="F145" i="18"/>
  <c r="F141" i="18"/>
  <c r="F137" i="18"/>
  <c r="F133" i="18"/>
  <c r="F129" i="18"/>
  <c r="F125" i="18"/>
  <c r="F121" i="18"/>
  <c r="F117" i="18"/>
  <c r="F113" i="18"/>
  <c r="F112" i="18"/>
  <c r="F267" i="18"/>
  <c r="F228" i="18"/>
  <c r="F208" i="18"/>
  <c r="F188" i="18"/>
  <c r="F184" i="18"/>
  <c r="F268" i="18"/>
  <c r="F239" i="18"/>
  <c r="F219" i="18"/>
  <c r="F218" i="18"/>
  <c r="F195" i="18"/>
  <c r="F194" i="18"/>
  <c r="F179" i="18"/>
  <c r="F175" i="18"/>
  <c r="F171" i="18"/>
  <c r="F170" i="18"/>
  <c r="F269" i="18"/>
  <c r="F258" i="18"/>
  <c r="F250" i="18"/>
  <c r="F246" i="18"/>
  <c r="F234" i="18"/>
  <c r="F210" i="18"/>
  <c r="F209" i="18"/>
  <c r="F202" i="18"/>
  <c r="F169" i="18"/>
  <c r="F167" i="18"/>
  <c r="F162" i="18"/>
  <c r="F158" i="18"/>
  <c r="F154" i="18"/>
  <c r="F150" i="18"/>
  <c r="F146" i="18"/>
  <c r="F142" i="18"/>
  <c r="F138" i="18"/>
  <c r="F134" i="18"/>
  <c r="F130" i="18"/>
  <c r="F126" i="18"/>
  <c r="F122" i="18"/>
  <c r="F118" i="18"/>
  <c r="F114" i="18"/>
  <c r="F270" i="18"/>
  <c r="F241" i="18"/>
  <c r="F240" i="18"/>
  <c r="F229" i="18"/>
  <c r="F221" i="18"/>
  <c r="F220" i="18"/>
  <c r="F189" i="18"/>
  <c r="F185" i="18"/>
  <c r="D167" i="18"/>
  <c r="F271" i="18"/>
  <c r="F252" i="18"/>
  <c r="F251" i="18"/>
  <c r="F236" i="18"/>
  <c r="F235" i="18"/>
  <c r="F212" i="18"/>
  <c r="F211" i="18"/>
  <c r="F204" i="18"/>
  <c r="F203" i="18"/>
  <c r="F196" i="18"/>
  <c r="F180" i="18"/>
  <c r="F176" i="18"/>
  <c r="F172" i="18"/>
  <c r="F261" i="18"/>
  <c r="F260" i="18"/>
  <c r="F253" i="18"/>
  <c r="F237" i="18"/>
  <c r="F225" i="18"/>
  <c r="F224" i="18"/>
  <c r="F205" i="18"/>
  <c r="F177" i="18"/>
  <c r="F173" i="18"/>
  <c r="F198" i="18"/>
  <c r="F182" i="18"/>
  <c r="F159" i="18"/>
  <c r="F135" i="18"/>
  <c r="F247" i="18"/>
  <c r="F259" i="18"/>
  <c r="F242" i="18"/>
  <c r="F163" i="18"/>
  <c r="F139" i="18"/>
  <c r="F115" i="18"/>
  <c r="F272" i="18"/>
  <c r="F230" i="18"/>
  <c r="F143" i="18"/>
  <c r="F119" i="18"/>
  <c r="F223" i="18"/>
  <c r="F197" i="18"/>
  <c r="F186" i="18"/>
  <c r="F181" i="18"/>
  <c r="F214" i="18"/>
  <c r="F147" i="18"/>
  <c r="F123" i="18"/>
  <c r="F151" i="18"/>
  <c r="F127" i="18"/>
  <c r="F190" i="18"/>
  <c r="F213" i="18"/>
  <c r="F155" i="18"/>
  <c r="F131" i="18"/>
  <c r="F231" i="18"/>
  <c r="F222" i="18"/>
  <c r="P27" i="52"/>
  <c r="X18" i="52"/>
  <c r="D27" i="38"/>
  <c r="L18" i="38"/>
  <c r="L18" i="35"/>
  <c r="D27" i="35"/>
  <c r="X18" i="29"/>
  <c r="P27" i="29"/>
  <c r="L18" i="22"/>
  <c r="D27" i="22"/>
  <c r="N18" i="26"/>
  <c r="H27" i="26"/>
  <c r="H27" i="19"/>
  <c r="N18" i="19"/>
  <c r="L18" i="16"/>
  <c r="D27" i="16"/>
  <c r="X18" i="11"/>
  <c r="P27" i="11"/>
  <c r="T27" i="5"/>
  <c r="Z18" i="5"/>
  <c r="H27" i="11"/>
  <c r="N18" i="11"/>
  <c r="H27" i="4"/>
  <c r="N18" i="4"/>
  <c r="T27" i="4"/>
  <c r="Z18" i="4"/>
  <c r="P89" i="108"/>
  <c r="X22" i="108"/>
  <c r="Z22" i="108" s="1"/>
  <c r="X22" i="84"/>
  <c r="Z22" i="84" s="1"/>
  <c r="P92" i="84"/>
  <c r="H27" i="43"/>
  <c r="N18" i="43"/>
  <c r="J22" i="108"/>
  <c r="T72" i="101"/>
  <c r="D94" i="96"/>
  <c r="L22" i="96"/>
  <c r="P85" i="95"/>
  <c r="X23" i="95"/>
  <c r="N24" i="79"/>
  <c r="H68" i="79"/>
  <c r="F60" i="79"/>
  <c r="F59" i="79"/>
  <c r="F44" i="79"/>
  <c r="F40" i="79"/>
  <c r="F51" i="79"/>
  <c r="F35" i="79"/>
  <c r="F31" i="79"/>
  <c r="F63" i="79"/>
  <c r="F22" i="79"/>
  <c r="F18" i="79"/>
  <c r="F17" i="79"/>
  <c r="F64" i="79"/>
  <c r="F62" i="79"/>
  <c r="F53" i="79"/>
  <c r="F52" i="79"/>
  <c r="F45" i="79"/>
  <c r="F41" i="79"/>
  <c r="F37" i="79"/>
  <c r="F36" i="79"/>
  <c r="F65" i="79"/>
  <c r="F32" i="79"/>
  <c r="F28" i="79"/>
  <c r="F27" i="79"/>
  <c r="F66" i="79"/>
  <c r="F55" i="79"/>
  <c r="F54" i="79"/>
  <c r="F26" i="79"/>
  <c r="F19" i="79"/>
  <c r="F46" i="79"/>
  <c r="F42" i="79"/>
  <c r="F38" i="79"/>
  <c r="D24" i="79"/>
  <c r="L12" i="79"/>
  <c r="F57" i="79"/>
  <c r="F56" i="79"/>
  <c r="F33" i="79"/>
  <c r="F29" i="79"/>
  <c r="F70" i="79"/>
  <c r="F48" i="79"/>
  <c r="F47" i="79"/>
  <c r="F20" i="79"/>
  <c r="F43" i="79"/>
  <c r="F39" i="79"/>
  <c r="F21" i="79"/>
  <c r="F58" i="79"/>
  <c r="F49" i="79"/>
  <c r="F34" i="79"/>
  <c r="F50" i="79"/>
  <c r="F30" i="79"/>
  <c r="H32" i="83"/>
  <c r="J28" i="83"/>
  <c r="P68" i="79"/>
  <c r="X24" i="79"/>
  <c r="H89" i="74"/>
  <c r="T115" i="71"/>
  <c r="H107" i="69"/>
  <c r="R112" i="75"/>
  <c r="R100" i="75"/>
  <c r="R60" i="75"/>
  <c r="R56" i="75"/>
  <c r="R95" i="75"/>
  <c r="R88" i="75"/>
  <c r="R87" i="75"/>
  <c r="R76" i="75"/>
  <c r="R75" i="75"/>
  <c r="R47" i="75"/>
  <c r="R43" i="75"/>
  <c r="R39" i="75"/>
  <c r="R35" i="75"/>
  <c r="R70" i="75"/>
  <c r="R66" i="75"/>
  <c r="R102" i="75"/>
  <c r="R101" i="75"/>
  <c r="R90" i="75"/>
  <c r="R89" i="75"/>
  <c r="R78" i="75"/>
  <c r="R77" i="75"/>
  <c r="R61" i="75"/>
  <c r="R57" i="75"/>
  <c r="R116" i="75"/>
  <c r="R97" i="75"/>
  <c r="R96" i="75"/>
  <c r="R53" i="75"/>
  <c r="R104" i="75"/>
  <c r="R103" i="75"/>
  <c r="R91" i="75"/>
  <c r="R80" i="75"/>
  <c r="R79" i="75"/>
  <c r="R71" i="75"/>
  <c r="R67" i="75"/>
  <c r="R52" i="75"/>
  <c r="R50" i="75"/>
  <c r="R98" i="75"/>
  <c r="R63" i="75"/>
  <c r="R62" i="75"/>
  <c r="R58" i="75"/>
  <c r="R54" i="75"/>
  <c r="P50" i="75"/>
  <c r="R106" i="75"/>
  <c r="R105" i="75"/>
  <c r="R82" i="75"/>
  <c r="R81" i="75"/>
  <c r="R45" i="75"/>
  <c r="R41" i="75"/>
  <c r="R37" i="75"/>
  <c r="R92" i="75"/>
  <c r="R72" i="75"/>
  <c r="R68" i="75"/>
  <c r="R64" i="75"/>
  <c r="R111" i="75"/>
  <c r="R94" i="75"/>
  <c r="R93" i="75"/>
  <c r="R86" i="75"/>
  <c r="R85" i="75"/>
  <c r="R74" i="75"/>
  <c r="R73" i="75"/>
  <c r="R69" i="75"/>
  <c r="R65" i="75"/>
  <c r="R38" i="75"/>
  <c r="R84" i="75"/>
  <c r="R55" i="75"/>
  <c r="R46" i="75"/>
  <c r="R36" i="75"/>
  <c r="R109" i="75"/>
  <c r="R99" i="75"/>
  <c r="X12" i="75"/>
  <c r="Z12" i="75" s="1"/>
  <c r="R59" i="75"/>
  <c r="R44" i="75"/>
  <c r="R33" i="75"/>
  <c r="R83" i="75"/>
  <c r="R42" i="75"/>
  <c r="R34" i="75"/>
  <c r="R110" i="75"/>
  <c r="R107" i="75"/>
  <c r="R40" i="75"/>
  <c r="R48" i="75"/>
  <c r="P63" i="68"/>
  <c r="X59" i="68"/>
  <c r="R65" i="70"/>
  <c r="R58" i="70"/>
  <c r="R57" i="70"/>
  <c r="R46" i="70"/>
  <c r="R45" i="70"/>
  <c r="R41" i="70"/>
  <c r="R37" i="70"/>
  <c r="R32" i="70"/>
  <c r="R28" i="70"/>
  <c r="R60" i="70"/>
  <c r="R59" i="70"/>
  <c r="R48" i="70"/>
  <c r="R47" i="70"/>
  <c r="R19" i="70"/>
  <c r="R67" i="70"/>
  <c r="R66" i="70"/>
  <c r="R42" i="70"/>
  <c r="R38" i="70"/>
  <c r="X12" i="70"/>
  <c r="Z12" i="70" s="1"/>
  <c r="R61" i="70"/>
  <c r="R50" i="70"/>
  <c r="R49" i="70"/>
  <c r="R33" i="70"/>
  <c r="R29" i="70"/>
  <c r="R69" i="70"/>
  <c r="R68" i="70"/>
  <c r="R25" i="70"/>
  <c r="R20" i="70"/>
  <c r="R52" i="70"/>
  <c r="R51" i="70"/>
  <c r="R43" i="70"/>
  <c r="R39" i="70"/>
  <c r="R24" i="70"/>
  <c r="R22" i="70"/>
  <c r="R72" i="70"/>
  <c r="R54" i="70"/>
  <c r="R53" i="70"/>
  <c r="R76" i="70"/>
  <c r="R18" i="70"/>
  <c r="R44" i="70"/>
  <c r="R34" i="70"/>
  <c r="R27" i="70"/>
  <c r="R63" i="70"/>
  <c r="R35" i="70"/>
  <c r="R55" i="70"/>
  <c r="R31" i="70"/>
  <c r="R26" i="70"/>
  <c r="R56" i="70"/>
  <c r="R17" i="70"/>
  <c r="R70" i="70"/>
  <c r="R64" i="70"/>
  <c r="R36" i="70"/>
  <c r="R62" i="70"/>
  <c r="R40" i="70"/>
  <c r="P22" i="70"/>
  <c r="R30" i="70"/>
  <c r="P83" i="58"/>
  <c r="H103" i="51"/>
  <c r="N16" i="55"/>
  <c r="H31" i="55"/>
  <c r="P73" i="59"/>
  <c r="T145" i="30"/>
  <c r="H274" i="18"/>
  <c r="F110" i="24"/>
  <c r="F109" i="24"/>
  <c r="F82" i="24"/>
  <c r="F78" i="24"/>
  <c r="F74" i="24"/>
  <c r="F73" i="24"/>
  <c r="F72" i="24"/>
  <c r="F70" i="24"/>
  <c r="F65" i="24"/>
  <c r="F61" i="24"/>
  <c r="F57" i="24"/>
  <c r="F53" i="24"/>
  <c r="F49" i="24"/>
  <c r="F121" i="24"/>
  <c r="F100" i="24"/>
  <c r="F92" i="24"/>
  <c r="F88" i="24"/>
  <c r="F84" i="24"/>
  <c r="F83" i="24"/>
  <c r="D70" i="24"/>
  <c r="F125" i="24"/>
  <c r="F111" i="24"/>
  <c r="F79" i="24"/>
  <c r="F75" i="24"/>
  <c r="F102" i="24"/>
  <c r="F101" i="24"/>
  <c r="F66" i="24"/>
  <c r="F62" i="24"/>
  <c r="F58" i="24"/>
  <c r="F54" i="24"/>
  <c r="F50" i="24"/>
  <c r="F104" i="24"/>
  <c r="F103" i="24"/>
  <c r="F80" i="24"/>
  <c r="F76" i="24"/>
  <c r="F115" i="24"/>
  <c r="F114" i="24"/>
  <c r="F95" i="24"/>
  <c r="F94" i="24"/>
  <c r="F67" i="24"/>
  <c r="F63" i="24"/>
  <c r="F59" i="24"/>
  <c r="F55" i="24"/>
  <c r="F51" i="24"/>
  <c r="F47" i="24"/>
  <c r="F46" i="24"/>
  <c r="F106" i="24"/>
  <c r="F105" i="24"/>
  <c r="F90" i="24"/>
  <c r="F86" i="24"/>
  <c r="F119" i="24"/>
  <c r="F118" i="24"/>
  <c r="F99" i="24"/>
  <c r="F98" i="24"/>
  <c r="F91" i="24"/>
  <c r="F87" i="24"/>
  <c r="F117" i="24"/>
  <c r="F113" i="24"/>
  <c r="F97" i="24"/>
  <c r="F81" i="24"/>
  <c r="F89" i="24"/>
  <c r="F85" i="24"/>
  <c r="F68" i="24"/>
  <c r="F64" i="24"/>
  <c r="F60" i="24"/>
  <c r="F56" i="24"/>
  <c r="F52" i="24"/>
  <c r="F48" i="24"/>
  <c r="F93" i="24"/>
  <c r="L12" i="24"/>
  <c r="N12" i="24" s="1"/>
  <c r="F116" i="24"/>
  <c r="F112" i="24"/>
  <c r="F108" i="24"/>
  <c r="F107" i="24"/>
  <c r="F77" i="24"/>
  <c r="F96" i="24"/>
  <c r="F254" i="12"/>
  <c r="F245" i="12"/>
  <c r="F244" i="12"/>
  <c r="F161" i="12"/>
  <c r="F157" i="12"/>
  <c r="F255" i="12"/>
  <c r="F253" i="12"/>
  <c r="F228" i="12"/>
  <c r="F224" i="12"/>
  <c r="F212" i="12"/>
  <c r="F211" i="12"/>
  <c r="F200" i="12"/>
  <c r="F199" i="12"/>
  <c r="F184" i="12"/>
  <c r="F176" i="12"/>
  <c r="F175" i="12"/>
  <c r="F148" i="12"/>
  <c r="F144" i="12"/>
  <c r="F140" i="12"/>
  <c r="F136" i="12"/>
  <c r="F132" i="12"/>
  <c r="F128" i="12"/>
  <c r="F124" i="12"/>
  <c r="F120" i="12"/>
  <c r="F116" i="12"/>
  <c r="F112" i="12"/>
  <c r="F108" i="12"/>
  <c r="F104" i="12"/>
  <c r="F100" i="12"/>
  <c r="F256" i="12"/>
  <c r="F247" i="12"/>
  <c r="F246" i="12"/>
  <c r="F239" i="12"/>
  <c r="F235" i="12"/>
  <c r="F219" i="12"/>
  <c r="F191" i="12"/>
  <c r="F171" i="12"/>
  <c r="F167" i="12"/>
  <c r="F257" i="12"/>
  <c r="F230" i="12"/>
  <c r="F229" i="12"/>
  <c r="F214" i="12"/>
  <c r="F213" i="12"/>
  <c r="F202" i="12"/>
  <c r="F201" i="12"/>
  <c r="F178" i="12"/>
  <c r="F177" i="12"/>
  <c r="F162" i="12"/>
  <c r="F158" i="12"/>
  <c r="F154" i="12"/>
  <c r="F153" i="12"/>
  <c r="F258" i="12"/>
  <c r="F225" i="12"/>
  <c r="F193" i="12"/>
  <c r="F192" i="12"/>
  <c r="F185" i="12"/>
  <c r="F152" i="12"/>
  <c r="F150" i="12"/>
  <c r="F145" i="12"/>
  <c r="F141" i="12"/>
  <c r="F137" i="12"/>
  <c r="F133" i="12"/>
  <c r="F129" i="12"/>
  <c r="F125" i="12"/>
  <c r="F121" i="12"/>
  <c r="F117" i="12"/>
  <c r="F113" i="12"/>
  <c r="F109" i="12"/>
  <c r="F105" i="12"/>
  <c r="F101" i="12"/>
  <c r="F259" i="12"/>
  <c r="F248" i="12"/>
  <c r="F240" i="12"/>
  <c r="F236" i="12"/>
  <c r="F220" i="12"/>
  <c r="F204" i="12"/>
  <c r="F203" i="12"/>
  <c r="F172" i="12"/>
  <c r="F168" i="12"/>
  <c r="D150" i="12"/>
  <c r="L12" i="12"/>
  <c r="N12" i="12" s="1"/>
  <c r="F260" i="12"/>
  <c r="F231" i="12"/>
  <c r="F215" i="12"/>
  <c r="F195" i="12"/>
  <c r="F194" i="12"/>
  <c r="F187" i="12"/>
  <c r="F186" i="12"/>
  <c r="F179" i="12"/>
  <c r="F163" i="12"/>
  <c r="F159" i="12"/>
  <c r="F155" i="12"/>
  <c r="F242" i="12"/>
  <c r="F241" i="12"/>
  <c r="F226" i="12"/>
  <c r="F206" i="12"/>
  <c r="F205" i="12"/>
  <c r="F146" i="12"/>
  <c r="F142" i="12"/>
  <c r="F138" i="12"/>
  <c r="F134" i="12"/>
  <c r="F130" i="12"/>
  <c r="F126" i="12"/>
  <c r="F122" i="12"/>
  <c r="F118" i="12"/>
  <c r="F114" i="12"/>
  <c r="F110" i="12"/>
  <c r="F106" i="12"/>
  <c r="F102" i="12"/>
  <c r="F249" i="12"/>
  <c r="F237" i="12"/>
  <c r="F233" i="12"/>
  <c r="F232" i="12"/>
  <c r="F221" i="12"/>
  <c r="F197" i="12"/>
  <c r="F196" i="12"/>
  <c r="F181" i="12"/>
  <c r="F180" i="12"/>
  <c r="F173" i="12"/>
  <c r="F169" i="12"/>
  <c r="F165" i="12"/>
  <c r="F164" i="12"/>
  <c r="F264" i="12"/>
  <c r="F216" i="12"/>
  <c r="F208" i="12"/>
  <c r="F207" i="12"/>
  <c r="F188" i="12"/>
  <c r="F160" i="12"/>
  <c r="F156" i="12"/>
  <c r="F238" i="12"/>
  <c r="F234" i="12"/>
  <c r="F218" i="12"/>
  <c r="F217" i="12"/>
  <c r="F210" i="12"/>
  <c r="F209" i="12"/>
  <c r="F198" i="12"/>
  <c r="F190" i="12"/>
  <c r="F189" i="12"/>
  <c r="F174" i="12"/>
  <c r="F170" i="12"/>
  <c r="F166" i="12"/>
  <c r="F139" i="12"/>
  <c r="F227" i="12"/>
  <c r="F115" i="12"/>
  <c r="F99" i="12"/>
  <c r="F143" i="12"/>
  <c r="F147" i="12"/>
  <c r="F123" i="12"/>
  <c r="F107" i="12"/>
  <c r="F251" i="12"/>
  <c r="F223" i="12"/>
  <c r="F98" i="12"/>
  <c r="F222" i="12"/>
  <c r="F131" i="12"/>
  <c r="F183" i="12"/>
  <c r="F250" i="12"/>
  <c r="F127" i="12"/>
  <c r="F119" i="12"/>
  <c r="F111" i="12"/>
  <c r="F103" i="12"/>
  <c r="F243" i="12"/>
  <c r="F182" i="12"/>
  <c r="F135" i="12"/>
  <c r="L180" i="3"/>
  <c r="N180" i="3" s="1"/>
  <c r="D301" i="3"/>
  <c r="P301" i="3"/>
  <c r="X180" i="3"/>
  <c r="H27" i="113"/>
  <c r="N18" i="113"/>
  <c r="H27" i="52"/>
  <c r="N18" i="52"/>
  <c r="T27" i="35"/>
  <c r="Z18" i="35"/>
  <c r="L18" i="32"/>
  <c r="D27" i="32"/>
  <c r="T27" i="34"/>
  <c r="Z18" i="34"/>
  <c r="P27" i="40"/>
  <c r="X18" i="40"/>
  <c r="T27" i="28"/>
  <c r="Z18" i="28"/>
  <c r="H27" i="25"/>
  <c r="N18" i="25"/>
  <c r="T27" i="22"/>
  <c r="Z18" i="22"/>
  <c r="T27" i="26"/>
  <c r="Z18" i="26"/>
  <c r="H27" i="23"/>
  <c r="N18" i="23"/>
  <c r="D27" i="13"/>
  <c r="L18" i="13"/>
  <c r="H92" i="84"/>
  <c r="R70" i="76"/>
  <c r="R59" i="76"/>
  <c r="R58" i="76"/>
  <c r="R50" i="76"/>
  <c r="R46" i="76"/>
  <c r="R31" i="76"/>
  <c r="R27" i="76"/>
  <c r="R87" i="76"/>
  <c r="R42" i="76"/>
  <c r="R41" i="76"/>
  <c r="R37" i="76"/>
  <c r="R33" i="76"/>
  <c r="P29" i="76"/>
  <c r="R29" i="76" s="1"/>
  <c r="R77" i="76"/>
  <c r="R76" i="76"/>
  <c r="R61" i="76"/>
  <c r="R60" i="76"/>
  <c r="R72" i="76"/>
  <c r="R71" i="76"/>
  <c r="R51" i="76"/>
  <c r="R47" i="76"/>
  <c r="R43" i="76"/>
  <c r="R78" i="76"/>
  <c r="R63" i="76"/>
  <c r="R62" i="76"/>
  <c r="R38" i="76"/>
  <c r="R34" i="76"/>
  <c r="X12" i="76"/>
  <c r="Z12" i="76" s="1"/>
  <c r="R73" i="76"/>
  <c r="R65" i="76"/>
  <c r="R64" i="76"/>
  <c r="R53" i="76"/>
  <c r="R52" i="76"/>
  <c r="R48" i="76"/>
  <c r="R44" i="76"/>
  <c r="R79" i="76"/>
  <c r="R39" i="76"/>
  <c r="R35" i="76"/>
  <c r="R82" i="76"/>
  <c r="R81" i="76"/>
  <c r="R74" i="76"/>
  <c r="R67" i="76"/>
  <c r="R66" i="76"/>
  <c r="R55" i="76"/>
  <c r="R54" i="76"/>
  <c r="R75" i="76"/>
  <c r="R32" i="76"/>
  <c r="R68" i="76"/>
  <c r="R45" i="76"/>
  <c r="R69" i="76"/>
  <c r="R57" i="76"/>
  <c r="R49" i="76"/>
  <c r="R40" i="76"/>
  <c r="R83" i="76"/>
  <c r="R56" i="76"/>
  <c r="R36" i="76"/>
  <c r="L16" i="9"/>
  <c r="D98" i="9"/>
  <c r="T27" i="113"/>
  <c r="Z18" i="113"/>
  <c r="L18" i="8"/>
  <c r="D27" i="8"/>
  <c r="J17" i="110"/>
  <c r="R85" i="106"/>
  <c r="R84" i="106"/>
  <c r="R68" i="106"/>
  <c r="R79" i="106"/>
  <c r="R60" i="106"/>
  <c r="R59" i="106"/>
  <c r="R48" i="106"/>
  <c r="R47" i="106"/>
  <c r="R43" i="106"/>
  <c r="R39" i="106"/>
  <c r="R87" i="106"/>
  <c r="R86" i="106"/>
  <c r="R75" i="106"/>
  <c r="R74" i="106"/>
  <c r="R34" i="106"/>
  <c r="R30" i="106"/>
  <c r="R70" i="106"/>
  <c r="R69" i="106"/>
  <c r="R62" i="106"/>
  <c r="R61" i="106"/>
  <c r="R50" i="106"/>
  <c r="R49" i="106"/>
  <c r="R26" i="106"/>
  <c r="R88" i="106"/>
  <c r="R80" i="106"/>
  <c r="R76" i="106"/>
  <c r="R44" i="106"/>
  <c r="R40" i="106"/>
  <c r="R25" i="106"/>
  <c r="R90" i="106"/>
  <c r="R71" i="106"/>
  <c r="R64" i="106"/>
  <c r="R63" i="106"/>
  <c r="R52" i="106"/>
  <c r="R51" i="106"/>
  <c r="R35" i="106"/>
  <c r="R31" i="106"/>
  <c r="R27" i="106"/>
  <c r="P23" i="106"/>
  <c r="R81" i="106"/>
  <c r="R77" i="106"/>
  <c r="R66" i="106"/>
  <c r="R65" i="106"/>
  <c r="R54" i="106"/>
  <c r="R53" i="106"/>
  <c r="R45" i="106"/>
  <c r="R94" i="106"/>
  <c r="R72" i="106"/>
  <c r="R37" i="106"/>
  <c r="R36" i="106"/>
  <c r="R32" i="106"/>
  <c r="R28" i="106"/>
  <c r="R73" i="106"/>
  <c r="R58" i="106"/>
  <c r="R57" i="106"/>
  <c r="R33" i="106"/>
  <c r="R29" i="106"/>
  <c r="R83" i="106"/>
  <c r="R56" i="106"/>
  <c r="R18" i="106"/>
  <c r="R21" i="106"/>
  <c r="R42" i="106"/>
  <c r="R38" i="106"/>
  <c r="R46" i="106"/>
  <c r="R19" i="106"/>
  <c r="X12" i="106"/>
  <c r="Z12" i="106" s="1"/>
  <c r="R78" i="106"/>
  <c r="R55" i="106"/>
  <c r="R20" i="106"/>
  <c r="R82" i="106"/>
  <c r="R41" i="106"/>
  <c r="R67" i="106"/>
  <c r="P61" i="105"/>
  <c r="X22" i="105"/>
  <c r="Z22" i="105" s="1"/>
  <c r="D53" i="100"/>
  <c r="L17" i="100"/>
  <c r="H53" i="100"/>
  <c r="N17" i="100"/>
  <c r="T57" i="100"/>
  <c r="R96" i="96"/>
  <c r="R75" i="96"/>
  <c r="R74" i="96"/>
  <c r="R70" i="96"/>
  <c r="R63" i="96"/>
  <c r="R62" i="96"/>
  <c r="R81" i="96"/>
  <c r="R77" i="96"/>
  <c r="R53" i="96"/>
  <c r="R89" i="96"/>
  <c r="R88" i="96"/>
  <c r="R84" i="96"/>
  <c r="R83" i="96"/>
  <c r="R79" i="96"/>
  <c r="R48" i="96"/>
  <c r="R47" i="96"/>
  <c r="R92" i="96"/>
  <c r="R85" i="96"/>
  <c r="R55" i="96"/>
  <c r="R46" i="96"/>
  <c r="R42" i="96"/>
  <c r="R24" i="96"/>
  <c r="R22" i="96"/>
  <c r="R82" i="96"/>
  <c r="R71" i="96"/>
  <c r="R61" i="96"/>
  <c r="R51" i="96"/>
  <c r="R35" i="96"/>
  <c r="R34" i="96"/>
  <c r="R30" i="96"/>
  <c r="R26" i="96"/>
  <c r="P22" i="96"/>
  <c r="R80" i="96"/>
  <c r="R66" i="96"/>
  <c r="R52" i="96"/>
  <c r="R39" i="96"/>
  <c r="R86" i="96"/>
  <c r="R69" i="96"/>
  <c r="R36" i="96"/>
  <c r="R17" i="96"/>
  <c r="R78" i="96"/>
  <c r="R57" i="96"/>
  <c r="R56" i="96"/>
  <c r="R43" i="96"/>
  <c r="R31" i="96"/>
  <c r="R27" i="96"/>
  <c r="R76" i="96"/>
  <c r="R72" i="96"/>
  <c r="R67" i="96"/>
  <c r="R40" i="96"/>
  <c r="R18" i="96"/>
  <c r="R58" i="96"/>
  <c r="R87" i="96"/>
  <c r="R73" i="96"/>
  <c r="R59" i="96"/>
  <c r="R44" i="96"/>
  <c r="R37" i="96"/>
  <c r="R32" i="96"/>
  <c r="R28" i="96"/>
  <c r="R45" i="96"/>
  <c r="R25" i="96"/>
  <c r="R20" i="96"/>
  <c r="R38" i="96"/>
  <c r="R29" i="96"/>
  <c r="R50" i="96"/>
  <c r="R64" i="96"/>
  <c r="R60" i="96"/>
  <c r="R33" i="96"/>
  <c r="R68" i="96"/>
  <c r="R54" i="96"/>
  <c r="X12" i="96"/>
  <c r="Z12" i="96" s="1"/>
  <c r="R19" i="96"/>
  <c r="R49" i="96"/>
  <c r="R90" i="96"/>
  <c r="R65" i="96"/>
  <c r="R41" i="96"/>
  <c r="J23" i="95"/>
  <c r="F55" i="93"/>
  <c r="F54" i="93"/>
  <c r="F70" i="93"/>
  <c r="F78" i="93"/>
  <c r="F65" i="93"/>
  <c r="F82" i="93"/>
  <c r="F32" i="93"/>
  <c r="F28" i="93"/>
  <c r="F71" i="93"/>
  <c r="F67" i="93"/>
  <c r="F66" i="93"/>
  <c r="F59" i="93"/>
  <c r="F58" i="93"/>
  <c r="F47" i="93"/>
  <c r="F46" i="93"/>
  <c r="F19" i="93"/>
  <c r="F18" i="93"/>
  <c r="F72" i="93"/>
  <c r="F68" i="93"/>
  <c r="F60" i="93"/>
  <c r="F76" i="93"/>
  <c r="F75" i="93"/>
  <c r="F64" i="93"/>
  <c r="F63" i="93"/>
  <c r="F44" i="93"/>
  <c r="F40" i="93"/>
  <c r="F36" i="93"/>
  <c r="F35" i="93"/>
  <c r="F73" i="93"/>
  <c r="F62" i="93"/>
  <c r="F43" i="93"/>
  <c r="F29" i="93"/>
  <c r="F52" i="93"/>
  <c r="F49" i="93"/>
  <c r="F41" i="93"/>
  <c r="F27" i="93"/>
  <c r="F39" i="93"/>
  <c r="F30" i="93"/>
  <c r="F56" i="93"/>
  <c r="F53" i="93"/>
  <c r="F50" i="93"/>
  <c r="F33" i="93"/>
  <c r="F20" i="93"/>
  <c r="F61" i="93"/>
  <c r="F37" i="93"/>
  <c r="F74" i="93"/>
  <c r="F51" i="93"/>
  <c r="F42" i="93"/>
  <c r="F31" i="93"/>
  <c r="F48" i="93"/>
  <c r="F45" i="93"/>
  <c r="F38" i="93"/>
  <c r="F26" i="93"/>
  <c r="F69" i="93"/>
  <c r="F57" i="93"/>
  <c r="F25" i="93"/>
  <c r="F34" i="93"/>
  <c r="L12" i="93"/>
  <c r="N12" i="93" s="1"/>
  <c r="D22" i="93"/>
  <c r="F22" i="93" s="1"/>
  <c r="F24" i="93"/>
  <c r="R20" i="86"/>
  <c r="T32" i="86"/>
  <c r="L16" i="72"/>
  <c r="R105" i="69"/>
  <c r="R95" i="69"/>
  <c r="R94" i="69"/>
  <c r="R59" i="69"/>
  <c r="R54" i="69"/>
  <c r="R50" i="69"/>
  <c r="R46" i="69"/>
  <c r="R42" i="69"/>
  <c r="R38" i="69"/>
  <c r="X12" i="69"/>
  <c r="Z12" i="69" s="1"/>
  <c r="R85" i="69"/>
  <c r="R77" i="69"/>
  <c r="R73" i="69"/>
  <c r="R58" i="69"/>
  <c r="R56" i="69"/>
  <c r="R96" i="69"/>
  <c r="R69" i="69"/>
  <c r="R68" i="69"/>
  <c r="R64" i="69"/>
  <c r="R60" i="69"/>
  <c r="P56" i="69"/>
  <c r="R109" i="69"/>
  <c r="R51" i="69"/>
  <c r="R47" i="69"/>
  <c r="R43" i="69"/>
  <c r="R39" i="69"/>
  <c r="R87" i="69"/>
  <c r="R86" i="69"/>
  <c r="R78" i="69"/>
  <c r="R74" i="69"/>
  <c r="R70" i="69"/>
  <c r="R98" i="69"/>
  <c r="R97" i="69"/>
  <c r="R65" i="69"/>
  <c r="R61" i="69"/>
  <c r="R89" i="69"/>
  <c r="R88" i="69"/>
  <c r="R52" i="69"/>
  <c r="R48" i="69"/>
  <c r="R44" i="69"/>
  <c r="R40" i="69"/>
  <c r="R91" i="69"/>
  <c r="R90" i="69"/>
  <c r="R66" i="69"/>
  <c r="R62" i="69"/>
  <c r="R103" i="69"/>
  <c r="R84" i="69"/>
  <c r="R83" i="69"/>
  <c r="R67" i="69"/>
  <c r="R63" i="69"/>
  <c r="R81" i="69"/>
  <c r="R92" i="69"/>
  <c r="R37" i="69"/>
  <c r="R53" i="69"/>
  <c r="R49" i="69"/>
  <c r="R45" i="69"/>
  <c r="R41" i="69"/>
  <c r="R79" i="69"/>
  <c r="R75" i="69"/>
  <c r="R101" i="69"/>
  <c r="R93" i="69"/>
  <c r="R82" i="69"/>
  <c r="R71" i="69"/>
  <c r="R99" i="69"/>
  <c r="R80" i="69"/>
  <c r="R76" i="69"/>
  <c r="R72" i="69"/>
  <c r="R100" i="69"/>
  <c r="R102" i="69"/>
  <c r="L16" i="59"/>
  <c r="D69" i="59"/>
  <c r="L16" i="56"/>
  <c r="D73" i="56"/>
  <c r="Z16" i="60"/>
  <c r="T58" i="60"/>
  <c r="X53" i="71"/>
  <c r="Z53" i="71" s="1"/>
  <c r="P115" i="71"/>
  <c r="F82" i="51"/>
  <c r="F81" i="51"/>
  <c r="F74" i="51"/>
  <c r="F70" i="51"/>
  <c r="D52" i="51"/>
  <c r="F75" i="51"/>
  <c r="F71" i="51"/>
  <c r="F67" i="51"/>
  <c r="F66" i="51"/>
  <c r="F94" i="51"/>
  <c r="F86" i="51"/>
  <c r="F85" i="51"/>
  <c r="F62" i="51"/>
  <c r="F58" i="51"/>
  <c r="F49" i="51"/>
  <c r="F45" i="51"/>
  <c r="F41" i="51"/>
  <c r="F96" i="51"/>
  <c r="F95" i="51"/>
  <c r="F88" i="51"/>
  <c r="F87" i="51"/>
  <c r="F76" i="51"/>
  <c r="F72" i="51"/>
  <c r="F68" i="51"/>
  <c r="L12" i="51"/>
  <c r="N12" i="51" s="1"/>
  <c r="F63" i="51"/>
  <c r="F59" i="51"/>
  <c r="F100" i="51"/>
  <c r="F98" i="51"/>
  <c r="F73" i="51"/>
  <c r="F69" i="51"/>
  <c r="F101" i="51"/>
  <c r="F80" i="51"/>
  <c r="F79" i="51"/>
  <c r="F64" i="51"/>
  <c r="F60" i="51"/>
  <c r="F56" i="51"/>
  <c r="F55" i="51"/>
  <c r="F91" i="51"/>
  <c r="F84" i="51"/>
  <c r="F65" i="51"/>
  <c r="F89" i="51"/>
  <c r="F77" i="51"/>
  <c r="F40" i="51"/>
  <c r="F38" i="51"/>
  <c r="F57" i="51"/>
  <c r="F47" i="51"/>
  <c r="F99" i="51"/>
  <c r="F92" i="51"/>
  <c r="F43" i="51"/>
  <c r="F105" i="51"/>
  <c r="F90" i="51"/>
  <c r="F78" i="51"/>
  <c r="F83" i="51"/>
  <c r="F39" i="51"/>
  <c r="F61" i="51"/>
  <c r="F50" i="51"/>
  <c r="F48" i="51"/>
  <c r="F46" i="51"/>
  <c r="F93" i="51"/>
  <c r="F54" i="51"/>
  <c r="F42" i="51"/>
  <c r="F44" i="51"/>
  <c r="T146" i="39"/>
  <c r="V142" i="39"/>
  <c r="Z16" i="6"/>
  <c r="T22" i="6"/>
  <c r="R259" i="12"/>
  <c r="R225" i="12"/>
  <c r="R194" i="12"/>
  <c r="R193" i="12"/>
  <c r="R186" i="12"/>
  <c r="R185" i="12"/>
  <c r="R145" i="12"/>
  <c r="R141" i="12"/>
  <c r="R137" i="12"/>
  <c r="R133" i="12"/>
  <c r="R129" i="12"/>
  <c r="R125" i="12"/>
  <c r="R121" i="12"/>
  <c r="R117" i="12"/>
  <c r="R113" i="12"/>
  <c r="R109" i="12"/>
  <c r="R105" i="12"/>
  <c r="R101" i="12"/>
  <c r="R260" i="12"/>
  <c r="R248" i="12"/>
  <c r="R241" i="12"/>
  <c r="R240" i="12"/>
  <c r="R236" i="12"/>
  <c r="R220" i="12"/>
  <c r="R205" i="12"/>
  <c r="R204" i="12"/>
  <c r="R172" i="12"/>
  <c r="R168" i="12"/>
  <c r="X12" i="12"/>
  <c r="Z12" i="12" s="1"/>
  <c r="R232" i="12"/>
  <c r="R231" i="12"/>
  <c r="R215" i="12"/>
  <c r="R196" i="12"/>
  <c r="R195" i="12"/>
  <c r="R187" i="12"/>
  <c r="R180" i="12"/>
  <c r="R179" i="12"/>
  <c r="R164" i="12"/>
  <c r="R163" i="12"/>
  <c r="R159" i="12"/>
  <c r="R155" i="12"/>
  <c r="R242" i="12"/>
  <c r="R226" i="12"/>
  <c r="R207" i="12"/>
  <c r="R206" i="12"/>
  <c r="R146" i="12"/>
  <c r="R142" i="12"/>
  <c r="R138" i="12"/>
  <c r="R134" i="12"/>
  <c r="R130" i="12"/>
  <c r="R126" i="12"/>
  <c r="R122" i="12"/>
  <c r="R118" i="12"/>
  <c r="R114" i="12"/>
  <c r="R110" i="12"/>
  <c r="R106" i="12"/>
  <c r="R102" i="12"/>
  <c r="R250" i="12"/>
  <c r="R249" i="12"/>
  <c r="R237" i="12"/>
  <c r="R233" i="12"/>
  <c r="R222" i="12"/>
  <c r="R221" i="12"/>
  <c r="R197" i="12"/>
  <c r="R182" i="12"/>
  <c r="R181" i="12"/>
  <c r="R173" i="12"/>
  <c r="R169" i="12"/>
  <c r="R165" i="12"/>
  <c r="R98" i="12"/>
  <c r="R264" i="12"/>
  <c r="R217" i="12"/>
  <c r="R216" i="12"/>
  <c r="R209" i="12"/>
  <c r="R208" i="12"/>
  <c r="R189" i="12"/>
  <c r="R188" i="12"/>
  <c r="R160" i="12"/>
  <c r="R156" i="12"/>
  <c r="R251" i="12"/>
  <c r="R244" i="12"/>
  <c r="R243" i="12"/>
  <c r="R227" i="12"/>
  <c r="R223" i="12"/>
  <c r="R183" i="12"/>
  <c r="R147" i="12"/>
  <c r="R143" i="12"/>
  <c r="R139" i="12"/>
  <c r="R135" i="12"/>
  <c r="R131" i="12"/>
  <c r="R127" i="12"/>
  <c r="R123" i="12"/>
  <c r="R119" i="12"/>
  <c r="R115" i="12"/>
  <c r="R111" i="12"/>
  <c r="R107" i="12"/>
  <c r="R103" i="12"/>
  <c r="R99" i="12"/>
  <c r="R254" i="12"/>
  <c r="R253" i="12"/>
  <c r="R238" i="12"/>
  <c r="R234" i="12"/>
  <c r="R218" i="12"/>
  <c r="R211" i="12"/>
  <c r="R210" i="12"/>
  <c r="R199" i="12"/>
  <c r="R198" i="12"/>
  <c r="R190" i="12"/>
  <c r="R175" i="12"/>
  <c r="R174" i="12"/>
  <c r="R170" i="12"/>
  <c r="R166" i="12"/>
  <c r="R255" i="12"/>
  <c r="R246" i="12"/>
  <c r="R245" i="12"/>
  <c r="R161" i="12"/>
  <c r="R157" i="12"/>
  <c r="R256" i="12"/>
  <c r="R229" i="12"/>
  <c r="R228" i="12"/>
  <c r="R224" i="12"/>
  <c r="R213" i="12"/>
  <c r="R212" i="12"/>
  <c r="R201" i="12"/>
  <c r="R200" i="12"/>
  <c r="R184" i="12"/>
  <c r="R177" i="12"/>
  <c r="R176" i="12"/>
  <c r="R153" i="12"/>
  <c r="R148" i="12"/>
  <c r="R144" i="12"/>
  <c r="R140" i="12"/>
  <c r="R136" i="12"/>
  <c r="R132" i="12"/>
  <c r="R128" i="12"/>
  <c r="R124" i="12"/>
  <c r="R120" i="12"/>
  <c r="R116" i="12"/>
  <c r="R112" i="12"/>
  <c r="R108" i="12"/>
  <c r="R104" i="12"/>
  <c r="R100" i="12"/>
  <c r="R258" i="12"/>
  <c r="R230" i="12"/>
  <c r="R214" i="12"/>
  <c r="R203" i="12"/>
  <c r="R202" i="12"/>
  <c r="R178" i="12"/>
  <c r="R162" i="12"/>
  <c r="R158" i="12"/>
  <c r="R154" i="12"/>
  <c r="P150" i="12"/>
  <c r="R257" i="12"/>
  <c r="R219" i="12"/>
  <c r="R191" i="12"/>
  <c r="R167" i="12"/>
  <c r="R239" i="12"/>
  <c r="R150" i="12"/>
  <c r="R192" i="12"/>
  <c r="R171" i="12"/>
  <c r="R235" i="12"/>
  <c r="R152" i="12"/>
  <c r="R247" i="12"/>
  <c r="T27" i="52"/>
  <c r="Z18" i="52"/>
  <c r="H27" i="46"/>
  <c r="N18" i="46"/>
  <c r="H27" i="35"/>
  <c r="N18" i="35"/>
  <c r="P27" i="38"/>
  <c r="X18" i="38"/>
  <c r="T27" i="37"/>
  <c r="Z18" i="37"/>
  <c r="X18" i="26"/>
  <c r="P27" i="26"/>
  <c r="X18" i="23"/>
  <c r="P27" i="23"/>
  <c r="T27" i="31"/>
  <c r="Z18" i="31"/>
  <c r="L18" i="19"/>
  <c r="D27" i="19"/>
  <c r="T27" i="11"/>
  <c r="Z18" i="11"/>
  <c r="P27" i="19"/>
  <c r="X18" i="19"/>
  <c r="D27" i="7"/>
  <c r="L18" i="7"/>
  <c r="P27" i="17"/>
  <c r="X18" i="17"/>
  <c r="L18" i="11"/>
  <c r="D27" i="11"/>
  <c r="P27" i="5"/>
  <c r="X18" i="5"/>
  <c r="N16" i="109"/>
  <c r="H46" i="109"/>
  <c r="F69" i="101"/>
  <c r="F74" i="101"/>
  <c r="F66" i="101"/>
  <c r="F41" i="101"/>
  <c r="F37" i="101"/>
  <c r="F48" i="101"/>
  <c r="F47" i="101"/>
  <c r="F32" i="101"/>
  <c r="F28" i="101"/>
  <c r="F59" i="101"/>
  <c r="F67" i="101"/>
  <c r="F50" i="101"/>
  <c r="F49" i="101"/>
  <c r="F42" i="101"/>
  <c r="F38" i="101"/>
  <c r="L12" i="101"/>
  <c r="N12" i="101" s="1"/>
  <c r="F61" i="101"/>
  <c r="F60" i="101"/>
  <c r="F33" i="101"/>
  <c r="F29" i="101"/>
  <c r="F52" i="101"/>
  <c r="F51" i="101"/>
  <c r="F20" i="101"/>
  <c r="F70" i="101"/>
  <c r="F63" i="101"/>
  <c r="F62" i="101"/>
  <c r="F43" i="101"/>
  <c r="F39" i="101"/>
  <c r="F35" i="101"/>
  <c r="F34" i="101"/>
  <c r="F54" i="101"/>
  <c r="F53" i="101"/>
  <c r="F30" i="101"/>
  <c r="F26" i="101"/>
  <c r="F25" i="101"/>
  <c r="F65" i="101"/>
  <c r="F58" i="101"/>
  <c r="F57" i="101"/>
  <c r="F46" i="101"/>
  <c r="F45" i="101"/>
  <c r="F18" i="101"/>
  <c r="F17" i="101"/>
  <c r="F44" i="101"/>
  <c r="F31" i="101"/>
  <c r="F40" i="101"/>
  <c r="F36" i="101"/>
  <c r="F27" i="101"/>
  <c r="F22" i="101"/>
  <c r="F56" i="101"/>
  <c r="D22" i="101"/>
  <c r="F19" i="101"/>
  <c r="F64" i="101"/>
  <c r="F55" i="101"/>
  <c r="F24" i="101"/>
  <c r="T94" i="88"/>
  <c r="Z16" i="54"/>
  <c r="T22" i="54"/>
  <c r="F132" i="30"/>
  <c r="F120" i="30"/>
  <c r="F84" i="30"/>
  <c r="F80" i="30"/>
  <c r="F76" i="30"/>
  <c r="F147" i="30"/>
  <c r="F127" i="30"/>
  <c r="F115" i="30"/>
  <c r="F107" i="30"/>
  <c r="F106" i="30"/>
  <c r="F95" i="30"/>
  <c r="F94" i="30"/>
  <c r="F71" i="30"/>
  <c r="F134" i="30"/>
  <c r="F133" i="30"/>
  <c r="F122" i="30"/>
  <c r="F121" i="30"/>
  <c r="F86" i="30"/>
  <c r="F85" i="30"/>
  <c r="F58" i="30"/>
  <c r="F54" i="30"/>
  <c r="F50" i="30"/>
  <c r="F46" i="30"/>
  <c r="F42" i="30"/>
  <c r="F109" i="30"/>
  <c r="F108" i="30"/>
  <c r="F97" i="30"/>
  <c r="F96" i="30"/>
  <c r="F81" i="30"/>
  <c r="F77" i="30"/>
  <c r="F136" i="30"/>
  <c r="F135" i="30"/>
  <c r="F128" i="30"/>
  <c r="F116" i="30"/>
  <c r="F88" i="30"/>
  <c r="F87" i="30"/>
  <c r="F72" i="30"/>
  <c r="F68" i="30"/>
  <c r="F123" i="30"/>
  <c r="F111" i="30"/>
  <c r="F110" i="30"/>
  <c r="F99" i="30"/>
  <c r="F98" i="30"/>
  <c r="F59" i="30"/>
  <c r="F55" i="30"/>
  <c r="F51" i="30"/>
  <c r="F47" i="30"/>
  <c r="F43" i="30"/>
  <c r="F138" i="30"/>
  <c r="F137" i="30"/>
  <c r="F118" i="30"/>
  <c r="F117" i="30"/>
  <c r="F82" i="30"/>
  <c r="F78" i="30"/>
  <c r="F129" i="30"/>
  <c r="F125" i="30"/>
  <c r="F124" i="30"/>
  <c r="F101" i="30"/>
  <c r="F100" i="30"/>
  <c r="F89" i="30"/>
  <c r="F73" i="30"/>
  <c r="F69" i="30"/>
  <c r="F65" i="30"/>
  <c r="F64" i="30"/>
  <c r="F141" i="30"/>
  <c r="F112" i="30"/>
  <c r="F63" i="30"/>
  <c r="F61" i="30"/>
  <c r="F56" i="30"/>
  <c r="F52" i="30"/>
  <c r="F48" i="30"/>
  <c r="F44" i="30"/>
  <c r="F40" i="30"/>
  <c r="F39" i="30"/>
  <c r="F142" i="30"/>
  <c r="F140" i="30"/>
  <c r="F131" i="30"/>
  <c r="F130" i="30"/>
  <c r="F119" i="30"/>
  <c r="F103" i="30"/>
  <c r="F102" i="30"/>
  <c r="F91" i="30"/>
  <c r="F90" i="30"/>
  <c r="F83" i="30"/>
  <c r="F79" i="30"/>
  <c r="F75" i="30"/>
  <c r="F74" i="30"/>
  <c r="D61" i="30"/>
  <c r="F105" i="30"/>
  <c r="F104" i="30"/>
  <c r="F93" i="30"/>
  <c r="F92" i="30"/>
  <c r="F57" i="30"/>
  <c r="F53" i="30"/>
  <c r="F49" i="30"/>
  <c r="F45" i="30"/>
  <c r="F41" i="30"/>
  <c r="F114" i="30"/>
  <c r="F70" i="30"/>
  <c r="F67" i="30"/>
  <c r="F126" i="30"/>
  <c r="F113" i="30"/>
  <c r="F66" i="30"/>
  <c r="F143" i="30"/>
  <c r="L12" i="30"/>
  <c r="N12" i="30" s="1"/>
  <c r="X18" i="28"/>
  <c r="P27" i="28"/>
  <c r="T27" i="23"/>
  <c r="Z18" i="23"/>
  <c r="T73" i="110"/>
  <c r="L16" i="107"/>
  <c r="D22" i="107"/>
  <c r="P46" i="109"/>
  <c r="X16" i="109"/>
  <c r="T83" i="102"/>
  <c r="X17" i="100"/>
  <c r="P53" i="100"/>
  <c r="X16" i="99"/>
  <c r="P22" i="99"/>
  <c r="F71" i="102"/>
  <c r="F78" i="102"/>
  <c r="F77" i="102"/>
  <c r="F54" i="102"/>
  <c r="F53" i="102"/>
  <c r="F25" i="102"/>
  <c r="F65" i="102"/>
  <c r="F45" i="102"/>
  <c r="F41" i="102"/>
  <c r="F37" i="102"/>
  <c r="F36" i="102"/>
  <c r="F81" i="102"/>
  <c r="F72" i="102"/>
  <c r="F56" i="102"/>
  <c r="F55" i="102"/>
  <c r="F32" i="102"/>
  <c r="F28" i="102"/>
  <c r="F80" i="102"/>
  <c r="F67" i="102"/>
  <c r="F66" i="102"/>
  <c r="F58" i="102"/>
  <c r="F57" i="102"/>
  <c r="F68" i="102"/>
  <c r="F60" i="102"/>
  <c r="F59" i="102"/>
  <c r="F48" i="102"/>
  <c r="F47" i="102"/>
  <c r="F20" i="102"/>
  <c r="F75" i="102"/>
  <c r="F70" i="102"/>
  <c r="F43" i="102"/>
  <c r="F63" i="102"/>
  <c r="F38" i="102"/>
  <c r="F34" i="102"/>
  <c r="F29" i="102"/>
  <c r="F52" i="102"/>
  <c r="F26" i="102"/>
  <c r="F73" i="102"/>
  <c r="F49" i="102"/>
  <c r="F46" i="102"/>
  <c r="L12" i="102"/>
  <c r="N12" i="102" s="1"/>
  <c r="F35" i="102"/>
  <c r="F27" i="102"/>
  <c r="F85" i="102"/>
  <c r="F61" i="102"/>
  <c r="F39" i="102"/>
  <c r="F64" i="102"/>
  <c r="F44" i="102"/>
  <c r="F21" i="102"/>
  <c r="F62" i="102"/>
  <c r="F40" i="102"/>
  <c r="F31" i="102"/>
  <c r="D23" i="102"/>
  <c r="F50" i="102"/>
  <c r="F74" i="102"/>
  <c r="F33" i="102"/>
  <c r="F76" i="102"/>
  <c r="F51" i="102"/>
  <c r="F19" i="102"/>
  <c r="F69" i="102"/>
  <c r="F18" i="102"/>
  <c r="F42" i="102"/>
  <c r="F30" i="102"/>
  <c r="L16" i="92"/>
  <c r="D91" i="92"/>
  <c r="R71" i="93"/>
  <c r="R67" i="93"/>
  <c r="R59" i="93"/>
  <c r="R42" i="93"/>
  <c r="R38" i="93"/>
  <c r="R73" i="93"/>
  <c r="R72" i="93"/>
  <c r="R68" i="93"/>
  <c r="R61" i="93"/>
  <c r="R60" i="93"/>
  <c r="R25" i="93"/>
  <c r="R52" i="93"/>
  <c r="R51" i="93"/>
  <c r="R43" i="93"/>
  <c r="R39" i="93"/>
  <c r="R24" i="93"/>
  <c r="R75" i="93"/>
  <c r="R74" i="93"/>
  <c r="R63" i="93"/>
  <c r="R62" i="93"/>
  <c r="R69" i="93"/>
  <c r="R76" i="93"/>
  <c r="R64" i="93"/>
  <c r="R44" i="93"/>
  <c r="R40" i="93"/>
  <c r="R82" i="93"/>
  <c r="R32" i="93"/>
  <c r="R28" i="93"/>
  <c r="R50" i="93"/>
  <c r="R41" i="93"/>
  <c r="R30" i="93"/>
  <c r="R27" i="93"/>
  <c r="R56" i="93"/>
  <c r="R33" i="93"/>
  <c r="R20" i="93"/>
  <c r="R70" i="93"/>
  <c r="R53" i="93"/>
  <c r="R54" i="93"/>
  <c r="R37" i="93"/>
  <c r="P22" i="93"/>
  <c r="R65" i="93"/>
  <c r="R47" i="93"/>
  <c r="R34" i="93"/>
  <c r="R31" i="93"/>
  <c r="X12" i="93"/>
  <c r="Z12" i="93" s="1"/>
  <c r="R57" i="93"/>
  <c r="R48" i="93"/>
  <c r="R35" i="93"/>
  <c r="R26" i="93"/>
  <c r="R18" i="93"/>
  <c r="R45" i="93"/>
  <c r="R29" i="93"/>
  <c r="R58" i="93"/>
  <c r="R36" i="93"/>
  <c r="R66" i="93"/>
  <c r="R46" i="93"/>
  <c r="R78" i="93"/>
  <c r="R49" i="93"/>
  <c r="R55" i="93"/>
  <c r="R19" i="93"/>
  <c r="T76" i="94"/>
  <c r="Z23" i="94"/>
  <c r="J80" i="93"/>
  <c r="P83" i="89"/>
  <c r="X23" i="89"/>
  <c r="R118" i="85"/>
  <c r="R98" i="85"/>
  <c r="R42" i="85"/>
  <c r="R38" i="85"/>
  <c r="R34" i="85"/>
  <c r="R56" i="85"/>
  <c r="R52" i="85"/>
  <c r="R111" i="85"/>
  <c r="R99" i="85"/>
  <c r="R92" i="85"/>
  <c r="R91" i="85"/>
  <c r="R80" i="85"/>
  <c r="R79" i="85"/>
  <c r="R43" i="85"/>
  <c r="R39" i="85"/>
  <c r="R35" i="85"/>
  <c r="R124" i="85"/>
  <c r="R106" i="85"/>
  <c r="R71" i="85"/>
  <c r="R70" i="85"/>
  <c r="R66" i="85"/>
  <c r="R62" i="85"/>
  <c r="R94" i="85"/>
  <c r="R93" i="85"/>
  <c r="R82" i="85"/>
  <c r="R81" i="85"/>
  <c r="R57" i="85"/>
  <c r="R53" i="85"/>
  <c r="R113" i="85"/>
  <c r="R112" i="85"/>
  <c r="R101" i="85"/>
  <c r="R100" i="85"/>
  <c r="R73" i="85"/>
  <c r="R72" i="85"/>
  <c r="R44" i="85"/>
  <c r="R40" i="85"/>
  <c r="R36" i="85"/>
  <c r="R107" i="85"/>
  <c r="R95" i="85"/>
  <c r="R84" i="85"/>
  <c r="R83" i="85"/>
  <c r="R67" i="85"/>
  <c r="R63" i="85"/>
  <c r="R115" i="85"/>
  <c r="R114" i="85"/>
  <c r="R102" i="85"/>
  <c r="R74" i="85"/>
  <c r="R58" i="85"/>
  <c r="R54" i="85"/>
  <c r="R104" i="85"/>
  <c r="R103" i="85"/>
  <c r="R88" i="85"/>
  <c r="R87" i="85"/>
  <c r="R76" i="85"/>
  <c r="R75" i="85"/>
  <c r="R60" i="85"/>
  <c r="R59" i="85"/>
  <c r="R55" i="85"/>
  <c r="R51" i="85"/>
  <c r="P47" i="85"/>
  <c r="R47" i="85" s="1"/>
  <c r="R110" i="85"/>
  <c r="R68" i="85"/>
  <c r="X12" i="85"/>
  <c r="Z12" i="85" s="1"/>
  <c r="R117" i="85"/>
  <c r="R33" i="85"/>
  <c r="R120" i="85"/>
  <c r="R108" i="85"/>
  <c r="R89" i="85"/>
  <c r="R85" i="85"/>
  <c r="R64" i="85"/>
  <c r="R49" i="85"/>
  <c r="R45" i="85"/>
  <c r="R77" i="85"/>
  <c r="R105" i="85"/>
  <c r="R69" i="85"/>
  <c r="R90" i="85"/>
  <c r="R86" i="85"/>
  <c r="R50" i="85"/>
  <c r="R41" i="85"/>
  <c r="R109" i="85"/>
  <c r="R65" i="85"/>
  <c r="R96" i="85"/>
  <c r="R78" i="85"/>
  <c r="R32" i="85"/>
  <c r="R97" i="85"/>
  <c r="R61" i="85"/>
  <c r="R116" i="85"/>
  <c r="R37" i="85"/>
  <c r="T22" i="82"/>
  <c r="Z16" i="82"/>
  <c r="F76" i="81"/>
  <c r="F75" i="81"/>
  <c r="F64" i="81"/>
  <c r="F63" i="81"/>
  <c r="F61" i="81"/>
  <c r="F66" i="81"/>
  <c r="F62" i="81"/>
  <c r="F44" i="81"/>
  <c r="F40" i="81"/>
  <c r="F36" i="81"/>
  <c r="F35" i="81"/>
  <c r="D22" i="81"/>
  <c r="F22" i="81" s="1"/>
  <c r="F82" i="81"/>
  <c r="F55" i="81"/>
  <c r="F54" i="81"/>
  <c r="F31" i="81"/>
  <c r="F27" i="81"/>
  <c r="F71" i="81"/>
  <c r="F67" i="81"/>
  <c r="F18" i="81"/>
  <c r="F17" i="81"/>
  <c r="F68" i="81"/>
  <c r="F57" i="81"/>
  <c r="F56" i="81"/>
  <c r="F45" i="81"/>
  <c r="F41" i="81"/>
  <c r="F37" i="81"/>
  <c r="F59" i="81"/>
  <c r="F58" i="81"/>
  <c r="F47" i="81"/>
  <c r="F46" i="81"/>
  <c r="F19" i="81"/>
  <c r="F72" i="81"/>
  <c r="F42" i="81"/>
  <c r="F38" i="81"/>
  <c r="L12" i="81"/>
  <c r="N12" i="81" s="1"/>
  <c r="F69" i="81"/>
  <c r="F49" i="81"/>
  <c r="F48" i="81"/>
  <c r="F33" i="81"/>
  <c r="F29" i="81"/>
  <c r="F78" i="81"/>
  <c r="F60" i="81"/>
  <c r="F20" i="81"/>
  <c r="F73" i="81"/>
  <c r="F65" i="81"/>
  <c r="F74" i="81"/>
  <c r="F70" i="81"/>
  <c r="F53" i="81"/>
  <c r="F52" i="81"/>
  <c r="F24" i="81"/>
  <c r="F39" i="81"/>
  <c r="F51" i="81"/>
  <c r="F43" i="81"/>
  <c r="F26" i="81"/>
  <c r="F28" i="81"/>
  <c r="F32" i="81"/>
  <c r="F30" i="81"/>
  <c r="F50" i="81"/>
  <c r="F34" i="81"/>
  <c r="F25" i="81"/>
  <c r="R22" i="84"/>
  <c r="D78" i="80"/>
  <c r="L22" i="80"/>
  <c r="N22" i="80" s="1"/>
  <c r="F50" i="74"/>
  <c r="F46" i="74"/>
  <c r="F42" i="74"/>
  <c r="F38" i="74"/>
  <c r="F81" i="74"/>
  <c r="F80" i="74"/>
  <c r="F73" i="74"/>
  <c r="F69" i="74"/>
  <c r="F65" i="74"/>
  <c r="F64" i="74"/>
  <c r="F60" i="74"/>
  <c r="F56" i="74"/>
  <c r="F55" i="74"/>
  <c r="F74" i="74"/>
  <c r="F70" i="74"/>
  <c r="F66" i="74"/>
  <c r="D52" i="74"/>
  <c r="L12" i="74"/>
  <c r="N12" i="74" s="1"/>
  <c r="F85" i="74"/>
  <c r="F84" i="74"/>
  <c r="F61" i="74"/>
  <c r="F57" i="74"/>
  <c r="F76" i="74"/>
  <c r="F75" i="74"/>
  <c r="F48" i="74"/>
  <c r="F44" i="74"/>
  <c r="F40" i="74"/>
  <c r="F36" i="74"/>
  <c r="F35" i="74"/>
  <c r="F71" i="74"/>
  <c r="F67" i="74"/>
  <c r="F87" i="74"/>
  <c r="F91" i="74"/>
  <c r="F49" i="74"/>
  <c r="F45" i="74"/>
  <c r="F41" i="74"/>
  <c r="F37" i="74"/>
  <c r="F79" i="74"/>
  <c r="F63" i="74"/>
  <c r="F59" i="74"/>
  <c r="F83" i="74"/>
  <c r="F77" i="74"/>
  <c r="F54" i="74"/>
  <c r="F82" i="74"/>
  <c r="F68" i="74"/>
  <c r="F43" i="74"/>
  <c r="F39" i="74"/>
  <c r="F47" i="74"/>
  <c r="F78" i="74"/>
  <c r="F72" i="74"/>
  <c r="F52" i="74"/>
  <c r="F58" i="74"/>
  <c r="F62" i="74"/>
  <c r="H114" i="75"/>
  <c r="D35" i="55"/>
  <c r="L31" i="55"/>
  <c r="N22" i="54"/>
  <c r="H26" i="54"/>
  <c r="H101" i="45"/>
  <c r="R137" i="30"/>
  <c r="R136" i="30"/>
  <c r="R128" i="30"/>
  <c r="R117" i="30"/>
  <c r="R116" i="30"/>
  <c r="R88" i="30"/>
  <c r="R72" i="30"/>
  <c r="R68" i="30"/>
  <c r="R124" i="30"/>
  <c r="R123" i="30"/>
  <c r="R111" i="30"/>
  <c r="R100" i="30"/>
  <c r="R99" i="30"/>
  <c r="R138" i="30"/>
  <c r="R118" i="30"/>
  <c r="R82" i="30"/>
  <c r="R78" i="30"/>
  <c r="R63" i="30"/>
  <c r="R61" i="30"/>
  <c r="R39" i="30"/>
  <c r="R141" i="30"/>
  <c r="R140" i="30"/>
  <c r="R130" i="30"/>
  <c r="R129" i="30"/>
  <c r="R125" i="30"/>
  <c r="R102" i="30"/>
  <c r="R101" i="30"/>
  <c r="R90" i="30"/>
  <c r="R89" i="30"/>
  <c r="R74" i="30"/>
  <c r="R73" i="30"/>
  <c r="R69" i="30"/>
  <c r="R65" i="30"/>
  <c r="P61" i="30"/>
  <c r="R142" i="30"/>
  <c r="R113" i="30"/>
  <c r="R112" i="30"/>
  <c r="R56" i="30"/>
  <c r="R52" i="30"/>
  <c r="R48" i="30"/>
  <c r="R44" i="30"/>
  <c r="R40" i="30"/>
  <c r="R143" i="30"/>
  <c r="R131" i="30"/>
  <c r="R119" i="30"/>
  <c r="R104" i="30"/>
  <c r="R103" i="30"/>
  <c r="R92" i="30"/>
  <c r="R91" i="30"/>
  <c r="R83" i="30"/>
  <c r="R79" i="30"/>
  <c r="R75" i="30"/>
  <c r="R126" i="30"/>
  <c r="R114" i="30"/>
  <c r="R70" i="30"/>
  <c r="R66" i="30"/>
  <c r="X12" i="30"/>
  <c r="Z12" i="30" s="1"/>
  <c r="R106" i="30"/>
  <c r="R105" i="30"/>
  <c r="R94" i="30"/>
  <c r="R93" i="30"/>
  <c r="R57" i="30"/>
  <c r="R53" i="30"/>
  <c r="R49" i="30"/>
  <c r="R45" i="30"/>
  <c r="R41" i="30"/>
  <c r="R133" i="30"/>
  <c r="R132" i="30"/>
  <c r="R121" i="30"/>
  <c r="R120" i="30"/>
  <c r="R85" i="30"/>
  <c r="R84" i="30"/>
  <c r="R80" i="30"/>
  <c r="R76" i="30"/>
  <c r="R147" i="30"/>
  <c r="R127" i="30"/>
  <c r="R115" i="30"/>
  <c r="R108" i="30"/>
  <c r="R107" i="30"/>
  <c r="R96" i="30"/>
  <c r="R95" i="30"/>
  <c r="R71" i="30"/>
  <c r="R67" i="30"/>
  <c r="R110" i="30"/>
  <c r="R109" i="30"/>
  <c r="R98" i="30"/>
  <c r="R97" i="30"/>
  <c r="R81" i="30"/>
  <c r="R77" i="30"/>
  <c r="R64" i="30"/>
  <c r="R135" i="30"/>
  <c r="R87" i="30"/>
  <c r="R59" i="30"/>
  <c r="R55" i="30"/>
  <c r="R51" i="30"/>
  <c r="R47" i="30"/>
  <c r="R43" i="30"/>
  <c r="R122" i="30"/>
  <c r="R134" i="30"/>
  <c r="R86" i="30"/>
  <c r="R54" i="30"/>
  <c r="R58" i="30"/>
  <c r="R50" i="30"/>
  <c r="R42" i="30"/>
  <c r="R46" i="30"/>
  <c r="H123" i="24"/>
  <c r="T123" i="24"/>
  <c r="V70" i="24"/>
  <c r="V61" i="30"/>
  <c r="R103" i="24"/>
  <c r="R102" i="24"/>
  <c r="R66" i="24"/>
  <c r="R62" i="24"/>
  <c r="R58" i="24"/>
  <c r="R54" i="24"/>
  <c r="R50" i="24"/>
  <c r="R114" i="24"/>
  <c r="R113" i="24"/>
  <c r="R94" i="24"/>
  <c r="R93" i="24"/>
  <c r="R89" i="24"/>
  <c r="R85" i="24"/>
  <c r="R46" i="24"/>
  <c r="R105" i="24"/>
  <c r="R104" i="24"/>
  <c r="R80" i="24"/>
  <c r="R76" i="24"/>
  <c r="R116" i="24"/>
  <c r="R115" i="24"/>
  <c r="R96" i="24"/>
  <c r="R95" i="24"/>
  <c r="R67" i="24"/>
  <c r="R63" i="24"/>
  <c r="R59" i="24"/>
  <c r="R55" i="24"/>
  <c r="R51" i="24"/>
  <c r="R47" i="24"/>
  <c r="R107" i="24"/>
  <c r="R106" i="24"/>
  <c r="R90" i="24"/>
  <c r="R86" i="24"/>
  <c r="R109" i="24"/>
  <c r="R108" i="24"/>
  <c r="R73" i="24"/>
  <c r="R68" i="24"/>
  <c r="R64" i="24"/>
  <c r="R60" i="24"/>
  <c r="R56" i="24"/>
  <c r="R52" i="24"/>
  <c r="R48" i="24"/>
  <c r="X12" i="24"/>
  <c r="Z12" i="24" s="1"/>
  <c r="R119" i="24"/>
  <c r="R99" i="24"/>
  <c r="R91" i="24"/>
  <c r="R87" i="24"/>
  <c r="R72" i="24"/>
  <c r="R70" i="24"/>
  <c r="R121" i="24"/>
  <c r="R110" i="24"/>
  <c r="R83" i="24"/>
  <c r="R82" i="24"/>
  <c r="R78" i="24"/>
  <c r="R74" i="24"/>
  <c r="P70" i="24"/>
  <c r="R125" i="24"/>
  <c r="R112" i="24"/>
  <c r="R111" i="24"/>
  <c r="R79" i="24"/>
  <c r="R75" i="24"/>
  <c r="R98" i="24"/>
  <c r="R118" i="24"/>
  <c r="R65" i="24"/>
  <c r="R61" i="24"/>
  <c r="R57" i="24"/>
  <c r="R53" i="24"/>
  <c r="R49" i="24"/>
  <c r="R100" i="24"/>
  <c r="R84" i="24"/>
  <c r="R88" i="24"/>
  <c r="R92" i="24"/>
  <c r="R77" i="24"/>
  <c r="R97" i="24"/>
  <c r="R117" i="24"/>
  <c r="R101" i="24"/>
  <c r="R81" i="24"/>
  <c r="D101" i="33"/>
  <c r="L37" i="33"/>
  <c r="R105" i="27"/>
  <c r="R104" i="27"/>
  <c r="R89" i="27"/>
  <c r="R88" i="27"/>
  <c r="R64" i="27"/>
  <c r="R60" i="27"/>
  <c r="R99" i="27"/>
  <c r="R80" i="27"/>
  <c r="R79" i="27"/>
  <c r="R56" i="27"/>
  <c r="R51" i="27"/>
  <c r="R47" i="27"/>
  <c r="R43" i="27"/>
  <c r="R39" i="27"/>
  <c r="R107" i="27"/>
  <c r="R106" i="27"/>
  <c r="R91" i="27"/>
  <c r="R90" i="27"/>
  <c r="R74" i="27"/>
  <c r="R70" i="27"/>
  <c r="R55" i="27"/>
  <c r="R81" i="27"/>
  <c r="R65" i="27"/>
  <c r="R61" i="27"/>
  <c r="R57" i="27"/>
  <c r="P53" i="27"/>
  <c r="R53" i="27" s="1"/>
  <c r="R108" i="27"/>
  <c r="R100" i="27"/>
  <c r="R93" i="27"/>
  <c r="R92" i="27"/>
  <c r="R48" i="27"/>
  <c r="R44" i="27"/>
  <c r="R40" i="27"/>
  <c r="R111" i="27"/>
  <c r="R110" i="27"/>
  <c r="R75" i="27"/>
  <c r="R71" i="27"/>
  <c r="R112" i="27"/>
  <c r="R94" i="27"/>
  <c r="R83" i="27"/>
  <c r="R82" i="27"/>
  <c r="R67" i="27"/>
  <c r="R66" i="27"/>
  <c r="R62" i="27"/>
  <c r="R58" i="27"/>
  <c r="R113" i="27"/>
  <c r="R102" i="27"/>
  <c r="R101" i="27"/>
  <c r="R49" i="27"/>
  <c r="R45" i="27"/>
  <c r="R41" i="27"/>
  <c r="R85" i="27"/>
  <c r="R84" i="27"/>
  <c r="R76" i="27"/>
  <c r="R72" i="27"/>
  <c r="R68" i="27"/>
  <c r="R37" i="27"/>
  <c r="R117" i="27"/>
  <c r="R98" i="27"/>
  <c r="R97" i="27"/>
  <c r="R78" i="27"/>
  <c r="R77" i="27"/>
  <c r="R73" i="27"/>
  <c r="R69" i="27"/>
  <c r="X12" i="27"/>
  <c r="Z12" i="27" s="1"/>
  <c r="R87" i="27"/>
  <c r="R95" i="27"/>
  <c r="R59" i="27"/>
  <c r="R50" i="27"/>
  <c r="R46" i="27"/>
  <c r="R42" i="27"/>
  <c r="R38" i="27"/>
  <c r="R86" i="27"/>
  <c r="R103" i="27"/>
  <c r="R63" i="27"/>
  <c r="R96" i="27"/>
  <c r="N16" i="6"/>
  <c r="H22" i="6"/>
  <c r="T301" i="3"/>
  <c r="Z180" i="3"/>
  <c r="L18" i="113"/>
  <c r="D27" i="113"/>
  <c r="H27" i="112"/>
  <c r="N18" i="112"/>
  <c r="X18" i="53"/>
  <c r="P27" i="53"/>
  <c r="T27" i="40"/>
  <c r="Z18" i="40"/>
  <c r="H27" i="40"/>
  <c r="N18" i="40"/>
  <c r="H27" i="29"/>
  <c r="N18" i="29"/>
  <c r="T27" i="29"/>
  <c r="Z18" i="29"/>
  <c r="L18" i="26"/>
  <c r="D27" i="26"/>
  <c r="H27" i="16"/>
  <c r="N18" i="16"/>
  <c r="T27" i="14"/>
  <c r="Z18" i="14"/>
  <c r="Z18" i="17"/>
  <c r="T27" i="17"/>
  <c r="D27" i="5"/>
  <c r="L18" i="5"/>
  <c r="R93" i="36"/>
  <c r="R86" i="36"/>
  <c r="R85" i="36"/>
  <c r="R53" i="36"/>
  <c r="R49" i="36"/>
  <c r="R26" i="36"/>
  <c r="R131" i="36"/>
  <c r="R130" i="36"/>
  <c r="R115" i="36"/>
  <c r="R111" i="36"/>
  <c r="R88" i="36"/>
  <c r="R87" i="36"/>
  <c r="R68" i="36"/>
  <c r="R67" i="36"/>
  <c r="R27" i="36"/>
  <c r="R132" i="36"/>
  <c r="R123" i="36"/>
  <c r="R122" i="36"/>
  <c r="R107" i="36"/>
  <c r="R106" i="36"/>
  <c r="R95" i="36"/>
  <c r="R94" i="36"/>
  <c r="R78" i="36"/>
  <c r="R63" i="36"/>
  <c r="R62" i="36"/>
  <c r="R54" i="36"/>
  <c r="R50" i="36"/>
  <c r="R46" i="36"/>
  <c r="R133" i="36"/>
  <c r="R101" i="36"/>
  <c r="R90" i="36"/>
  <c r="R89" i="36"/>
  <c r="R69" i="36"/>
  <c r="R41" i="36"/>
  <c r="R37" i="36"/>
  <c r="R134" i="36"/>
  <c r="R124" i="36"/>
  <c r="R116" i="36"/>
  <c r="R112" i="36"/>
  <c r="R108" i="36"/>
  <c r="R96" i="36"/>
  <c r="R64" i="36"/>
  <c r="R28" i="36"/>
  <c r="R91" i="36"/>
  <c r="R80" i="36"/>
  <c r="R79" i="36"/>
  <c r="R56" i="36"/>
  <c r="R55" i="36"/>
  <c r="R51" i="36"/>
  <c r="R47" i="36"/>
  <c r="R102" i="36"/>
  <c r="R71" i="36"/>
  <c r="R70" i="36"/>
  <c r="R42" i="36"/>
  <c r="R38" i="36"/>
  <c r="R119" i="36"/>
  <c r="R103" i="36"/>
  <c r="R84" i="36"/>
  <c r="R83" i="36"/>
  <c r="R59" i="36"/>
  <c r="R43" i="36"/>
  <c r="R39" i="36"/>
  <c r="R35" i="36"/>
  <c r="P31" i="36"/>
  <c r="R120" i="36"/>
  <c r="R110" i="36"/>
  <c r="R61" i="36"/>
  <c r="R57" i="36"/>
  <c r="R40" i="36"/>
  <c r="R104" i="36"/>
  <c r="R98" i="36"/>
  <c r="R82" i="36"/>
  <c r="R76" i="36"/>
  <c r="R114" i="36"/>
  <c r="R44" i="36"/>
  <c r="R127" i="36"/>
  <c r="R125" i="36"/>
  <c r="R74" i="36"/>
  <c r="R58" i="36"/>
  <c r="R33" i="36"/>
  <c r="R29" i="36"/>
  <c r="X12" i="36"/>
  <c r="Z12" i="36" s="1"/>
  <c r="R109" i="36"/>
  <c r="R99" i="36"/>
  <c r="R72" i="36"/>
  <c r="R48" i="36"/>
  <c r="R138" i="36"/>
  <c r="R121" i="36"/>
  <c r="R97" i="36"/>
  <c r="R66" i="36"/>
  <c r="R60" i="36"/>
  <c r="R117" i="36"/>
  <c r="R113" i="36"/>
  <c r="R105" i="36"/>
  <c r="R77" i="36"/>
  <c r="R52" i="36"/>
  <c r="R75" i="36"/>
  <c r="R73" i="36"/>
  <c r="R45" i="36"/>
  <c r="R128" i="36"/>
  <c r="R81" i="36"/>
  <c r="R34" i="36"/>
  <c r="R126" i="36"/>
  <c r="R118" i="36"/>
  <c r="R100" i="36"/>
  <c r="R92" i="36"/>
  <c r="R65" i="36"/>
  <c r="R31" i="36"/>
  <c r="R36" i="36"/>
  <c r="H114" i="21"/>
  <c r="Z18" i="44"/>
  <c r="T27" i="44"/>
  <c r="L16" i="109"/>
  <c r="D46" i="109"/>
  <c r="T68" i="105"/>
  <c r="V65" i="105"/>
  <c r="H72" i="101"/>
  <c r="N22" i="96"/>
  <c r="H94" i="96"/>
  <c r="T87" i="98"/>
  <c r="T80" i="93"/>
  <c r="Z23" i="89"/>
  <c r="T83" i="89"/>
  <c r="H28" i="86"/>
  <c r="T126" i="85"/>
  <c r="F114" i="85"/>
  <c r="F113" i="85"/>
  <c r="F102" i="85"/>
  <c r="F101" i="85"/>
  <c r="F74" i="85"/>
  <c r="F73" i="85"/>
  <c r="F58" i="85"/>
  <c r="F54" i="85"/>
  <c r="F116" i="85"/>
  <c r="F115" i="85"/>
  <c r="F108" i="85"/>
  <c r="F96" i="85"/>
  <c r="F68" i="85"/>
  <c r="F64" i="85"/>
  <c r="L12" i="85"/>
  <c r="N12" i="85" s="1"/>
  <c r="F103" i="85"/>
  <c r="F87" i="85"/>
  <c r="F86" i="85"/>
  <c r="F75" i="85"/>
  <c r="F59" i="85"/>
  <c r="F55" i="85"/>
  <c r="F51" i="85"/>
  <c r="F50" i="85"/>
  <c r="F118" i="85"/>
  <c r="F117" i="85"/>
  <c r="F98" i="85"/>
  <c r="F97" i="85"/>
  <c r="F49" i="85"/>
  <c r="F47" i="85"/>
  <c r="F42" i="85"/>
  <c r="F38" i="85"/>
  <c r="F34" i="85"/>
  <c r="F109" i="85"/>
  <c r="F105" i="85"/>
  <c r="F104" i="85"/>
  <c r="F89" i="85"/>
  <c r="F88" i="85"/>
  <c r="F77" i="85"/>
  <c r="F76" i="85"/>
  <c r="F69" i="85"/>
  <c r="F65" i="85"/>
  <c r="F61" i="85"/>
  <c r="F60" i="85"/>
  <c r="D47" i="85"/>
  <c r="F56" i="85"/>
  <c r="F52" i="85"/>
  <c r="F120" i="85"/>
  <c r="F111" i="85"/>
  <c r="F110" i="85"/>
  <c r="F99" i="85"/>
  <c r="F91" i="85"/>
  <c r="F90" i="85"/>
  <c r="F79" i="85"/>
  <c r="F78" i="85"/>
  <c r="F124" i="85"/>
  <c r="F106" i="85"/>
  <c r="F70" i="85"/>
  <c r="F66" i="85"/>
  <c r="F62" i="85"/>
  <c r="F107" i="85"/>
  <c r="F95" i="85"/>
  <c r="F94" i="85"/>
  <c r="F83" i="85"/>
  <c r="F82" i="85"/>
  <c r="F67" i="85"/>
  <c r="F63" i="85"/>
  <c r="F100" i="85"/>
  <c r="F84" i="85"/>
  <c r="F39" i="85"/>
  <c r="F44" i="85"/>
  <c r="F37" i="85"/>
  <c r="F32" i="85"/>
  <c r="F93" i="85"/>
  <c r="F112" i="85"/>
  <c r="F35" i="85"/>
  <c r="F33" i="85"/>
  <c r="F85" i="85"/>
  <c r="F81" i="85"/>
  <c r="F71" i="85"/>
  <c r="F53" i="85"/>
  <c r="F45" i="85"/>
  <c r="F40" i="85"/>
  <c r="F92" i="85"/>
  <c r="F43" i="85"/>
  <c r="F41" i="85"/>
  <c r="F36" i="85"/>
  <c r="F80" i="85"/>
  <c r="F72" i="85"/>
  <c r="F57" i="85"/>
  <c r="R22" i="81"/>
  <c r="T85" i="76"/>
  <c r="V29" i="76"/>
  <c r="R68" i="80"/>
  <c r="R60" i="80"/>
  <c r="R49" i="80"/>
  <c r="R48" i="80"/>
  <c r="R32" i="80"/>
  <c r="R28" i="80"/>
  <c r="R80" i="80"/>
  <c r="R51" i="80"/>
  <c r="R50" i="80"/>
  <c r="R69" i="80"/>
  <c r="R62" i="80"/>
  <c r="R61" i="80"/>
  <c r="R34" i="80"/>
  <c r="R33" i="80"/>
  <c r="R64" i="80"/>
  <c r="R63" i="80"/>
  <c r="R43" i="80"/>
  <c r="R39" i="80"/>
  <c r="R35" i="80"/>
  <c r="R71" i="80"/>
  <c r="R70" i="80"/>
  <c r="R65" i="80"/>
  <c r="R73" i="80"/>
  <c r="R72" i="80"/>
  <c r="R57" i="80"/>
  <c r="R56" i="80"/>
  <c r="R45" i="80"/>
  <c r="R44" i="80"/>
  <c r="R40" i="80"/>
  <c r="R36" i="80"/>
  <c r="R76" i="80"/>
  <c r="R41" i="80"/>
  <c r="R37" i="80"/>
  <c r="R47" i="80"/>
  <c r="R18" i="80"/>
  <c r="R55" i="80"/>
  <c r="R74" i="80"/>
  <c r="R30" i="80"/>
  <c r="R27" i="80"/>
  <c r="R52" i="80"/>
  <c r="R42" i="80"/>
  <c r="R19" i="80"/>
  <c r="R66" i="80"/>
  <c r="X12" i="80"/>
  <c r="Z12" i="80" s="1"/>
  <c r="R38" i="80"/>
  <c r="R67" i="80"/>
  <c r="R58" i="80"/>
  <c r="R53" i="80"/>
  <c r="R25" i="80"/>
  <c r="R20" i="80"/>
  <c r="R31" i="80"/>
  <c r="R24" i="80"/>
  <c r="R59" i="80"/>
  <c r="P22" i="80"/>
  <c r="R26" i="80"/>
  <c r="R17" i="80"/>
  <c r="R29" i="80"/>
  <c r="R54" i="80"/>
  <c r="R46" i="80"/>
  <c r="T103" i="51"/>
  <c r="H69" i="48"/>
  <c r="P77" i="56"/>
  <c r="X73" i="56"/>
  <c r="T274" i="18"/>
  <c r="V167" i="18"/>
  <c r="P98" i="9"/>
  <c r="X16" i="9"/>
  <c r="X16" i="6"/>
  <c r="P22" i="6"/>
  <c r="T102" i="9"/>
  <c r="L18" i="50"/>
  <c r="D27" i="50"/>
  <c r="P27" i="35"/>
  <c r="X18" i="35"/>
  <c r="L18" i="29"/>
  <c r="D27" i="29"/>
  <c r="L18" i="31"/>
  <c r="D27" i="31"/>
  <c r="T27" i="38"/>
  <c r="Z18" i="38"/>
  <c r="L18" i="20"/>
  <c r="D27" i="20"/>
  <c r="X18" i="10"/>
  <c r="P27" i="10"/>
  <c r="P27" i="7"/>
  <c r="X18" i="7"/>
  <c r="F48" i="110"/>
  <c r="F47" i="110"/>
  <c r="F71" i="110"/>
  <c r="F52" i="110"/>
  <c r="F51" i="110"/>
  <c r="F62" i="110"/>
  <c r="F54" i="110"/>
  <c r="F53" i="110"/>
  <c r="F42" i="110"/>
  <c r="F41" i="110"/>
  <c r="F67" i="110"/>
  <c r="F58" i="110"/>
  <c r="F57" i="110"/>
  <c r="F46" i="110"/>
  <c r="F45" i="110"/>
  <c r="F38" i="110"/>
  <c r="F34" i="110"/>
  <c r="F40" i="110"/>
  <c r="F35" i="110"/>
  <c r="F20" i="110"/>
  <c r="F63" i="110"/>
  <c r="F44" i="110"/>
  <c r="F21" i="110"/>
  <c r="F33" i="110"/>
  <c r="F64" i="110"/>
  <c r="F60" i="110"/>
  <c r="F27" i="110"/>
  <c r="F15" i="110"/>
  <c r="F36" i="110"/>
  <c r="F31" i="110"/>
  <c r="F61" i="110"/>
  <c r="F55" i="110"/>
  <c r="F49" i="110"/>
  <c r="F25" i="110"/>
  <c r="F22" i="110"/>
  <c r="F39" i="110"/>
  <c r="F17" i="110"/>
  <c r="F66" i="110"/>
  <c r="F28" i="110"/>
  <c r="D17" i="110"/>
  <c r="F59" i="110"/>
  <c r="F29" i="110"/>
  <c r="F26" i="110"/>
  <c r="F23" i="110"/>
  <c r="F32" i="110"/>
  <c r="F50" i="110"/>
  <c r="L12" i="110"/>
  <c r="N12" i="110" s="1"/>
  <c r="F30" i="110"/>
  <c r="F24" i="110"/>
  <c r="F37" i="110"/>
  <c r="F43" i="110"/>
  <c r="F56" i="110"/>
  <c r="F19" i="110"/>
  <c r="T22" i="107"/>
  <c r="Z16" i="107"/>
  <c r="J83" i="102"/>
  <c r="D65" i="105"/>
  <c r="H63" i="103"/>
  <c r="N16" i="103"/>
  <c r="H22" i="99"/>
  <c r="N16" i="99"/>
  <c r="T85" i="95"/>
  <c r="Z23" i="95"/>
  <c r="T94" i="96"/>
  <c r="F63" i="94"/>
  <c r="F35" i="94"/>
  <c r="F31" i="94"/>
  <c r="F27" i="94"/>
  <c r="F26" i="94"/>
  <c r="F54" i="94"/>
  <c r="F53" i="94"/>
  <c r="F25" i="94"/>
  <c r="F69" i="94"/>
  <c r="F45" i="94"/>
  <c r="F41" i="94"/>
  <c r="F37" i="94"/>
  <c r="F36" i="94"/>
  <c r="D23" i="94"/>
  <c r="F23" i="94" s="1"/>
  <c r="F64" i="94"/>
  <c r="F56" i="94"/>
  <c r="F55" i="94"/>
  <c r="F32" i="94"/>
  <c r="F28" i="94"/>
  <c r="L12" i="94"/>
  <c r="N12" i="94" s="1"/>
  <c r="F71" i="94"/>
  <c r="F70" i="94"/>
  <c r="F19" i="94"/>
  <c r="F18" i="94"/>
  <c r="F58" i="94"/>
  <c r="F57" i="94"/>
  <c r="F46" i="94"/>
  <c r="F42" i="94"/>
  <c r="F38" i="94"/>
  <c r="F74" i="94"/>
  <c r="F65" i="94"/>
  <c r="F33" i="94"/>
  <c r="F29" i="94"/>
  <c r="F73" i="94"/>
  <c r="F60" i="94"/>
  <c r="F59" i="94"/>
  <c r="F48" i="94"/>
  <c r="F47" i="94"/>
  <c r="F20" i="94"/>
  <c r="F68" i="94"/>
  <c r="F67" i="94"/>
  <c r="F52" i="94"/>
  <c r="F51" i="94"/>
  <c r="F44" i="94"/>
  <c r="F40" i="94"/>
  <c r="F61" i="94"/>
  <c r="F50" i="94"/>
  <c r="F34" i="94"/>
  <c r="F30" i="94"/>
  <c r="F49" i="94"/>
  <c r="F39" i="94"/>
  <c r="F78" i="94"/>
  <c r="F66" i="94"/>
  <c r="F62" i="94"/>
  <c r="F43" i="94"/>
  <c r="F21" i="94"/>
  <c r="T95" i="92"/>
  <c r="F70" i="84"/>
  <c r="F62" i="84"/>
  <c r="F61" i="84"/>
  <c r="F34" i="84"/>
  <c r="F30" i="84"/>
  <c r="F26" i="84"/>
  <c r="F25" i="84"/>
  <c r="F94" i="84"/>
  <c r="F64" i="84"/>
  <c r="F63" i="84"/>
  <c r="F44" i="84"/>
  <c r="F40" i="84"/>
  <c r="F36" i="84"/>
  <c r="F35" i="84"/>
  <c r="F71" i="84"/>
  <c r="F82" i="84"/>
  <c r="F78" i="84"/>
  <c r="F66" i="84"/>
  <c r="F65" i="84"/>
  <c r="F54" i="84"/>
  <c r="F18" i="84"/>
  <c r="F17" i="84"/>
  <c r="F84" i="84"/>
  <c r="F83" i="84"/>
  <c r="F72" i="84"/>
  <c r="F56" i="84"/>
  <c r="F55" i="84"/>
  <c r="F32" i="84"/>
  <c r="F28" i="84"/>
  <c r="F86" i="84"/>
  <c r="F85" i="84"/>
  <c r="F74" i="84"/>
  <c r="F73" i="84"/>
  <c r="F51" i="84"/>
  <c r="F50" i="84"/>
  <c r="F43" i="84"/>
  <c r="F39" i="84"/>
  <c r="F75" i="84"/>
  <c r="F42" i="84"/>
  <c r="F88" i="84"/>
  <c r="F57" i="84"/>
  <c r="F48" i="84"/>
  <c r="F45" i="84"/>
  <c r="F20" i="84"/>
  <c r="F60" i="84"/>
  <c r="F52" i="84"/>
  <c r="F33" i="84"/>
  <c r="L12" i="84"/>
  <c r="N12" i="84" s="1"/>
  <c r="F80" i="84"/>
  <c r="F76" i="84"/>
  <c r="F68" i="84"/>
  <c r="F49" i="84"/>
  <c r="F38" i="84"/>
  <c r="F31" i="84"/>
  <c r="F22" i="84"/>
  <c r="F53" i="84"/>
  <c r="F46" i="84"/>
  <c r="F29" i="84"/>
  <c r="F27" i="84"/>
  <c r="D22" i="84"/>
  <c r="F90" i="84"/>
  <c r="F41" i="84"/>
  <c r="F58" i="84"/>
  <c r="F47" i="84"/>
  <c r="F24" i="84"/>
  <c r="F87" i="84"/>
  <c r="F79" i="84"/>
  <c r="F67" i="84"/>
  <c r="F59" i="84"/>
  <c r="F37" i="84"/>
  <c r="F19" i="84"/>
  <c r="F77" i="84"/>
  <c r="F81" i="84"/>
  <c r="F69" i="84"/>
  <c r="X16" i="72"/>
  <c r="P22" i="72"/>
  <c r="V22" i="70"/>
  <c r="T93" i="74"/>
  <c r="D26" i="72"/>
  <c r="L22" i="72"/>
  <c r="F112" i="71"/>
  <c r="F110" i="71"/>
  <c r="F101" i="71"/>
  <c r="F49" i="71"/>
  <c r="F45" i="71"/>
  <c r="F41" i="71"/>
  <c r="F113" i="71"/>
  <c r="F84" i="71"/>
  <c r="F83" i="71"/>
  <c r="F76" i="71"/>
  <c r="F72" i="71"/>
  <c r="F68" i="71"/>
  <c r="F67" i="71"/>
  <c r="F103" i="71"/>
  <c r="F102" i="71"/>
  <c r="F95" i="71"/>
  <c r="F63" i="71"/>
  <c r="F59" i="71"/>
  <c r="F86" i="71"/>
  <c r="F85" i="71"/>
  <c r="F50" i="71"/>
  <c r="F46" i="71"/>
  <c r="F42" i="71"/>
  <c r="F38" i="71"/>
  <c r="F37" i="71"/>
  <c r="L12" i="71"/>
  <c r="N12" i="71" s="1"/>
  <c r="F117" i="71"/>
  <c r="F97" i="71"/>
  <c r="F96" i="71"/>
  <c r="F77" i="71"/>
  <c r="F73" i="71"/>
  <c r="F69" i="71"/>
  <c r="F104" i="71"/>
  <c r="F88" i="71"/>
  <c r="F87" i="71"/>
  <c r="F64" i="71"/>
  <c r="F60" i="71"/>
  <c r="F99" i="71"/>
  <c r="F98" i="71"/>
  <c r="F79" i="71"/>
  <c r="F78" i="71"/>
  <c r="F51" i="71"/>
  <c r="F47" i="71"/>
  <c r="F43" i="71"/>
  <c r="F39" i="71"/>
  <c r="F81" i="71"/>
  <c r="F80" i="71"/>
  <c r="F65" i="71"/>
  <c r="F61" i="71"/>
  <c r="F57" i="71"/>
  <c r="F56" i="71"/>
  <c r="F111" i="71"/>
  <c r="F94" i="71"/>
  <c r="F93" i="71"/>
  <c r="F82" i="71"/>
  <c r="F66" i="71"/>
  <c r="F62" i="71"/>
  <c r="F58" i="71"/>
  <c r="F70" i="71"/>
  <c r="F55" i="71"/>
  <c r="F40" i="71"/>
  <c r="F108" i="71"/>
  <c r="F106" i="71"/>
  <c r="F92" i="71"/>
  <c r="F74" i="71"/>
  <c r="F44" i="71"/>
  <c r="F90" i="71"/>
  <c r="F48" i="71"/>
  <c r="F100" i="71"/>
  <c r="D53" i="71"/>
  <c r="F71" i="71"/>
  <c r="F107" i="71"/>
  <c r="F91" i="71"/>
  <c r="F75" i="71"/>
  <c r="F105" i="71"/>
  <c r="F89" i="71"/>
  <c r="F90" i="69"/>
  <c r="F89" i="69"/>
  <c r="F66" i="69"/>
  <c r="F62" i="69"/>
  <c r="F101" i="69"/>
  <c r="F100" i="69"/>
  <c r="F81" i="69"/>
  <c r="F80" i="69"/>
  <c r="F53" i="69"/>
  <c r="F49" i="69"/>
  <c r="F45" i="69"/>
  <c r="F41" i="69"/>
  <c r="F92" i="69"/>
  <c r="F91" i="69"/>
  <c r="F76" i="69"/>
  <c r="F72" i="69"/>
  <c r="F103" i="69"/>
  <c r="F102" i="69"/>
  <c r="F83" i="69"/>
  <c r="F82" i="69"/>
  <c r="F67" i="69"/>
  <c r="F63" i="69"/>
  <c r="F94" i="69"/>
  <c r="F93" i="69"/>
  <c r="F54" i="69"/>
  <c r="F50" i="69"/>
  <c r="F46" i="69"/>
  <c r="F42" i="69"/>
  <c r="F38" i="69"/>
  <c r="F37" i="69"/>
  <c r="L12" i="69"/>
  <c r="N12" i="69" s="1"/>
  <c r="F85" i="69"/>
  <c r="F84" i="69"/>
  <c r="F77" i="69"/>
  <c r="F73" i="69"/>
  <c r="F105" i="69"/>
  <c r="F96" i="69"/>
  <c r="F95" i="69"/>
  <c r="F68" i="69"/>
  <c r="F64" i="69"/>
  <c r="F60" i="69"/>
  <c r="F59" i="69"/>
  <c r="F86" i="69"/>
  <c r="F78" i="69"/>
  <c r="F74" i="69"/>
  <c r="F70" i="69"/>
  <c r="F69" i="69"/>
  <c r="D56" i="69"/>
  <c r="F56" i="69" s="1"/>
  <c r="F99" i="69"/>
  <c r="F98" i="69"/>
  <c r="F79" i="69"/>
  <c r="F75" i="69"/>
  <c r="F71" i="69"/>
  <c r="F87" i="69"/>
  <c r="F58" i="69"/>
  <c r="F65" i="69"/>
  <c r="F51" i="69"/>
  <c r="F47" i="69"/>
  <c r="F43" i="69"/>
  <c r="F39" i="69"/>
  <c r="F88" i="69"/>
  <c r="F109" i="69"/>
  <c r="F61" i="69"/>
  <c r="F97" i="69"/>
  <c r="F40" i="69"/>
  <c r="F44" i="69"/>
  <c r="F48" i="69"/>
  <c r="F52" i="69"/>
  <c r="H80" i="58"/>
  <c r="X16" i="54"/>
  <c r="P26" i="54"/>
  <c r="X22" i="54"/>
  <c r="H145" i="30"/>
  <c r="T110" i="21"/>
  <c r="F236" i="15"/>
  <c r="F224" i="15"/>
  <c r="F208" i="15"/>
  <c r="F207" i="15"/>
  <c r="F200" i="15"/>
  <c r="F199" i="15"/>
  <c r="F140" i="15"/>
  <c r="F136" i="15"/>
  <c r="F132" i="15"/>
  <c r="F128" i="15"/>
  <c r="F124" i="15"/>
  <c r="F120" i="15"/>
  <c r="F116" i="15"/>
  <c r="F112" i="15"/>
  <c r="F108" i="15"/>
  <c r="F104" i="15"/>
  <c r="F100" i="15"/>
  <c r="F96" i="15"/>
  <c r="L12" i="15"/>
  <c r="N12" i="15" s="1"/>
  <c r="F251" i="15"/>
  <c r="F219" i="15"/>
  <c r="F191" i="15"/>
  <c r="F190" i="15"/>
  <c r="F175" i="15"/>
  <c r="F174" i="15"/>
  <c r="F167" i="15"/>
  <c r="F163" i="15"/>
  <c r="F159" i="15"/>
  <c r="F158" i="15"/>
  <c r="F238" i="15"/>
  <c r="F237" i="15"/>
  <c r="F230" i="15"/>
  <c r="F214" i="15"/>
  <c r="F202" i="15"/>
  <c r="F201" i="15"/>
  <c r="F182" i="15"/>
  <c r="F154" i="15"/>
  <c r="F150" i="15"/>
  <c r="F225" i="15"/>
  <c r="F221" i="15"/>
  <c r="F220" i="15"/>
  <c r="F209" i="15"/>
  <c r="F177" i="15"/>
  <c r="F176" i="15"/>
  <c r="F141" i="15"/>
  <c r="F137" i="15"/>
  <c r="F133" i="15"/>
  <c r="F129" i="15"/>
  <c r="F125" i="15"/>
  <c r="F121" i="15"/>
  <c r="F117" i="15"/>
  <c r="F113" i="15"/>
  <c r="F109" i="15"/>
  <c r="F105" i="15"/>
  <c r="F101" i="15"/>
  <c r="F97" i="15"/>
  <c r="F241" i="15"/>
  <c r="F232" i="15"/>
  <c r="F231" i="15"/>
  <c r="F204" i="15"/>
  <c r="F203" i="15"/>
  <c r="F192" i="15"/>
  <c r="F184" i="15"/>
  <c r="F183" i="15"/>
  <c r="F168" i="15"/>
  <c r="F164" i="15"/>
  <c r="F160" i="15"/>
  <c r="F242" i="15"/>
  <c r="F240" i="15"/>
  <c r="F215" i="15"/>
  <c r="F155" i="15"/>
  <c r="F151" i="15"/>
  <c r="F243" i="15"/>
  <c r="F234" i="15"/>
  <c r="F233" i="15"/>
  <c r="F226" i="15"/>
  <c r="F222" i="15"/>
  <c r="F210" i="15"/>
  <c r="F194" i="15"/>
  <c r="F193" i="15"/>
  <c r="F178" i="15"/>
  <c r="F170" i="15"/>
  <c r="F169" i="15"/>
  <c r="F142" i="15"/>
  <c r="F138" i="15"/>
  <c r="F134" i="15"/>
  <c r="F130" i="15"/>
  <c r="F126" i="15"/>
  <c r="F122" i="15"/>
  <c r="F118" i="15"/>
  <c r="F114" i="15"/>
  <c r="F110" i="15"/>
  <c r="F106" i="15"/>
  <c r="F102" i="15"/>
  <c r="F98" i="15"/>
  <c r="F244" i="15"/>
  <c r="F205" i="15"/>
  <c r="F185" i="15"/>
  <c r="F165" i="15"/>
  <c r="F161" i="15"/>
  <c r="F245" i="15"/>
  <c r="F216" i="15"/>
  <c r="F196" i="15"/>
  <c r="F195" i="15"/>
  <c r="F172" i="15"/>
  <c r="F171" i="15"/>
  <c r="F156" i="15"/>
  <c r="F152" i="15"/>
  <c r="F148" i="15"/>
  <c r="F147" i="15"/>
  <c r="F229" i="15"/>
  <c r="F228" i="15"/>
  <c r="F213" i="15"/>
  <c r="F212" i="15"/>
  <c r="F189" i="15"/>
  <c r="F188" i="15"/>
  <c r="F181" i="15"/>
  <c r="F180" i="15"/>
  <c r="F173" i="15"/>
  <c r="F157" i="15"/>
  <c r="F153" i="15"/>
  <c r="F149" i="15"/>
  <c r="F206" i="15"/>
  <c r="F135" i="15"/>
  <c r="F95" i="15"/>
  <c r="F227" i="15"/>
  <c r="F217" i="15"/>
  <c r="F107" i="15"/>
  <c r="F103" i="15"/>
  <c r="F99" i="15"/>
  <c r="F146" i="15"/>
  <c r="F139" i="15"/>
  <c r="F111" i="15"/>
  <c r="F162" i="15"/>
  <c r="F115" i="15"/>
  <c r="F247" i="15"/>
  <c r="F235" i="15"/>
  <c r="F197" i="15"/>
  <c r="F144" i="15"/>
  <c r="F119" i="15"/>
  <c r="F186" i="15"/>
  <c r="D144" i="15"/>
  <c r="F223" i="15"/>
  <c r="F123" i="15"/>
  <c r="F218" i="15"/>
  <c r="F166" i="15"/>
  <c r="F94" i="15"/>
  <c r="F179" i="15"/>
  <c r="F127" i="15"/>
  <c r="F211" i="15"/>
  <c r="F187" i="15"/>
  <c r="F198" i="15"/>
  <c r="F246" i="15"/>
  <c r="F131" i="15"/>
  <c r="T27" i="112"/>
  <c r="Z18" i="112"/>
  <c r="L18" i="43"/>
  <c r="D27" i="43"/>
  <c r="X18" i="44"/>
  <c r="P27" i="44"/>
  <c r="H27" i="41"/>
  <c r="N18" i="41"/>
  <c r="L18" i="37"/>
  <c r="D27" i="37"/>
  <c r="P27" i="14"/>
  <c r="X18" i="14"/>
  <c r="H94" i="88"/>
  <c r="J22" i="88"/>
  <c r="R82" i="73"/>
  <c r="R64" i="73"/>
  <c r="R53" i="73"/>
  <c r="R52" i="73"/>
  <c r="R36" i="73"/>
  <c r="R32" i="73"/>
  <c r="R71" i="73"/>
  <c r="R28" i="73"/>
  <c r="R55" i="73"/>
  <c r="R54" i="73"/>
  <c r="R46" i="73"/>
  <c r="R42" i="73"/>
  <c r="R27" i="73"/>
  <c r="R73" i="73"/>
  <c r="R72" i="73"/>
  <c r="R57" i="73"/>
  <c r="R56" i="73"/>
  <c r="R68" i="73"/>
  <c r="R67" i="73"/>
  <c r="R47" i="73"/>
  <c r="R43" i="73"/>
  <c r="R39" i="73"/>
  <c r="R20" i="73"/>
  <c r="R75" i="73"/>
  <c r="R74" i="73"/>
  <c r="R59" i="73"/>
  <c r="R58" i="73"/>
  <c r="R34" i="73"/>
  <c r="R30" i="73"/>
  <c r="R78" i="73"/>
  <c r="R35" i="73"/>
  <c r="R31" i="73"/>
  <c r="R45" i="73"/>
  <c r="R41" i="73"/>
  <c r="R69" i="73"/>
  <c r="R62" i="73"/>
  <c r="R50" i="73"/>
  <c r="P25" i="73"/>
  <c r="R22" i="73"/>
  <c r="R38" i="73"/>
  <c r="R60" i="73"/>
  <c r="R48" i="73"/>
  <c r="R76" i="73"/>
  <c r="R44" i="73"/>
  <c r="R65" i="73"/>
  <c r="R40" i="73"/>
  <c r="R29" i="73"/>
  <c r="R70" i="73"/>
  <c r="R63" i="73"/>
  <c r="R61" i="73"/>
  <c r="R51" i="73"/>
  <c r="R49" i="73"/>
  <c r="R23" i="73"/>
  <c r="R33" i="73"/>
  <c r="R66" i="73"/>
  <c r="X12" i="73"/>
  <c r="Z12" i="73" s="1"/>
  <c r="R37" i="73"/>
  <c r="R21" i="73"/>
  <c r="T69" i="59"/>
  <c r="X69" i="59" s="1"/>
  <c r="Z16" i="59"/>
  <c r="T136" i="42"/>
  <c r="H27" i="10"/>
  <c r="N18" i="10"/>
  <c r="Z16" i="103"/>
  <c r="T63" i="103"/>
  <c r="X63" i="103" s="1"/>
  <c r="R76" i="104"/>
  <c r="R37" i="104"/>
  <c r="R36" i="104"/>
  <c r="R32" i="104"/>
  <c r="R28" i="104"/>
  <c r="X12" i="104"/>
  <c r="Z12" i="104" s="1"/>
  <c r="R84" i="104"/>
  <c r="R83" i="104"/>
  <c r="R72" i="104"/>
  <c r="R71" i="104"/>
  <c r="R56" i="104"/>
  <c r="R55" i="104"/>
  <c r="R67" i="104"/>
  <c r="R66" i="104"/>
  <c r="R46" i="104"/>
  <c r="R42" i="104"/>
  <c r="R38" i="104"/>
  <c r="R85" i="104"/>
  <c r="R77" i="104"/>
  <c r="R73" i="104"/>
  <c r="R58" i="104"/>
  <c r="R57" i="104"/>
  <c r="R68" i="104"/>
  <c r="R20" i="104"/>
  <c r="R60" i="104"/>
  <c r="R59" i="104"/>
  <c r="R48" i="104"/>
  <c r="R47" i="104"/>
  <c r="R43" i="104"/>
  <c r="R39" i="104"/>
  <c r="R86" i="104"/>
  <c r="R78" i="104"/>
  <c r="R74" i="104"/>
  <c r="R34" i="104"/>
  <c r="R30" i="104"/>
  <c r="R88" i="104"/>
  <c r="R69" i="104"/>
  <c r="R62" i="104"/>
  <c r="R61" i="104"/>
  <c r="R50" i="104"/>
  <c r="R49" i="104"/>
  <c r="R26" i="104"/>
  <c r="R82" i="104"/>
  <c r="R81" i="104"/>
  <c r="R65" i="104"/>
  <c r="R54" i="104"/>
  <c r="R53" i="104"/>
  <c r="R45" i="104"/>
  <c r="R41" i="104"/>
  <c r="R18" i="104"/>
  <c r="R52" i="104"/>
  <c r="R21" i="104"/>
  <c r="R35" i="104"/>
  <c r="R75" i="104"/>
  <c r="R19" i="104"/>
  <c r="R33" i="104"/>
  <c r="R23" i="104"/>
  <c r="R70" i="104"/>
  <c r="R44" i="104"/>
  <c r="R40" i="104"/>
  <c r="R31" i="104"/>
  <c r="P23" i="104"/>
  <c r="R79" i="104"/>
  <c r="R29" i="104"/>
  <c r="R27" i="104"/>
  <c r="R92" i="104"/>
  <c r="R51" i="104"/>
  <c r="R63" i="104"/>
  <c r="R80" i="104"/>
  <c r="R64" i="104"/>
  <c r="R25" i="104"/>
  <c r="T22" i="99"/>
  <c r="Z16" i="99"/>
  <c r="P72" i="101"/>
  <c r="X22" i="101"/>
  <c r="Z22" i="101" s="1"/>
  <c r="R89" i="98"/>
  <c r="R74" i="98"/>
  <c r="R59" i="98"/>
  <c r="R58" i="98"/>
  <c r="R51" i="98"/>
  <c r="R50" i="98"/>
  <c r="R34" i="98"/>
  <c r="R30" i="98"/>
  <c r="R82" i="98"/>
  <c r="R81" i="98"/>
  <c r="R26" i="98"/>
  <c r="R68" i="98"/>
  <c r="R61" i="98"/>
  <c r="R60" i="98"/>
  <c r="R53" i="98"/>
  <c r="R52" i="98"/>
  <c r="R44" i="98"/>
  <c r="R40" i="98"/>
  <c r="R25" i="98"/>
  <c r="R75" i="98"/>
  <c r="R62" i="98"/>
  <c r="R54" i="98"/>
  <c r="R83" i="98"/>
  <c r="R70" i="98"/>
  <c r="R69" i="98"/>
  <c r="R45" i="98"/>
  <c r="R41" i="98"/>
  <c r="R37" i="98"/>
  <c r="R18" i="98"/>
  <c r="R76" i="98"/>
  <c r="R32" i="98"/>
  <c r="R28" i="98"/>
  <c r="X12" i="98"/>
  <c r="Z12" i="98" s="1"/>
  <c r="R72" i="98"/>
  <c r="R71" i="98"/>
  <c r="R64" i="98"/>
  <c r="R63" i="98"/>
  <c r="R55" i="98"/>
  <c r="R80" i="98"/>
  <c r="R79" i="98"/>
  <c r="R67" i="98"/>
  <c r="R43" i="98"/>
  <c r="R39" i="98"/>
  <c r="R66" i="98"/>
  <c r="R21" i="98"/>
  <c r="R78" i="98"/>
  <c r="R56" i="98"/>
  <c r="R35" i="98"/>
  <c r="R19" i="98"/>
  <c r="R48" i="98"/>
  <c r="R33" i="98"/>
  <c r="R73" i="98"/>
  <c r="R65" i="98"/>
  <c r="R57" i="98"/>
  <c r="R31" i="98"/>
  <c r="P23" i="98"/>
  <c r="R47" i="98"/>
  <c r="R85" i="98"/>
  <c r="R20" i="98"/>
  <c r="R42" i="98"/>
  <c r="R46" i="98"/>
  <c r="R49" i="98"/>
  <c r="R77" i="98"/>
  <c r="R27" i="98"/>
  <c r="R36" i="98"/>
  <c r="R29" i="98"/>
  <c r="R38" i="98"/>
  <c r="H83" i="94"/>
  <c r="J80" i="94"/>
  <c r="R23" i="95"/>
  <c r="H122" i="85"/>
  <c r="L20" i="86"/>
  <c r="N20" i="86" s="1"/>
  <c r="D28" i="86"/>
  <c r="T22" i="72"/>
  <c r="Z16" i="72"/>
  <c r="T118" i="75"/>
  <c r="N16" i="64"/>
  <c r="H103" i="64"/>
  <c r="L16" i="64"/>
  <c r="D103" i="64"/>
  <c r="T63" i="68"/>
  <c r="Z59" i="68"/>
  <c r="H63" i="68"/>
  <c r="L63" i="68" s="1"/>
  <c r="N59" i="68"/>
  <c r="N16" i="60"/>
  <c r="H58" i="60"/>
  <c r="V25" i="45"/>
  <c r="P110" i="21"/>
  <c r="X29" i="21"/>
  <c r="Z29" i="21" s="1"/>
  <c r="D115" i="27"/>
  <c r="L53" i="27"/>
  <c r="N53" i="27" s="1"/>
  <c r="T27" i="49"/>
  <c r="Z18" i="49"/>
  <c r="X18" i="49"/>
  <c r="P27" i="49"/>
  <c r="X18" i="46"/>
  <c r="P27" i="46"/>
  <c r="H27" i="44"/>
  <c r="N18" i="44"/>
  <c r="H27" i="49"/>
  <c r="N18" i="49"/>
  <c r="P27" i="43"/>
  <c r="X18" i="43"/>
  <c r="D27" i="41"/>
  <c r="L18" i="41"/>
  <c r="T27" i="25"/>
  <c r="Z18" i="25"/>
  <c r="H27" i="20"/>
  <c r="N18" i="20"/>
  <c r="H27" i="17"/>
  <c r="N18" i="17"/>
  <c r="T27" i="20"/>
  <c r="Z18" i="20"/>
  <c r="P27" i="16"/>
  <c r="X18" i="16"/>
  <c r="H27" i="7"/>
  <c r="N18" i="7"/>
  <c r="P27" i="8"/>
  <c r="X18" i="8"/>
  <c r="N18" i="13"/>
  <c r="H27" i="13"/>
  <c r="T93" i="108"/>
  <c r="F94" i="106"/>
  <c r="F72" i="106"/>
  <c r="F67" i="106"/>
  <c r="F66" i="106"/>
  <c r="F55" i="106"/>
  <c r="F54" i="106"/>
  <c r="F19" i="106"/>
  <c r="F18" i="106"/>
  <c r="F82" i="106"/>
  <c r="F78" i="106"/>
  <c r="F46" i="106"/>
  <c r="F42" i="106"/>
  <c r="F38" i="106"/>
  <c r="F37" i="106"/>
  <c r="F73" i="106"/>
  <c r="F57" i="106"/>
  <c r="F56" i="106"/>
  <c r="F33" i="106"/>
  <c r="F29" i="106"/>
  <c r="F84" i="106"/>
  <c r="F83" i="106"/>
  <c r="F68" i="106"/>
  <c r="F20" i="106"/>
  <c r="F79" i="106"/>
  <c r="F59" i="106"/>
  <c r="F58" i="106"/>
  <c r="F47" i="106"/>
  <c r="F43" i="106"/>
  <c r="F39" i="106"/>
  <c r="F86" i="106"/>
  <c r="F85" i="106"/>
  <c r="F74" i="106"/>
  <c r="F69" i="106"/>
  <c r="F61" i="106"/>
  <c r="F60" i="106"/>
  <c r="F49" i="106"/>
  <c r="F48" i="106"/>
  <c r="F88" i="106"/>
  <c r="F87" i="106"/>
  <c r="F80" i="106"/>
  <c r="F76" i="106"/>
  <c r="F75" i="106"/>
  <c r="F44" i="106"/>
  <c r="F40" i="106"/>
  <c r="F90" i="106"/>
  <c r="F81" i="106"/>
  <c r="F77" i="106"/>
  <c r="F65" i="106"/>
  <c r="F64" i="106"/>
  <c r="F53" i="106"/>
  <c r="F52" i="106"/>
  <c r="F45" i="106"/>
  <c r="F41" i="106"/>
  <c r="D23" i="106"/>
  <c r="F35" i="106"/>
  <c r="F31" i="106"/>
  <c r="F71" i="106"/>
  <c r="F25" i="106"/>
  <c r="F62" i="106"/>
  <c r="F50" i="106"/>
  <c r="F28" i="106"/>
  <c r="F34" i="106"/>
  <c r="F30" i="106"/>
  <c r="F21" i="106"/>
  <c r="F32" i="106"/>
  <c r="F26" i="106"/>
  <c r="F36" i="106"/>
  <c r="L12" i="106"/>
  <c r="N12" i="106" s="1"/>
  <c r="F51" i="106"/>
  <c r="F23" i="106"/>
  <c r="F27" i="106"/>
  <c r="F70" i="106"/>
  <c r="F63" i="106"/>
  <c r="R67" i="102"/>
  <c r="R59" i="102"/>
  <c r="R58" i="102"/>
  <c r="R47" i="102"/>
  <c r="R46" i="102"/>
  <c r="R42" i="102"/>
  <c r="R38" i="102"/>
  <c r="R85" i="102"/>
  <c r="R74" i="102"/>
  <c r="R73" i="102"/>
  <c r="R33" i="102"/>
  <c r="R29" i="102"/>
  <c r="R69" i="102"/>
  <c r="R68" i="102"/>
  <c r="R61" i="102"/>
  <c r="R60" i="102"/>
  <c r="R49" i="102"/>
  <c r="R48" i="102"/>
  <c r="R20" i="102"/>
  <c r="R75" i="102"/>
  <c r="R70" i="102"/>
  <c r="R63" i="102"/>
  <c r="R62" i="102"/>
  <c r="R51" i="102"/>
  <c r="R77" i="102"/>
  <c r="R76" i="102"/>
  <c r="R64" i="102"/>
  <c r="R53" i="102"/>
  <c r="R52" i="102"/>
  <c r="R44" i="102"/>
  <c r="R40" i="102"/>
  <c r="R25" i="102"/>
  <c r="R23" i="102"/>
  <c r="R81" i="102"/>
  <c r="R66" i="102"/>
  <c r="R41" i="102"/>
  <c r="R35" i="102"/>
  <c r="R32" i="102"/>
  <c r="R27" i="102"/>
  <c r="X12" i="102"/>
  <c r="Z12" i="102" s="1"/>
  <c r="R71" i="102"/>
  <c r="R39" i="102"/>
  <c r="R36" i="102"/>
  <c r="R21" i="102"/>
  <c r="R18" i="102"/>
  <c r="R78" i="102"/>
  <c r="R50" i="102"/>
  <c r="R30" i="102"/>
  <c r="R56" i="102"/>
  <c r="P23" i="102"/>
  <c r="R37" i="102"/>
  <c r="R31" i="102"/>
  <c r="R28" i="102"/>
  <c r="R19" i="102"/>
  <c r="R55" i="102"/>
  <c r="R72" i="102"/>
  <c r="R57" i="102"/>
  <c r="R26" i="102"/>
  <c r="R65" i="102"/>
  <c r="R43" i="102"/>
  <c r="R45" i="102"/>
  <c r="R80" i="102"/>
  <c r="R34" i="102"/>
  <c r="R54" i="102"/>
  <c r="F83" i="98"/>
  <c r="F46" i="98"/>
  <c r="F42" i="98"/>
  <c r="F38" i="98"/>
  <c r="F85" i="98"/>
  <c r="F77" i="98"/>
  <c r="F73" i="98"/>
  <c r="F72" i="98"/>
  <c r="F65" i="98"/>
  <c r="F64" i="98"/>
  <c r="F33" i="98"/>
  <c r="F29" i="98"/>
  <c r="F56" i="98"/>
  <c r="F48" i="98"/>
  <c r="F47" i="98"/>
  <c r="F79" i="98"/>
  <c r="F78" i="98"/>
  <c r="F67" i="98"/>
  <c r="F66" i="98"/>
  <c r="F74" i="98"/>
  <c r="F58" i="98"/>
  <c r="F57" i="98"/>
  <c r="F50" i="98"/>
  <c r="F49" i="98"/>
  <c r="F34" i="98"/>
  <c r="F30" i="98"/>
  <c r="F81" i="98"/>
  <c r="F80" i="98"/>
  <c r="F21" i="98"/>
  <c r="F68" i="98"/>
  <c r="F60" i="98"/>
  <c r="F59" i="98"/>
  <c r="F52" i="98"/>
  <c r="F51" i="98"/>
  <c r="F44" i="98"/>
  <c r="F40" i="98"/>
  <c r="F82" i="98"/>
  <c r="F75" i="98"/>
  <c r="F71" i="98"/>
  <c r="F70" i="98"/>
  <c r="F63" i="98"/>
  <c r="F55" i="98"/>
  <c r="F19" i="98"/>
  <c r="F18" i="98"/>
  <c r="F36" i="98"/>
  <c r="F27" i="98"/>
  <c r="F20" i="98"/>
  <c r="F62" i="98"/>
  <c r="F54" i="98"/>
  <c r="F32" i="98"/>
  <c r="F25" i="98"/>
  <c r="F76" i="98"/>
  <c r="F45" i="98"/>
  <c r="F43" i="98"/>
  <c r="F41" i="98"/>
  <c r="F39" i="98"/>
  <c r="F89" i="98"/>
  <c r="F37" i="98"/>
  <c r="F28" i="98"/>
  <c r="F69" i="98"/>
  <c r="F31" i="98"/>
  <c r="L12" i="98"/>
  <c r="N12" i="98" s="1"/>
  <c r="F53" i="98"/>
  <c r="D23" i="98"/>
  <c r="F35" i="98"/>
  <c r="F26" i="98"/>
  <c r="F61" i="98"/>
  <c r="H91" i="98"/>
  <c r="D83" i="89"/>
  <c r="L23" i="89"/>
  <c r="T78" i="80"/>
  <c r="T72" i="79"/>
  <c r="V56" i="69"/>
  <c r="D74" i="70"/>
  <c r="L22" i="70"/>
  <c r="N22" i="70" s="1"/>
  <c r="T60" i="61"/>
  <c r="Z16" i="61"/>
  <c r="H84" i="73"/>
  <c r="H64" i="61"/>
  <c r="L25" i="45"/>
  <c r="N25" i="45" s="1"/>
  <c r="R140" i="39"/>
  <c r="R130" i="39"/>
  <c r="R122" i="39"/>
  <c r="R118" i="39"/>
  <c r="R114" i="39"/>
  <c r="R102" i="39"/>
  <c r="R87" i="39"/>
  <c r="R86" i="39"/>
  <c r="R46" i="39"/>
  <c r="R42" i="39"/>
  <c r="R97" i="39"/>
  <c r="R78" i="39"/>
  <c r="R77" i="39"/>
  <c r="R69" i="39"/>
  <c r="R33" i="39"/>
  <c r="R108" i="39"/>
  <c r="R89" i="39"/>
  <c r="R88" i="39"/>
  <c r="R61" i="39"/>
  <c r="R60" i="39"/>
  <c r="R56" i="39"/>
  <c r="R52" i="39"/>
  <c r="R131" i="39"/>
  <c r="R124" i="39"/>
  <c r="R123" i="39"/>
  <c r="R119" i="39"/>
  <c r="R115" i="39"/>
  <c r="R104" i="39"/>
  <c r="R103" i="39"/>
  <c r="R80" i="39"/>
  <c r="R79" i="39"/>
  <c r="R47" i="39"/>
  <c r="R43" i="39"/>
  <c r="R144" i="39"/>
  <c r="R98" i="39"/>
  <c r="R91" i="39"/>
  <c r="R90" i="39"/>
  <c r="R70" i="39"/>
  <c r="R63" i="39"/>
  <c r="R62" i="39"/>
  <c r="R39" i="39"/>
  <c r="R125" i="39"/>
  <c r="R109" i="39"/>
  <c r="R105" i="39"/>
  <c r="R82" i="39"/>
  <c r="R81" i="39"/>
  <c r="R57" i="39"/>
  <c r="R53" i="39"/>
  <c r="R38" i="39"/>
  <c r="R100" i="39"/>
  <c r="R99" i="39"/>
  <c r="R83" i="39"/>
  <c r="R72" i="39"/>
  <c r="R71" i="39"/>
  <c r="R134" i="39"/>
  <c r="R127" i="39"/>
  <c r="R126" i="39"/>
  <c r="R111" i="39"/>
  <c r="R110" i="39"/>
  <c r="R106" i="39"/>
  <c r="R95" i="39"/>
  <c r="R94" i="39"/>
  <c r="R67" i="39"/>
  <c r="R66" i="39"/>
  <c r="R58" i="39"/>
  <c r="R54" i="39"/>
  <c r="R31" i="39"/>
  <c r="R137" i="39"/>
  <c r="R136" i="39"/>
  <c r="R121" i="39"/>
  <c r="R117" i="39"/>
  <c r="R138" i="39"/>
  <c r="R129" i="39"/>
  <c r="R128" i="39"/>
  <c r="R113" i="39"/>
  <c r="R112" i="39"/>
  <c r="R96" i="39"/>
  <c r="R85" i="39"/>
  <c r="R84" i="39"/>
  <c r="R68" i="39"/>
  <c r="R132" i="39"/>
  <c r="R59" i="39"/>
  <c r="P36" i="39"/>
  <c r="R36" i="39" s="1"/>
  <c r="R50" i="39"/>
  <c r="R116" i="39"/>
  <c r="R101" i="39"/>
  <c r="R73" i="39"/>
  <c r="R48" i="39"/>
  <c r="R139" i="39"/>
  <c r="R107" i="39"/>
  <c r="R44" i="39"/>
  <c r="R40" i="39"/>
  <c r="R133" i="39"/>
  <c r="R92" i="39"/>
  <c r="R120" i="39"/>
  <c r="R74" i="39"/>
  <c r="R64" i="39"/>
  <c r="R76" i="39"/>
  <c r="R51" i="39"/>
  <c r="R34" i="39"/>
  <c r="R65" i="39"/>
  <c r="R41" i="39"/>
  <c r="R32" i="39"/>
  <c r="X12" i="39"/>
  <c r="Z12" i="39" s="1"/>
  <c r="R55" i="39"/>
  <c r="R93" i="39"/>
  <c r="R45" i="39"/>
  <c r="R75" i="39"/>
  <c r="R49" i="39"/>
  <c r="R242" i="15"/>
  <c r="R233" i="15"/>
  <c r="R232" i="15"/>
  <c r="R204" i="15"/>
  <c r="R193" i="15"/>
  <c r="R192" i="15"/>
  <c r="R184" i="15"/>
  <c r="R169" i="15"/>
  <c r="R168" i="15"/>
  <c r="R164" i="15"/>
  <c r="R160" i="15"/>
  <c r="R243" i="15"/>
  <c r="R215" i="15"/>
  <c r="R155" i="15"/>
  <c r="R151" i="15"/>
  <c r="R244" i="15"/>
  <c r="R234" i="15"/>
  <c r="R226" i="15"/>
  <c r="R222" i="15"/>
  <c r="R210" i="15"/>
  <c r="R195" i="15"/>
  <c r="R194" i="15"/>
  <c r="R178" i="15"/>
  <c r="R171" i="15"/>
  <c r="R170" i="15"/>
  <c r="R147" i="15"/>
  <c r="R142" i="15"/>
  <c r="R138" i="15"/>
  <c r="R134" i="15"/>
  <c r="R130" i="15"/>
  <c r="R126" i="15"/>
  <c r="R122" i="15"/>
  <c r="R118" i="15"/>
  <c r="R114" i="15"/>
  <c r="R110" i="15"/>
  <c r="R106" i="15"/>
  <c r="R102" i="15"/>
  <c r="R98" i="15"/>
  <c r="R245" i="15"/>
  <c r="R205" i="15"/>
  <c r="R186" i="15"/>
  <c r="R185" i="15"/>
  <c r="R165" i="15"/>
  <c r="R161" i="15"/>
  <c r="R146" i="15"/>
  <c r="R144" i="15"/>
  <c r="R94" i="15"/>
  <c r="R246" i="15"/>
  <c r="R217" i="15"/>
  <c r="R216" i="15"/>
  <c r="R197" i="15"/>
  <c r="R196" i="15"/>
  <c r="R172" i="15"/>
  <c r="R156" i="15"/>
  <c r="R152" i="15"/>
  <c r="R148" i="15"/>
  <c r="P144" i="15"/>
  <c r="R247" i="15"/>
  <c r="R235" i="15"/>
  <c r="R228" i="15"/>
  <c r="R227" i="15"/>
  <c r="R223" i="15"/>
  <c r="R212" i="15"/>
  <c r="R211" i="15"/>
  <c r="R188" i="15"/>
  <c r="R187" i="15"/>
  <c r="R180" i="15"/>
  <c r="R179" i="15"/>
  <c r="R139" i="15"/>
  <c r="R135" i="15"/>
  <c r="R131" i="15"/>
  <c r="R127" i="15"/>
  <c r="R123" i="15"/>
  <c r="R119" i="15"/>
  <c r="R115" i="15"/>
  <c r="R111" i="15"/>
  <c r="R107" i="15"/>
  <c r="R103" i="15"/>
  <c r="R99" i="15"/>
  <c r="R95" i="15"/>
  <c r="R218" i="15"/>
  <c r="R207" i="15"/>
  <c r="R206" i="15"/>
  <c r="R199" i="15"/>
  <c r="R198" i="15"/>
  <c r="R166" i="15"/>
  <c r="R162" i="15"/>
  <c r="R229" i="15"/>
  <c r="R213" i="15"/>
  <c r="R190" i="15"/>
  <c r="R189" i="15"/>
  <c r="R181" i="15"/>
  <c r="R174" i="15"/>
  <c r="R173" i="15"/>
  <c r="R158" i="15"/>
  <c r="R157" i="15"/>
  <c r="R153" i="15"/>
  <c r="R149" i="15"/>
  <c r="R237" i="15"/>
  <c r="R236" i="15"/>
  <c r="R224" i="15"/>
  <c r="R208" i="15"/>
  <c r="R201" i="15"/>
  <c r="R200" i="15"/>
  <c r="R140" i="15"/>
  <c r="R136" i="15"/>
  <c r="R132" i="15"/>
  <c r="R128" i="15"/>
  <c r="R124" i="15"/>
  <c r="R120" i="15"/>
  <c r="R116" i="15"/>
  <c r="R112" i="15"/>
  <c r="R108" i="15"/>
  <c r="R104" i="15"/>
  <c r="R100" i="15"/>
  <c r="R96" i="15"/>
  <c r="X12" i="15"/>
  <c r="Z12" i="15" s="1"/>
  <c r="R241" i="15"/>
  <c r="R240" i="15"/>
  <c r="R225" i="15"/>
  <c r="R221" i="15"/>
  <c r="R209" i="15"/>
  <c r="R177" i="15"/>
  <c r="R141" i="15"/>
  <c r="R137" i="15"/>
  <c r="R133" i="15"/>
  <c r="R129" i="15"/>
  <c r="R125" i="15"/>
  <c r="R121" i="15"/>
  <c r="R117" i="15"/>
  <c r="R113" i="15"/>
  <c r="R109" i="15"/>
  <c r="R105" i="15"/>
  <c r="R101" i="15"/>
  <c r="R97" i="15"/>
  <c r="R238" i="15"/>
  <c r="R231" i="15"/>
  <c r="R191" i="15"/>
  <c r="R175" i="15"/>
  <c r="R214" i="15"/>
  <c r="R182" i="15"/>
  <c r="R159" i="15"/>
  <c r="R220" i="15"/>
  <c r="R150" i="15"/>
  <c r="R163" i="15"/>
  <c r="R183" i="15"/>
  <c r="R176" i="15"/>
  <c r="R154" i="15"/>
  <c r="R202" i="15"/>
  <c r="R251" i="15"/>
  <c r="R230" i="15"/>
  <c r="R219" i="15"/>
  <c r="R203" i="15"/>
  <c r="R167" i="15"/>
  <c r="R268" i="18"/>
  <c r="R228" i="18"/>
  <c r="R209" i="18"/>
  <c r="R208" i="18"/>
  <c r="R188" i="18"/>
  <c r="R184" i="18"/>
  <c r="R169" i="18"/>
  <c r="R269" i="18"/>
  <c r="R240" i="18"/>
  <c r="R239" i="18"/>
  <c r="R220" i="18"/>
  <c r="R219" i="18"/>
  <c r="R195" i="18"/>
  <c r="R179" i="18"/>
  <c r="R175" i="18"/>
  <c r="R171" i="18"/>
  <c r="P167" i="18"/>
  <c r="R167" i="18" s="1"/>
  <c r="R270" i="18"/>
  <c r="R258" i="18"/>
  <c r="R251" i="18"/>
  <c r="R250" i="18"/>
  <c r="R246" i="18"/>
  <c r="R235" i="18"/>
  <c r="R234" i="18"/>
  <c r="R211" i="18"/>
  <c r="R210" i="18"/>
  <c r="R203" i="18"/>
  <c r="R202" i="18"/>
  <c r="R162" i="18"/>
  <c r="R158" i="18"/>
  <c r="R154" i="18"/>
  <c r="R150" i="18"/>
  <c r="R146" i="18"/>
  <c r="R142" i="18"/>
  <c r="R138" i="18"/>
  <c r="R134" i="18"/>
  <c r="R130" i="18"/>
  <c r="R126" i="18"/>
  <c r="R122" i="18"/>
  <c r="R118" i="18"/>
  <c r="R114" i="18"/>
  <c r="R271" i="18"/>
  <c r="R241" i="18"/>
  <c r="R230" i="18"/>
  <c r="R229" i="18"/>
  <c r="R222" i="18"/>
  <c r="R221" i="18"/>
  <c r="R189" i="18"/>
  <c r="R185" i="18"/>
  <c r="R272" i="18"/>
  <c r="R252" i="18"/>
  <c r="R236" i="18"/>
  <c r="R213" i="18"/>
  <c r="R212" i="18"/>
  <c r="R204" i="18"/>
  <c r="R197" i="18"/>
  <c r="R196" i="18"/>
  <c r="R181" i="18"/>
  <c r="R180" i="18"/>
  <c r="R176" i="18"/>
  <c r="R172" i="18"/>
  <c r="R260" i="18"/>
  <c r="R259" i="18"/>
  <c r="R247" i="18"/>
  <c r="R231" i="18"/>
  <c r="R224" i="18"/>
  <c r="R223" i="18"/>
  <c r="R163" i="18"/>
  <c r="R159" i="18"/>
  <c r="R155" i="18"/>
  <c r="R151" i="18"/>
  <c r="R147" i="18"/>
  <c r="R143" i="18"/>
  <c r="R139" i="18"/>
  <c r="R135" i="18"/>
  <c r="R131" i="18"/>
  <c r="R127" i="18"/>
  <c r="R123" i="18"/>
  <c r="R119" i="18"/>
  <c r="R115" i="18"/>
  <c r="R243" i="18"/>
  <c r="R242" i="18"/>
  <c r="R214" i="18"/>
  <c r="R199" i="18"/>
  <c r="R198" i="18"/>
  <c r="R190" i="18"/>
  <c r="R186" i="18"/>
  <c r="R182" i="18"/>
  <c r="R261" i="18"/>
  <c r="R254" i="18"/>
  <c r="R253" i="18"/>
  <c r="R237" i="18"/>
  <c r="R226" i="18"/>
  <c r="R225" i="18"/>
  <c r="R206" i="18"/>
  <c r="R205" i="18"/>
  <c r="R177" i="18"/>
  <c r="R173" i="18"/>
  <c r="R276" i="18"/>
  <c r="R264" i="18"/>
  <c r="R263" i="18"/>
  <c r="R248" i="18"/>
  <c r="R244" i="18"/>
  <c r="R232" i="18"/>
  <c r="R200" i="18"/>
  <c r="R164" i="18"/>
  <c r="R160" i="18"/>
  <c r="R156" i="18"/>
  <c r="R152" i="18"/>
  <c r="R148" i="18"/>
  <c r="R144" i="18"/>
  <c r="R140" i="18"/>
  <c r="R136" i="18"/>
  <c r="R132" i="18"/>
  <c r="R128" i="18"/>
  <c r="R124" i="18"/>
  <c r="R120" i="18"/>
  <c r="R116" i="18"/>
  <c r="X12" i="18"/>
  <c r="Z12" i="18" s="1"/>
  <c r="R267" i="18"/>
  <c r="R257" i="18"/>
  <c r="R249" i="18"/>
  <c r="R245" i="18"/>
  <c r="R233" i="18"/>
  <c r="R218" i="18"/>
  <c r="R217" i="18"/>
  <c r="R201" i="18"/>
  <c r="R194" i="18"/>
  <c r="R193" i="18"/>
  <c r="R170" i="18"/>
  <c r="R165" i="18"/>
  <c r="R161" i="18"/>
  <c r="R157" i="18"/>
  <c r="R153" i="18"/>
  <c r="R149" i="18"/>
  <c r="R145" i="18"/>
  <c r="R141" i="18"/>
  <c r="R137" i="18"/>
  <c r="R133" i="18"/>
  <c r="R129" i="18"/>
  <c r="R125" i="18"/>
  <c r="R121" i="18"/>
  <c r="R117" i="18"/>
  <c r="R113" i="18"/>
  <c r="R191" i="18"/>
  <c r="R266" i="18"/>
  <c r="R256" i="18"/>
  <c r="R227" i="18"/>
  <c r="R112" i="18"/>
  <c r="R216" i="18"/>
  <c r="R192" i="18"/>
  <c r="R183" i="18"/>
  <c r="R174" i="18"/>
  <c r="R207" i="18"/>
  <c r="R178" i="18"/>
  <c r="R265" i="18"/>
  <c r="R255" i="18"/>
  <c r="R187" i="18"/>
  <c r="R238" i="18"/>
  <c r="R215" i="18"/>
  <c r="F180" i="3"/>
  <c r="R289" i="3"/>
  <c r="L18" i="111"/>
  <c r="D27" i="111"/>
  <c r="T27" i="111"/>
  <c r="Z18" i="111"/>
  <c r="X18" i="47"/>
  <c r="P27" i="47"/>
  <c r="L18" i="53"/>
  <c r="D27" i="53"/>
  <c r="H27" i="47"/>
  <c r="N18" i="47"/>
  <c r="X18" i="41"/>
  <c r="P27" i="41"/>
  <c r="H27" i="37"/>
  <c r="N18" i="37"/>
  <c r="H27" i="34"/>
  <c r="N18" i="34"/>
  <c r="L18" i="34"/>
  <c r="D27" i="34"/>
  <c r="L18" i="28"/>
  <c r="D27" i="28"/>
  <c r="D27" i="14"/>
  <c r="L18" i="14"/>
  <c r="L18" i="25"/>
  <c r="D27" i="25"/>
  <c r="H27" i="14"/>
  <c r="N18" i="14"/>
  <c r="D27" i="10"/>
  <c r="L18" i="10"/>
  <c r="N18" i="5"/>
  <c r="H27" i="5"/>
  <c r="L18" i="4"/>
  <c r="D27" i="4"/>
  <c r="P69" i="110"/>
  <c r="X17" i="110"/>
  <c r="Z17" i="110" s="1"/>
  <c r="F83" i="95"/>
  <c r="F50" i="95"/>
  <c r="F49" i="95"/>
  <c r="F34" i="95"/>
  <c r="F30" i="95"/>
  <c r="F87" i="95"/>
  <c r="F61" i="95"/>
  <c r="F60" i="95"/>
  <c r="F63" i="95"/>
  <c r="F62" i="95"/>
  <c r="F35" i="95"/>
  <c r="F31" i="95"/>
  <c r="F27" i="95"/>
  <c r="F26" i="95"/>
  <c r="F54" i="95"/>
  <c r="F53" i="95"/>
  <c r="F25" i="95"/>
  <c r="F23" i="95"/>
  <c r="F77" i="95"/>
  <c r="F79" i="95"/>
  <c r="F78" i="95"/>
  <c r="F67" i="95"/>
  <c r="F66" i="95"/>
  <c r="F55" i="95"/>
  <c r="F75" i="95"/>
  <c r="F71" i="95"/>
  <c r="F70" i="95"/>
  <c r="F59" i="95"/>
  <c r="F58" i="95"/>
  <c r="F43" i="95"/>
  <c r="F39" i="95"/>
  <c r="F73" i="95"/>
  <c r="F68" i="95"/>
  <c r="F81" i="95"/>
  <c r="F56" i="95"/>
  <c r="F52" i="95"/>
  <c r="F38" i="95"/>
  <c r="F32" i="95"/>
  <c r="F20" i="95"/>
  <c r="F46" i="95"/>
  <c r="F41" i="95"/>
  <c r="F64" i="95"/>
  <c r="F33" i="95"/>
  <c r="F21" i="95"/>
  <c r="F28" i="95"/>
  <c r="F80" i="95"/>
  <c r="F74" i="95"/>
  <c r="F69" i="95"/>
  <c r="F47" i="95"/>
  <c r="F44" i="95"/>
  <c r="F36" i="95"/>
  <c r="F76" i="95"/>
  <c r="F72" i="95"/>
  <c r="F65" i="95"/>
  <c r="F57" i="95"/>
  <c r="F42" i="95"/>
  <c r="F40" i="95"/>
  <c r="F45" i="95"/>
  <c r="F51" i="95"/>
  <c r="F18" i="95"/>
  <c r="F37" i="95"/>
  <c r="D23" i="95"/>
  <c r="L12" i="95"/>
  <c r="N12" i="95" s="1"/>
  <c r="F48" i="95"/>
  <c r="F19" i="95"/>
  <c r="F29" i="95"/>
  <c r="T27" i="43"/>
  <c r="Z18" i="43"/>
  <c r="H27" i="32"/>
  <c r="N18" i="32"/>
  <c r="N16" i="107"/>
  <c r="H22" i="107"/>
  <c r="F91" i="108"/>
  <c r="F69" i="108"/>
  <c r="F68" i="108"/>
  <c r="F57" i="108"/>
  <c r="F56" i="108"/>
  <c r="F61" i="108"/>
  <c r="F60" i="108"/>
  <c r="F24" i="108"/>
  <c r="F22" i="108"/>
  <c r="F71" i="108"/>
  <c r="F63" i="108"/>
  <c r="F62" i="108"/>
  <c r="F51" i="108"/>
  <c r="F35" i="108"/>
  <c r="F31" i="108"/>
  <c r="F27" i="108"/>
  <c r="F85" i="108"/>
  <c r="F77" i="108"/>
  <c r="F73" i="108"/>
  <c r="F72" i="108"/>
  <c r="F65" i="108"/>
  <c r="F64" i="108"/>
  <c r="F53" i="108"/>
  <c r="F52" i="108"/>
  <c r="F45" i="108"/>
  <c r="F41" i="108"/>
  <c r="F37" i="108"/>
  <c r="F36" i="108"/>
  <c r="F87" i="108"/>
  <c r="F78" i="108"/>
  <c r="F74" i="108"/>
  <c r="F46" i="108"/>
  <c r="F42" i="108"/>
  <c r="F38" i="108"/>
  <c r="F67" i="108"/>
  <c r="F32" i="108"/>
  <c r="F20" i="108"/>
  <c r="F81" i="108"/>
  <c r="F76" i="108"/>
  <c r="F59" i="108"/>
  <c r="F39" i="108"/>
  <c r="F84" i="108"/>
  <c r="F54" i="108"/>
  <c r="F49" i="108"/>
  <c r="F44" i="108"/>
  <c r="F17" i="108"/>
  <c r="F70" i="108"/>
  <c r="F18" i="108"/>
  <c r="F40" i="108"/>
  <c r="F30" i="108"/>
  <c r="D22" i="108"/>
  <c r="F82" i="108"/>
  <c r="F33" i="108"/>
  <c r="L12" i="108"/>
  <c r="N12" i="108" s="1"/>
  <c r="F79" i="108"/>
  <c r="F50" i="108"/>
  <c r="F47" i="108"/>
  <c r="F28" i="108"/>
  <c r="F66" i="108"/>
  <c r="F55" i="108"/>
  <c r="F25" i="108"/>
  <c r="F75" i="108"/>
  <c r="F58" i="108"/>
  <c r="F19" i="108"/>
  <c r="F83" i="108"/>
  <c r="F34" i="108"/>
  <c r="F29" i="108"/>
  <c r="F26" i="108"/>
  <c r="F48" i="108"/>
  <c r="F43" i="108"/>
  <c r="F80" i="108"/>
  <c r="D63" i="103"/>
  <c r="L16" i="103"/>
  <c r="V23" i="95"/>
  <c r="F22" i="96"/>
  <c r="L16" i="99"/>
  <c r="D22" i="99"/>
  <c r="V22" i="88"/>
  <c r="N23" i="89"/>
  <c r="H83" i="89"/>
  <c r="P91" i="92"/>
  <c r="X16" i="92"/>
  <c r="X22" i="83"/>
  <c r="Z22" i="83" s="1"/>
  <c r="T103" i="77"/>
  <c r="H29" i="82"/>
  <c r="N29" i="82" s="1"/>
  <c r="N26" i="82"/>
  <c r="H103" i="77"/>
  <c r="N29" i="76"/>
  <c r="H85" i="76"/>
  <c r="T80" i="73"/>
  <c r="H115" i="71"/>
  <c r="J53" i="71"/>
  <c r="V25" i="73"/>
  <c r="P103" i="64"/>
  <c r="X16" i="64"/>
  <c r="Z16" i="64"/>
  <c r="T103" i="64"/>
  <c r="X16" i="55"/>
  <c r="P31" i="55"/>
  <c r="H72" i="57"/>
  <c r="N16" i="57"/>
  <c r="J17" i="48"/>
  <c r="D22" i="54"/>
  <c r="L16" i="54"/>
  <c r="H69" i="59"/>
  <c r="N16" i="59"/>
  <c r="D105" i="45"/>
  <c r="L101" i="45"/>
  <c r="F101" i="45"/>
  <c r="T101" i="33"/>
  <c r="T115" i="27"/>
  <c r="H249" i="15"/>
  <c r="T262" i="12"/>
  <c r="L18" i="112"/>
  <c r="D27" i="112"/>
  <c r="X18" i="112"/>
  <c r="P27" i="112"/>
  <c r="X18" i="111"/>
  <c r="P27" i="111"/>
  <c r="X18" i="50"/>
  <c r="P27" i="50"/>
  <c r="H27" i="50"/>
  <c r="N18" i="50"/>
  <c r="L18" i="44"/>
  <c r="D27" i="44"/>
  <c r="L18" i="40"/>
  <c r="D27" i="40"/>
  <c r="X18" i="37"/>
  <c r="P27" i="37"/>
  <c r="X18" i="34"/>
  <c r="P27" i="34"/>
  <c r="H27" i="31"/>
  <c r="N18" i="31"/>
  <c r="H27" i="38"/>
  <c r="N18" i="38"/>
  <c r="T27" i="32"/>
  <c r="Z18" i="32"/>
  <c r="L18" i="23"/>
  <c r="D27" i="23"/>
  <c r="H27" i="28"/>
  <c r="N18" i="28"/>
  <c r="L18" i="17"/>
  <c r="D27" i="17"/>
  <c r="T27" i="16"/>
  <c r="Z18" i="16"/>
  <c r="T27" i="10"/>
  <c r="Z18" i="10"/>
  <c r="P27" i="20"/>
  <c r="X18" i="20"/>
  <c r="F92" i="75"/>
  <c r="F72" i="75"/>
  <c r="F68" i="75"/>
  <c r="F64" i="75"/>
  <c r="F63" i="75"/>
  <c r="D50" i="75"/>
  <c r="F50" i="75" s="1"/>
  <c r="F107" i="75"/>
  <c r="F106" i="75"/>
  <c r="F99" i="75"/>
  <c r="F83" i="75"/>
  <c r="F82" i="75"/>
  <c r="F59" i="75"/>
  <c r="F55" i="75"/>
  <c r="F110" i="75"/>
  <c r="F93" i="75"/>
  <c r="F85" i="75"/>
  <c r="F84" i="75"/>
  <c r="F73" i="75"/>
  <c r="F69" i="75"/>
  <c r="F65" i="75"/>
  <c r="F111" i="75"/>
  <c r="F109" i="75"/>
  <c r="F100" i="75"/>
  <c r="F60" i="75"/>
  <c r="F56" i="75"/>
  <c r="F112" i="75"/>
  <c r="F95" i="75"/>
  <c r="F94" i="75"/>
  <c r="F87" i="75"/>
  <c r="F86" i="75"/>
  <c r="F75" i="75"/>
  <c r="F74" i="75"/>
  <c r="F47" i="75"/>
  <c r="F43" i="75"/>
  <c r="F39" i="75"/>
  <c r="F70" i="75"/>
  <c r="F66" i="75"/>
  <c r="F101" i="75"/>
  <c r="F89" i="75"/>
  <c r="F88" i="75"/>
  <c r="F77" i="75"/>
  <c r="F76" i="75"/>
  <c r="F61" i="75"/>
  <c r="F57" i="75"/>
  <c r="F116" i="75"/>
  <c r="F96" i="75"/>
  <c r="F48" i="75"/>
  <c r="F44" i="75"/>
  <c r="F40" i="75"/>
  <c r="F105" i="75"/>
  <c r="F104" i="75"/>
  <c r="F81" i="75"/>
  <c r="F80" i="75"/>
  <c r="F52" i="75"/>
  <c r="F45" i="75"/>
  <c r="F41" i="75"/>
  <c r="F98" i="75"/>
  <c r="F91" i="75"/>
  <c r="F53" i="75"/>
  <c r="F34" i="75"/>
  <c r="F33" i="75"/>
  <c r="F67" i="75"/>
  <c r="F58" i="75"/>
  <c r="F102" i="75"/>
  <c r="F35" i="75"/>
  <c r="F97" i="75"/>
  <c r="F90" i="75"/>
  <c r="F62" i="75"/>
  <c r="F71" i="75"/>
  <c r="F46" i="75"/>
  <c r="F54" i="75"/>
  <c r="F36" i="75"/>
  <c r="L12" i="75"/>
  <c r="N12" i="75" s="1"/>
  <c r="F103" i="75"/>
  <c r="F42" i="75"/>
  <c r="F37" i="75"/>
  <c r="F78" i="75"/>
  <c r="F38" i="75"/>
  <c r="F79" i="75"/>
  <c r="H305" i="3"/>
  <c r="P27" i="22"/>
  <c r="X18" i="22"/>
  <c r="P22" i="107"/>
  <c r="X16" i="107"/>
  <c r="T92" i="106"/>
  <c r="N22" i="105"/>
  <c r="H61" i="105"/>
  <c r="L61" i="105" s="1"/>
  <c r="V89" i="108"/>
  <c r="H96" i="106"/>
  <c r="J92" i="106"/>
  <c r="T90" i="104"/>
  <c r="D94" i="88"/>
  <c r="L22" i="88"/>
  <c r="N22" i="88" s="1"/>
  <c r="X28" i="83"/>
  <c r="P32" i="83"/>
  <c r="T84" i="81"/>
  <c r="L29" i="76"/>
  <c r="D85" i="76"/>
  <c r="X52" i="74"/>
  <c r="Z52" i="74" s="1"/>
  <c r="P89" i="74"/>
  <c r="P72" i="57"/>
  <c r="X16" i="57"/>
  <c r="H73" i="56"/>
  <c r="N16" i="56"/>
  <c r="L16" i="58"/>
  <c r="D76" i="58"/>
  <c r="T76" i="58"/>
  <c r="Z16" i="58"/>
  <c r="Z73" i="56"/>
  <c r="T77" i="56"/>
  <c r="Z16" i="55"/>
  <c r="T31" i="55"/>
  <c r="H129" i="42"/>
  <c r="F134" i="39"/>
  <c r="F133" i="39"/>
  <c r="F126" i="39"/>
  <c r="F110" i="39"/>
  <c r="F106" i="39"/>
  <c r="F94" i="39"/>
  <c r="F93" i="39"/>
  <c r="F66" i="39"/>
  <c r="F65" i="39"/>
  <c r="F58" i="39"/>
  <c r="F54" i="39"/>
  <c r="F121" i="39"/>
  <c r="F117" i="39"/>
  <c r="F101" i="39"/>
  <c r="F100" i="39"/>
  <c r="F73" i="39"/>
  <c r="F72" i="39"/>
  <c r="F49" i="39"/>
  <c r="F45" i="39"/>
  <c r="F41" i="39"/>
  <c r="F137" i="39"/>
  <c r="F128" i="39"/>
  <c r="F127" i="39"/>
  <c r="F112" i="39"/>
  <c r="F111" i="39"/>
  <c r="F96" i="39"/>
  <c r="F95" i="39"/>
  <c r="F84" i="39"/>
  <c r="F68" i="39"/>
  <c r="F67" i="39"/>
  <c r="F32" i="39"/>
  <c r="F31" i="39"/>
  <c r="F138" i="39"/>
  <c r="F136" i="39"/>
  <c r="F107" i="39"/>
  <c r="F75" i="39"/>
  <c r="F74" i="39"/>
  <c r="F59" i="39"/>
  <c r="F55" i="39"/>
  <c r="F51" i="39"/>
  <c r="F50" i="39"/>
  <c r="F139" i="39"/>
  <c r="F130" i="39"/>
  <c r="F129" i="39"/>
  <c r="F122" i="39"/>
  <c r="F118" i="39"/>
  <c r="F114" i="39"/>
  <c r="F113" i="39"/>
  <c r="F102" i="39"/>
  <c r="F86" i="39"/>
  <c r="F85" i="39"/>
  <c r="F46" i="39"/>
  <c r="F42" i="39"/>
  <c r="F140" i="39"/>
  <c r="F97" i="39"/>
  <c r="F77" i="39"/>
  <c r="F76" i="39"/>
  <c r="F69" i="39"/>
  <c r="F33" i="39"/>
  <c r="F131" i="39"/>
  <c r="F123" i="39"/>
  <c r="F119" i="39"/>
  <c r="F115" i="39"/>
  <c r="F103" i="39"/>
  <c r="F79" i="39"/>
  <c r="F78" i="39"/>
  <c r="F47" i="39"/>
  <c r="F43" i="39"/>
  <c r="F144" i="39"/>
  <c r="F98" i="39"/>
  <c r="F90" i="39"/>
  <c r="F89" i="39"/>
  <c r="F70" i="39"/>
  <c r="F62" i="39"/>
  <c r="F61" i="39"/>
  <c r="F34" i="39"/>
  <c r="L12" i="39"/>
  <c r="N12" i="39" s="1"/>
  <c r="F125" i="39"/>
  <c r="F124" i="39"/>
  <c r="F132" i="39"/>
  <c r="F120" i="39"/>
  <c r="F116" i="39"/>
  <c r="F92" i="39"/>
  <c r="F91" i="39"/>
  <c r="F64" i="39"/>
  <c r="F63" i="39"/>
  <c r="F80" i="39"/>
  <c r="F57" i="39"/>
  <c r="F108" i="39"/>
  <c r="F83" i="39"/>
  <c r="F105" i="39"/>
  <c r="F99" i="39"/>
  <c r="F87" i="39"/>
  <c r="F81" i="39"/>
  <c r="F52" i="39"/>
  <c r="D36" i="39"/>
  <c r="F56" i="39"/>
  <c r="F109" i="39"/>
  <c r="F71" i="39"/>
  <c r="F48" i="39"/>
  <c r="F60" i="39"/>
  <c r="F44" i="39"/>
  <c r="F40" i="39"/>
  <c r="F104" i="39"/>
  <c r="F39" i="39"/>
  <c r="F88" i="39"/>
  <c r="F53" i="39"/>
  <c r="F38" i="39"/>
  <c r="F82" i="39"/>
  <c r="H101" i="33"/>
  <c r="N37" i="33"/>
  <c r="R91" i="33"/>
  <c r="R80" i="33"/>
  <c r="R79" i="33"/>
  <c r="R59" i="33"/>
  <c r="R55" i="33"/>
  <c r="R95" i="33"/>
  <c r="R81" i="33"/>
  <c r="R96" i="33"/>
  <c r="R72" i="33"/>
  <c r="R61" i="33"/>
  <c r="R60" i="33"/>
  <c r="R56" i="33"/>
  <c r="R52" i="33"/>
  <c r="R97" i="33"/>
  <c r="R87" i="33"/>
  <c r="R98" i="33"/>
  <c r="R83" i="33"/>
  <c r="R82" i="33"/>
  <c r="R63" i="33"/>
  <c r="R62" i="33"/>
  <c r="R99" i="33"/>
  <c r="R74" i="33"/>
  <c r="R73" i="33"/>
  <c r="R89" i="33"/>
  <c r="R88" i="33"/>
  <c r="R84" i="33"/>
  <c r="R65" i="33"/>
  <c r="R64" i="33"/>
  <c r="R103" i="33"/>
  <c r="R85" i="33"/>
  <c r="R78" i="33"/>
  <c r="R77" i="33"/>
  <c r="R75" i="33"/>
  <c r="R71" i="33"/>
  <c r="R69" i="33"/>
  <c r="R67" i="33"/>
  <c r="R32" i="33"/>
  <c r="R54" i="33"/>
  <c r="R51" i="33"/>
  <c r="R46" i="33"/>
  <c r="R42" i="33"/>
  <c r="R57" i="33"/>
  <c r="R33" i="33"/>
  <c r="R76" i="33"/>
  <c r="R47" i="33"/>
  <c r="R43" i="33"/>
  <c r="R70" i="33"/>
  <c r="R34" i="33"/>
  <c r="R30" i="33"/>
  <c r="R68" i="33"/>
  <c r="R48" i="33"/>
  <c r="R44" i="33"/>
  <c r="X12" i="33"/>
  <c r="Z12" i="33" s="1"/>
  <c r="R93" i="33"/>
  <c r="R58" i="33"/>
  <c r="R53" i="33"/>
  <c r="R40" i="33"/>
  <c r="R35" i="33"/>
  <c r="R31" i="33"/>
  <c r="R94" i="33"/>
  <c r="R86" i="33"/>
  <c r="R50" i="33"/>
  <c r="R49" i="33"/>
  <c r="R45" i="33"/>
  <c r="R41" i="33"/>
  <c r="P37" i="33"/>
  <c r="R66" i="33"/>
  <c r="R39" i="33"/>
  <c r="R90" i="33"/>
  <c r="H115" i="27"/>
  <c r="N16" i="9"/>
  <c r="H98" i="9"/>
  <c r="F100" i="21"/>
  <c r="F96" i="21"/>
  <c r="F102" i="21"/>
  <c r="F101" i="21"/>
  <c r="F106" i="21"/>
  <c r="F105" i="21"/>
  <c r="F98" i="21"/>
  <c r="F112" i="21"/>
  <c r="F99" i="21"/>
  <c r="F87" i="21"/>
  <c r="F79" i="21"/>
  <c r="F78" i="21"/>
  <c r="F67" i="21"/>
  <c r="F66" i="21"/>
  <c r="F27" i="21"/>
  <c r="F97" i="21"/>
  <c r="F94" i="21"/>
  <c r="F93" i="21"/>
  <c r="F58" i="21"/>
  <c r="F57" i="21"/>
  <c r="F50" i="21"/>
  <c r="F46" i="21"/>
  <c r="F81" i="21"/>
  <c r="F80" i="21"/>
  <c r="F69" i="21"/>
  <c r="F68" i="21"/>
  <c r="F41" i="21"/>
  <c r="F37" i="21"/>
  <c r="F33" i="21"/>
  <c r="F32" i="21"/>
  <c r="F88" i="21"/>
  <c r="F60" i="21"/>
  <c r="F59" i="21"/>
  <c r="F31" i="21"/>
  <c r="F29" i="21"/>
  <c r="F104" i="21"/>
  <c r="F95" i="21"/>
  <c r="F71" i="21"/>
  <c r="F70" i="21"/>
  <c r="F51" i="21"/>
  <c r="F47" i="21"/>
  <c r="F43" i="21"/>
  <c r="F42" i="21"/>
  <c r="D29" i="21"/>
  <c r="F82" i="21"/>
  <c r="F38" i="21"/>
  <c r="F34" i="21"/>
  <c r="F89" i="21"/>
  <c r="F73" i="21"/>
  <c r="F72" i="21"/>
  <c r="F61" i="21"/>
  <c r="F25" i="21"/>
  <c r="F24" i="21"/>
  <c r="F84" i="21"/>
  <c r="F83" i="21"/>
  <c r="F52" i="21"/>
  <c r="F48" i="21"/>
  <c r="F44" i="21"/>
  <c r="F75" i="21"/>
  <c r="F74" i="21"/>
  <c r="F63" i="21"/>
  <c r="F62" i="21"/>
  <c r="F39" i="21"/>
  <c r="F35" i="21"/>
  <c r="F108" i="21"/>
  <c r="F92" i="21"/>
  <c r="F91" i="21"/>
  <c r="F56" i="21"/>
  <c r="F55" i="21"/>
  <c r="F40" i="21"/>
  <c r="F36" i="21"/>
  <c r="L12" i="21"/>
  <c r="N12" i="21" s="1"/>
  <c r="F45" i="21"/>
  <c r="F103" i="21"/>
  <c r="F64" i="21"/>
  <c r="F49" i="21"/>
  <c r="F76" i="21"/>
  <c r="F53" i="21"/>
  <c r="F86" i="21"/>
  <c r="F90" i="21"/>
  <c r="F65" i="21"/>
  <c r="F85" i="21"/>
  <c r="F77" i="21"/>
  <c r="F54" i="21"/>
  <c r="F26" i="21"/>
  <c r="L16" i="6"/>
  <c r="J301" i="3"/>
  <c r="X18" i="113"/>
  <c r="P27" i="113"/>
  <c r="L18" i="52"/>
  <c r="D27" i="52"/>
  <c r="D27" i="49"/>
  <c r="L18" i="49"/>
  <c r="T27" i="46"/>
  <c r="Z18" i="46"/>
  <c r="H27" i="53"/>
  <c r="N18" i="53"/>
  <c r="L18" i="46"/>
  <c r="D27" i="46"/>
  <c r="Z18" i="13"/>
  <c r="T27" i="13"/>
  <c r="X18" i="4"/>
  <c r="P27" i="4"/>
  <c r="P27" i="13"/>
  <c r="X18" i="13"/>
  <c r="T27" i="8"/>
  <c r="Z18" i="8"/>
  <c r="P60" i="61"/>
  <c r="X16" i="61"/>
  <c r="L16" i="61"/>
  <c r="D60" i="61"/>
  <c r="P58" i="60"/>
  <c r="X16" i="60"/>
  <c r="Z16" i="57"/>
  <c r="T72" i="57"/>
  <c r="V133" i="42"/>
  <c r="R93" i="45"/>
  <c r="R92" i="45"/>
  <c r="R36" i="45"/>
  <c r="R32" i="45"/>
  <c r="R87" i="45"/>
  <c r="R83" i="45"/>
  <c r="R72" i="45"/>
  <c r="R71" i="45"/>
  <c r="R60" i="45"/>
  <c r="R59" i="45"/>
  <c r="R52" i="45"/>
  <c r="R51" i="45"/>
  <c r="R28" i="45"/>
  <c r="R23" i="45"/>
  <c r="R73" i="45"/>
  <c r="R62" i="45"/>
  <c r="R61" i="45"/>
  <c r="R53" i="45"/>
  <c r="R37" i="45"/>
  <c r="R33" i="45"/>
  <c r="R29" i="45"/>
  <c r="P25" i="45"/>
  <c r="R96" i="45"/>
  <c r="R88" i="45"/>
  <c r="R84" i="45"/>
  <c r="R79" i="45"/>
  <c r="R64" i="45"/>
  <c r="R63" i="45"/>
  <c r="R47" i="45"/>
  <c r="R43" i="45"/>
  <c r="R20" i="45"/>
  <c r="R74" i="45"/>
  <c r="R55" i="45"/>
  <c r="R54" i="45"/>
  <c r="R39" i="45"/>
  <c r="R38" i="45"/>
  <c r="R34" i="45"/>
  <c r="R30" i="45"/>
  <c r="R97" i="45"/>
  <c r="R89" i="45"/>
  <c r="R85" i="45"/>
  <c r="R66" i="45"/>
  <c r="R65" i="45"/>
  <c r="R21" i="45"/>
  <c r="R99" i="45"/>
  <c r="R81" i="45"/>
  <c r="R80" i="45"/>
  <c r="R57" i="45"/>
  <c r="R56" i="45"/>
  <c r="R48" i="45"/>
  <c r="R44" i="45"/>
  <c r="R40" i="45"/>
  <c r="X12" i="45"/>
  <c r="Z12" i="45" s="1"/>
  <c r="R91" i="45"/>
  <c r="R90" i="45"/>
  <c r="R86" i="45"/>
  <c r="R82" i="45"/>
  <c r="R58" i="45"/>
  <c r="R22" i="45"/>
  <c r="R94" i="45"/>
  <c r="R35" i="45"/>
  <c r="R69" i="45"/>
  <c r="R41" i="45"/>
  <c r="R77" i="45"/>
  <c r="R49" i="45"/>
  <c r="R45" i="45"/>
  <c r="R95" i="45"/>
  <c r="R67" i="45"/>
  <c r="R27" i="45"/>
  <c r="R103" i="45"/>
  <c r="R75" i="45"/>
  <c r="R70" i="45"/>
  <c r="R50" i="45"/>
  <c r="R68" i="45"/>
  <c r="R31" i="45"/>
  <c r="R42" i="45"/>
  <c r="R46" i="45"/>
  <c r="R76" i="45"/>
  <c r="R78" i="45"/>
  <c r="F62" i="48"/>
  <c r="F54" i="48"/>
  <c r="F53" i="48"/>
  <c r="F42" i="48"/>
  <c r="F41" i="48"/>
  <c r="F67" i="48"/>
  <c r="F58" i="48"/>
  <c r="F57" i="48"/>
  <c r="F46" i="48"/>
  <c r="F45" i="48"/>
  <c r="F38" i="48"/>
  <c r="F34" i="48"/>
  <c r="F66" i="48"/>
  <c r="F29" i="48"/>
  <c r="F25" i="48"/>
  <c r="F21" i="48"/>
  <c r="F20" i="48"/>
  <c r="F48" i="48"/>
  <c r="F47" i="48"/>
  <c r="F19" i="48"/>
  <c r="F15" i="48"/>
  <c r="F71" i="48"/>
  <c r="F59" i="48"/>
  <c r="F39" i="48"/>
  <c r="F61" i="48"/>
  <c r="F60" i="48"/>
  <c r="F52" i="48"/>
  <c r="F51" i="48"/>
  <c r="F40" i="48"/>
  <c r="F36" i="48"/>
  <c r="F32" i="48"/>
  <c r="F50" i="48"/>
  <c r="F43" i="48"/>
  <c r="F30" i="48"/>
  <c r="F55" i="48"/>
  <c r="F28" i="48"/>
  <c r="F64" i="48"/>
  <c r="F37" i="48"/>
  <c r="F35" i="48"/>
  <c r="F26" i="48"/>
  <c r="L12" i="48"/>
  <c r="N12" i="48" s="1"/>
  <c r="F24" i="48"/>
  <c r="F22" i="48"/>
  <c r="F44" i="48"/>
  <c r="F33" i="48"/>
  <c r="F31" i="48"/>
  <c r="F49" i="48"/>
  <c r="F56" i="48"/>
  <c r="F27" i="48"/>
  <c r="F23" i="48"/>
  <c r="F63" i="48"/>
  <c r="D17" i="48"/>
  <c r="F17" i="48" s="1"/>
  <c r="J31" i="36"/>
  <c r="H136" i="36"/>
  <c r="F118" i="42"/>
  <c r="F110" i="42"/>
  <c r="F106" i="42"/>
  <c r="F102" i="42"/>
  <c r="F90" i="42"/>
  <c r="F131" i="42"/>
  <c r="F119" i="42"/>
  <c r="F107" i="42"/>
  <c r="F103" i="42"/>
  <c r="F91" i="42"/>
  <c r="F86" i="42"/>
  <c r="F121" i="42"/>
  <c r="F120" i="42"/>
  <c r="F113" i="42"/>
  <c r="F97" i="42"/>
  <c r="F93" i="42"/>
  <c r="F92" i="42"/>
  <c r="F108" i="42"/>
  <c r="F104" i="42"/>
  <c r="F80" i="42"/>
  <c r="F79" i="42"/>
  <c r="F124" i="42"/>
  <c r="F115" i="42"/>
  <c r="F114" i="42"/>
  <c r="F99" i="42"/>
  <c r="F98" i="42"/>
  <c r="F87" i="42"/>
  <c r="F125" i="42"/>
  <c r="F123" i="42"/>
  <c r="F94" i="42"/>
  <c r="F82" i="42"/>
  <c r="F81" i="42"/>
  <c r="F127" i="42"/>
  <c r="F96" i="42"/>
  <c r="F73" i="42"/>
  <c r="F72" i="42"/>
  <c r="F41" i="42"/>
  <c r="F37" i="42"/>
  <c r="F116" i="42"/>
  <c r="F64" i="42"/>
  <c r="F56" i="42"/>
  <c r="F55" i="42"/>
  <c r="F28" i="42"/>
  <c r="F101" i="42"/>
  <c r="F51" i="42"/>
  <c r="F47" i="42"/>
  <c r="F89" i="42"/>
  <c r="F74" i="42"/>
  <c r="F58" i="42"/>
  <c r="F57" i="42"/>
  <c r="F42" i="42"/>
  <c r="F38" i="42"/>
  <c r="F34" i="42"/>
  <c r="F33" i="42"/>
  <c r="F126" i="42"/>
  <c r="F105" i="42"/>
  <c r="F65" i="42"/>
  <c r="F32" i="42"/>
  <c r="F117" i="42"/>
  <c r="F111" i="42"/>
  <c r="F109" i="42"/>
  <c r="F95" i="42"/>
  <c r="F85" i="42"/>
  <c r="F76" i="42"/>
  <c r="F75" i="42"/>
  <c r="F60" i="42"/>
  <c r="F59" i="42"/>
  <c r="F52" i="42"/>
  <c r="F48" i="42"/>
  <c r="D30" i="42"/>
  <c r="F77" i="42"/>
  <c r="F62" i="42"/>
  <c r="F61" i="42"/>
  <c r="F26" i="42"/>
  <c r="F25" i="42"/>
  <c r="L12" i="42"/>
  <c r="N12" i="42" s="1"/>
  <c r="F69" i="42"/>
  <c r="F68" i="42"/>
  <c r="F53" i="42"/>
  <c r="F49" i="42"/>
  <c r="F45" i="42"/>
  <c r="F44" i="42"/>
  <c r="F100" i="42"/>
  <c r="F78" i="42"/>
  <c r="F40" i="42"/>
  <c r="F36" i="42"/>
  <c r="F88" i="42"/>
  <c r="F84" i="42"/>
  <c r="F71" i="42"/>
  <c r="F70" i="42"/>
  <c r="F63" i="42"/>
  <c r="F27" i="42"/>
  <c r="F35" i="42"/>
  <c r="F66" i="42"/>
  <c r="F46" i="42"/>
  <c r="F39" i="42"/>
  <c r="F43" i="42"/>
  <c r="F112" i="42"/>
  <c r="F67" i="42"/>
  <c r="F50" i="42"/>
  <c r="F83" i="42"/>
  <c r="F54" i="42"/>
  <c r="P129" i="42"/>
  <c r="X30" i="42"/>
  <c r="Z30" i="42" s="1"/>
  <c r="L31" i="36"/>
  <c r="N31" i="36" s="1"/>
  <c r="D136" i="36"/>
  <c r="T140" i="36"/>
  <c r="T249" i="15"/>
  <c r="R29" i="21"/>
  <c r="H266" i="12"/>
  <c r="L22" i="6"/>
  <c r="D26" i="6"/>
  <c r="N18" i="111"/>
  <c r="H27" i="111"/>
  <c r="T27" i="50"/>
  <c r="Z18" i="50"/>
  <c r="T27" i="53"/>
  <c r="Z18" i="53"/>
  <c r="L18" i="47"/>
  <c r="D27" i="47"/>
  <c r="T27" i="47"/>
  <c r="Z18" i="47"/>
  <c r="T27" i="41"/>
  <c r="Z18" i="41"/>
  <c r="P27" i="31"/>
  <c r="X18" i="31"/>
  <c r="H27" i="22"/>
  <c r="N18" i="22"/>
  <c r="X18" i="25"/>
  <c r="P27" i="25"/>
  <c r="P27" i="32"/>
  <c r="X18" i="32"/>
  <c r="H27" i="8"/>
  <c r="N18" i="8"/>
  <c r="T27" i="19"/>
  <c r="Z18" i="19"/>
  <c r="T27" i="7"/>
  <c r="Z18" i="7"/>
  <c r="N27" i="8" l="1"/>
  <c r="H31" i="8"/>
  <c r="X27" i="22"/>
  <c r="P31" i="22"/>
  <c r="D31" i="23"/>
  <c r="L27" i="23"/>
  <c r="D31" i="112"/>
  <c r="L27" i="112"/>
  <c r="T107" i="64"/>
  <c r="X27" i="32"/>
  <c r="P31" i="32"/>
  <c r="T80" i="58"/>
  <c r="X76" i="58"/>
  <c r="Z76" i="58" s="1"/>
  <c r="L27" i="44"/>
  <c r="D31" i="44"/>
  <c r="H73" i="59"/>
  <c r="H107" i="77"/>
  <c r="J103" i="77"/>
  <c r="N22" i="107"/>
  <c r="H26" i="107"/>
  <c r="H67" i="61"/>
  <c r="T75" i="79"/>
  <c r="N27" i="7"/>
  <c r="H31" i="7"/>
  <c r="D31" i="41"/>
  <c r="L27" i="41"/>
  <c r="T31" i="49"/>
  <c r="Z27" i="49"/>
  <c r="D32" i="86"/>
  <c r="L28" i="86"/>
  <c r="F28" i="86"/>
  <c r="P102" i="9"/>
  <c r="X98" i="9"/>
  <c r="Z98" i="9" s="1"/>
  <c r="H31" i="112"/>
  <c r="N27" i="112"/>
  <c r="X27" i="19"/>
  <c r="P31" i="19"/>
  <c r="Z27" i="37"/>
  <c r="T31" i="37"/>
  <c r="X61" i="105"/>
  <c r="Z61" i="105" s="1"/>
  <c r="P65" i="105"/>
  <c r="R61" i="105"/>
  <c r="X23" i="106"/>
  <c r="Z23" i="106" s="1"/>
  <c r="P92" i="106"/>
  <c r="H72" i="79"/>
  <c r="Z27" i="4"/>
  <c r="T31" i="4"/>
  <c r="N27" i="19"/>
  <c r="H31" i="19"/>
  <c r="P31" i="52"/>
  <c r="X27" i="52"/>
  <c r="T73" i="48"/>
  <c r="Z69" i="48"/>
  <c r="V69" i="48"/>
  <c r="T32" i="83"/>
  <c r="Z28" i="83"/>
  <c r="V28" i="83"/>
  <c r="H90" i="102"/>
  <c r="J87" i="102"/>
  <c r="D90" i="104"/>
  <c r="L23" i="104"/>
  <c r="N23" i="104" s="1"/>
  <c r="X27" i="20"/>
  <c r="P31" i="20"/>
  <c r="H67" i="103"/>
  <c r="Z27" i="28"/>
  <c r="T31" i="28"/>
  <c r="N27" i="26"/>
  <c r="H31" i="26"/>
  <c r="Z27" i="53"/>
  <c r="T31" i="53"/>
  <c r="V140" i="36"/>
  <c r="T143" i="36"/>
  <c r="P64" i="61"/>
  <c r="X60" i="61"/>
  <c r="Z60" i="61" s="1"/>
  <c r="N27" i="53"/>
  <c r="H31" i="53"/>
  <c r="H253" i="15"/>
  <c r="J249" i="15"/>
  <c r="D26" i="54"/>
  <c r="L22" i="54"/>
  <c r="D26" i="99"/>
  <c r="L22" i="99"/>
  <c r="D85" i="95"/>
  <c r="L23" i="95"/>
  <c r="N23" i="95" s="1"/>
  <c r="L27" i="10"/>
  <c r="D31" i="10"/>
  <c r="N27" i="34"/>
  <c r="H31" i="34"/>
  <c r="Z27" i="111"/>
  <c r="T31" i="111"/>
  <c r="P31" i="16"/>
  <c r="X27" i="16"/>
  <c r="P31" i="43"/>
  <c r="X27" i="43"/>
  <c r="D119" i="27"/>
  <c r="L115" i="27"/>
  <c r="F115" i="27"/>
  <c r="L103" i="64"/>
  <c r="D107" i="64"/>
  <c r="H126" i="85"/>
  <c r="J122" i="85"/>
  <c r="D249" i="15"/>
  <c r="L144" i="15"/>
  <c r="N144" i="15" s="1"/>
  <c r="V68" i="105"/>
  <c r="Z27" i="29"/>
  <c r="T31" i="29"/>
  <c r="X70" i="24"/>
  <c r="Z70" i="24" s="1"/>
  <c r="P123" i="24"/>
  <c r="T127" i="24"/>
  <c r="V123" i="24"/>
  <c r="T80" i="94"/>
  <c r="V76" i="94"/>
  <c r="X22" i="93"/>
  <c r="Z22" i="93" s="1"/>
  <c r="P80" i="93"/>
  <c r="R22" i="93"/>
  <c r="D26" i="107"/>
  <c r="L22" i="107"/>
  <c r="T31" i="11"/>
  <c r="Z27" i="11"/>
  <c r="P31" i="38"/>
  <c r="X27" i="38"/>
  <c r="D123" i="24"/>
  <c r="L70" i="24"/>
  <c r="N70" i="24" s="1"/>
  <c r="T149" i="30"/>
  <c r="V145" i="30"/>
  <c r="X22" i="70"/>
  <c r="Z22" i="70" s="1"/>
  <c r="P74" i="70"/>
  <c r="H31" i="4"/>
  <c r="N27" i="4"/>
  <c r="T105" i="45"/>
  <c r="V101" i="45"/>
  <c r="P98" i="88"/>
  <c r="X94" i="88"/>
  <c r="Z94" i="88" s="1"/>
  <c r="R94" i="88"/>
  <c r="T53" i="109"/>
  <c r="X52" i="77"/>
  <c r="Z52" i="77" s="1"/>
  <c r="P103" i="77"/>
  <c r="X22" i="82"/>
  <c r="P26" i="82"/>
  <c r="P70" i="103"/>
  <c r="X67" i="103"/>
  <c r="P31" i="25"/>
  <c r="X27" i="25"/>
  <c r="T98" i="92"/>
  <c r="L52" i="51"/>
  <c r="N52" i="51" s="1"/>
  <c r="D103" i="51"/>
  <c r="D80" i="58"/>
  <c r="L76" i="58"/>
  <c r="N76" i="58" s="1"/>
  <c r="H65" i="105"/>
  <c r="L65" i="105" s="1"/>
  <c r="N61" i="105"/>
  <c r="J61" i="105"/>
  <c r="Z27" i="10"/>
  <c r="T31" i="10"/>
  <c r="N27" i="38"/>
  <c r="H31" i="38"/>
  <c r="N27" i="50"/>
  <c r="H31" i="50"/>
  <c r="N27" i="32"/>
  <c r="H31" i="32"/>
  <c r="L27" i="111"/>
  <c r="D31" i="111"/>
  <c r="H87" i="73"/>
  <c r="J84" i="73"/>
  <c r="P31" i="14"/>
  <c r="X27" i="14"/>
  <c r="D68" i="105"/>
  <c r="F65" i="105"/>
  <c r="T278" i="18"/>
  <c r="V274" i="18"/>
  <c r="D50" i="109"/>
  <c r="L46" i="109"/>
  <c r="L78" i="80"/>
  <c r="D82" i="80"/>
  <c r="F78" i="80"/>
  <c r="D145" i="30"/>
  <c r="L61" i="30"/>
  <c r="N61" i="30" s="1"/>
  <c r="T98" i="88"/>
  <c r="V94" i="88"/>
  <c r="L27" i="19"/>
  <c r="D31" i="19"/>
  <c r="L69" i="59"/>
  <c r="N69" i="59" s="1"/>
  <c r="D73" i="59"/>
  <c r="D31" i="13"/>
  <c r="L27" i="13"/>
  <c r="X27" i="40"/>
  <c r="P31" i="40"/>
  <c r="P305" i="3"/>
  <c r="X301" i="3"/>
  <c r="Z301" i="3" s="1"/>
  <c r="R301" i="3"/>
  <c r="P76" i="59"/>
  <c r="P72" i="79"/>
  <c r="X68" i="79"/>
  <c r="Z68" i="79" s="1"/>
  <c r="R68" i="79"/>
  <c r="L24" i="79"/>
  <c r="D68" i="79"/>
  <c r="L27" i="22"/>
  <c r="D31" i="22"/>
  <c r="X69" i="48"/>
  <c r="L28" i="83"/>
  <c r="N28" i="83" s="1"/>
  <c r="D32" i="83"/>
  <c r="F28" i="83"/>
  <c r="T78" i="70"/>
  <c r="V74" i="70"/>
  <c r="Z27" i="112"/>
  <c r="T31" i="112"/>
  <c r="X22" i="72"/>
  <c r="P26" i="72"/>
  <c r="N46" i="109"/>
  <c r="H50" i="109"/>
  <c r="H31" i="22"/>
  <c r="N27" i="22"/>
  <c r="Z27" i="50"/>
  <c r="T31" i="50"/>
  <c r="D140" i="36"/>
  <c r="L136" i="36"/>
  <c r="F136" i="36"/>
  <c r="D129" i="42"/>
  <c r="L30" i="42"/>
  <c r="N30" i="42" s="1"/>
  <c r="F30" i="42"/>
  <c r="P101" i="45"/>
  <c r="X25" i="45"/>
  <c r="Z25" i="45" s="1"/>
  <c r="Z27" i="8"/>
  <c r="T31" i="8"/>
  <c r="T31" i="46"/>
  <c r="Z27" i="46"/>
  <c r="T87" i="81"/>
  <c r="V84" i="81"/>
  <c r="P31" i="50"/>
  <c r="X27" i="50"/>
  <c r="N27" i="14"/>
  <c r="H31" i="14"/>
  <c r="H31" i="37"/>
  <c r="N27" i="37"/>
  <c r="D87" i="89"/>
  <c r="L83" i="89"/>
  <c r="F83" i="89"/>
  <c r="Z27" i="20"/>
  <c r="T31" i="20"/>
  <c r="N27" i="49"/>
  <c r="H31" i="49"/>
  <c r="X110" i="21"/>
  <c r="Z110" i="21" s="1"/>
  <c r="P114" i="21"/>
  <c r="R110" i="21"/>
  <c r="N103" i="64"/>
  <c r="H107" i="64"/>
  <c r="N27" i="10"/>
  <c r="H31" i="10"/>
  <c r="L27" i="37"/>
  <c r="D31" i="37"/>
  <c r="T114" i="21"/>
  <c r="V110" i="21"/>
  <c r="P31" i="7"/>
  <c r="X27" i="7"/>
  <c r="P31" i="35"/>
  <c r="X27" i="35"/>
  <c r="T89" i="76"/>
  <c r="V85" i="76"/>
  <c r="T129" i="85"/>
  <c r="V126" i="85"/>
  <c r="D31" i="5"/>
  <c r="L27" i="5"/>
  <c r="H31" i="29"/>
  <c r="N27" i="29"/>
  <c r="T305" i="3"/>
  <c r="V301" i="3"/>
  <c r="D105" i="33"/>
  <c r="L101" i="33"/>
  <c r="F101" i="33"/>
  <c r="T76" i="110"/>
  <c r="V73" i="110"/>
  <c r="X27" i="5"/>
  <c r="P31" i="5"/>
  <c r="H31" i="35"/>
  <c r="N27" i="35"/>
  <c r="D80" i="93"/>
  <c r="L22" i="93"/>
  <c r="N22" i="93" s="1"/>
  <c r="D305" i="3"/>
  <c r="L301" i="3"/>
  <c r="N301" i="3" s="1"/>
  <c r="F301" i="3"/>
  <c r="N27" i="43"/>
  <c r="H31" i="43"/>
  <c r="N27" i="11"/>
  <c r="H31" i="11"/>
  <c r="P76" i="48"/>
  <c r="X73" i="48"/>
  <c r="R73" i="48"/>
  <c r="P101" i="33"/>
  <c r="X37" i="33"/>
  <c r="Z37" i="33" s="1"/>
  <c r="H99" i="106"/>
  <c r="J96" i="106"/>
  <c r="T82" i="80"/>
  <c r="V78" i="80"/>
  <c r="T76" i="57"/>
  <c r="H102" i="9"/>
  <c r="H133" i="42"/>
  <c r="J129" i="42"/>
  <c r="P35" i="83"/>
  <c r="X32" i="83"/>
  <c r="R32" i="83"/>
  <c r="Z27" i="16"/>
  <c r="T31" i="16"/>
  <c r="N27" i="31"/>
  <c r="H31" i="31"/>
  <c r="T119" i="27"/>
  <c r="V115" i="27"/>
  <c r="H76" i="57"/>
  <c r="Z27" i="43"/>
  <c r="T31" i="43"/>
  <c r="L27" i="25"/>
  <c r="D31" i="25"/>
  <c r="X27" i="41"/>
  <c r="P31" i="41"/>
  <c r="T96" i="108"/>
  <c r="V93" i="108"/>
  <c r="V136" i="42"/>
  <c r="X25" i="73"/>
  <c r="Z25" i="73" s="1"/>
  <c r="P80" i="73"/>
  <c r="H149" i="30"/>
  <c r="J145" i="30"/>
  <c r="X27" i="10"/>
  <c r="P31" i="10"/>
  <c r="L27" i="50"/>
  <c r="D31" i="50"/>
  <c r="P80" i="56"/>
  <c r="X77" i="56"/>
  <c r="P78" i="80"/>
  <c r="X22" i="80"/>
  <c r="Z22" i="80" s="1"/>
  <c r="T84" i="93"/>
  <c r="V80" i="93"/>
  <c r="Z27" i="44"/>
  <c r="T31" i="44"/>
  <c r="Z27" i="17"/>
  <c r="T31" i="17"/>
  <c r="H26" i="6"/>
  <c r="N22" i="6"/>
  <c r="H127" i="24"/>
  <c r="J123" i="24"/>
  <c r="H118" i="75"/>
  <c r="J114" i="75"/>
  <c r="L27" i="11"/>
  <c r="D31" i="11"/>
  <c r="F52" i="51"/>
  <c r="T60" i="100"/>
  <c r="H31" i="23"/>
  <c r="N27" i="23"/>
  <c r="T31" i="34"/>
  <c r="Z27" i="34"/>
  <c r="H35" i="55"/>
  <c r="N31" i="55"/>
  <c r="X85" i="95"/>
  <c r="P89" i="95"/>
  <c r="R85" i="95"/>
  <c r="X27" i="29"/>
  <c r="P31" i="29"/>
  <c r="D274" i="18"/>
  <c r="L167" i="18"/>
  <c r="N167" i="18" s="1"/>
  <c r="P103" i="51"/>
  <c r="X52" i="51"/>
  <c r="Z52" i="51" s="1"/>
  <c r="D80" i="73"/>
  <c r="L25" i="73"/>
  <c r="N25" i="73" s="1"/>
  <c r="L26" i="82"/>
  <c r="D29" i="82"/>
  <c r="L29" i="82" s="1"/>
  <c r="H97" i="104"/>
  <c r="J94" i="104"/>
  <c r="T266" i="12"/>
  <c r="V262" i="12"/>
  <c r="T66" i="68"/>
  <c r="L27" i="29"/>
  <c r="D31" i="29"/>
  <c r="D31" i="49"/>
  <c r="L27" i="49"/>
  <c r="T96" i="106"/>
  <c r="V92" i="106"/>
  <c r="D114" i="75"/>
  <c r="L50" i="75"/>
  <c r="N50" i="75" s="1"/>
  <c r="L27" i="17"/>
  <c r="D31" i="17"/>
  <c r="P31" i="34"/>
  <c r="X27" i="34"/>
  <c r="X27" i="111"/>
  <c r="P31" i="111"/>
  <c r="X31" i="55"/>
  <c r="Z31" i="55" s="1"/>
  <c r="P35" i="55"/>
  <c r="T107" i="77"/>
  <c r="V103" i="77"/>
  <c r="P142" i="39"/>
  <c r="X36" i="39"/>
  <c r="Z36" i="39" s="1"/>
  <c r="H94" i="98"/>
  <c r="J91" i="98"/>
  <c r="N27" i="17"/>
  <c r="H31" i="17"/>
  <c r="N27" i="44"/>
  <c r="H31" i="44"/>
  <c r="H62" i="60"/>
  <c r="L58" i="60"/>
  <c r="N58" i="60" s="1"/>
  <c r="D115" i="71"/>
  <c r="L53" i="71"/>
  <c r="N53" i="71" s="1"/>
  <c r="Z22" i="107"/>
  <c r="T26" i="107"/>
  <c r="N28" i="86"/>
  <c r="H32" i="86"/>
  <c r="J28" i="86"/>
  <c r="X31" i="36"/>
  <c r="Z31" i="36" s="1"/>
  <c r="P136" i="36"/>
  <c r="N27" i="40"/>
  <c r="H31" i="40"/>
  <c r="X22" i="99"/>
  <c r="P26" i="99"/>
  <c r="Z27" i="31"/>
  <c r="T31" i="31"/>
  <c r="N27" i="46"/>
  <c r="H31" i="46"/>
  <c r="L27" i="8"/>
  <c r="D31" i="8"/>
  <c r="L27" i="32"/>
  <c r="D31" i="32"/>
  <c r="L150" i="12"/>
  <c r="N150" i="12" s="1"/>
  <c r="D262" i="12"/>
  <c r="J32" i="83"/>
  <c r="H35" i="83"/>
  <c r="Z27" i="5"/>
  <c r="T31" i="5"/>
  <c r="H26" i="72"/>
  <c r="N22" i="72"/>
  <c r="T96" i="84"/>
  <c r="V92" i="84"/>
  <c r="D142" i="39"/>
  <c r="L36" i="39"/>
  <c r="N36" i="39" s="1"/>
  <c r="Z63" i="103"/>
  <c r="T67" i="103"/>
  <c r="H98" i="88"/>
  <c r="J94" i="88"/>
  <c r="P31" i="31"/>
  <c r="X27" i="31"/>
  <c r="P31" i="13"/>
  <c r="X27" i="13"/>
  <c r="L26" i="6"/>
  <c r="D31" i="6"/>
  <c r="P31" i="4"/>
  <c r="X27" i="4"/>
  <c r="D31" i="52"/>
  <c r="L27" i="52"/>
  <c r="D110" i="21"/>
  <c r="L29" i="21"/>
  <c r="N29" i="21" s="1"/>
  <c r="F36" i="39"/>
  <c r="T35" i="55"/>
  <c r="T105" i="33"/>
  <c r="V101" i="33"/>
  <c r="H119" i="71"/>
  <c r="J115" i="71"/>
  <c r="X144" i="15"/>
  <c r="Z144" i="15" s="1"/>
  <c r="P249" i="15"/>
  <c r="T64" i="61"/>
  <c r="H31" i="13"/>
  <c r="N27" i="13"/>
  <c r="X27" i="46"/>
  <c r="P31" i="46"/>
  <c r="T121" i="75"/>
  <c r="V118" i="75"/>
  <c r="J83" i="94"/>
  <c r="P87" i="98"/>
  <c r="X23" i="98"/>
  <c r="Z23" i="98" s="1"/>
  <c r="R25" i="73"/>
  <c r="N27" i="41"/>
  <c r="H31" i="41"/>
  <c r="F53" i="71"/>
  <c r="T98" i="96"/>
  <c r="V94" i="96"/>
  <c r="L27" i="20"/>
  <c r="D31" i="20"/>
  <c r="H73" i="48"/>
  <c r="J69" i="48"/>
  <c r="R22" i="80"/>
  <c r="D122" i="85"/>
  <c r="L47" i="85"/>
  <c r="N47" i="85" s="1"/>
  <c r="T91" i="98"/>
  <c r="V87" i="98"/>
  <c r="H105" i="45"/>
  <c r="N101" i="45"/>
  <c r="J101" i="45"/>
  <c r="L52" i="74"/>
  <c r="N52" i="74" s="1"/>
  <c r="D89" i="74"/>
  <c r="Z27" i="23"/>
  <c r="T31" i="23"/>
  <c r="P31" i="23"/>
  <c r="X27" i="23"/>
  <c r="Z22" i="6"/>
  <c r="T26" i="6"/>
  <c r="P94" i="96"/>
  <c r="X22" i="96"/>
  <c r="Z22" i="96" s="1"/>
  <c r="Z27" i="26"/>
  <c r="T31" i="26"/>
  <c r="H107" i="51"/>
  <c r="J103" i="51"/>
  <c r="P66" i="68"/>
  <c r="X63" i="68"/>
  <c r="Z63" i="68" s="1"/>
  <c r="P96" i="84"/>
  <c r="X92" i="84"/>
  <c r="Z92" i="84" s="1"/>
  <c r="R92" i="84"/>
  <c r="X27" i="11"/>
  <c r="P31" i="11"/>
  <c r="L27" i="35"/>
  <c r="D31" i="35"/>
  <c r="H87" i="81"/>
  <c r="J84" i="81"/>
  <c r="N78" i="80"/>
  <c r="H82" i="80"/>
  <c r="J78" i="80"/>
  <c r="T253" i="15"/>
  <c r="V249" i="15"/>
  <c r="L85" i="76"/>
  <c r="D89" i="76"/>
  <c r="F85" i="76"/>
  <c r="Z27" i="32"/>
  <c r="T31" i="32"/>
  <c r="D31" i="113"/>
  <c r="L27" i="113"/>
  <c r="Z22" i="82"/>
  <c r="T26" i="82"/>
  <c r="N27" i="113"/>
  <c r="H31" i="113"/>
  <c r="T76" i="101"/>
  <c r="V72" i="101"/>
  <c r="L72" i="57"/>
  <c r="N72" i="57" s="1"/>
  <c r="D76" i="57"/>
  <c r="Z27" i="7"/>
  <c r="T31" i="7"/>
  <c r="X129" i="42"/>
  <c r="Z129" i="42" s="1"/>
  <c r="P133" i="42"/>
  <c r="R129" i="42"/>
  <c r="Z27" i="19"/>
  <c r="T31" i="19"/>
  <c r="Z27" i="41"/>
  <c r="T31" i="41"/>
  <c r="R25" i="45"/>
  <c r="X58" i="60"/>
  <c r="P62" i="60"/>
  <c r="H119" i="27"/>
  <c r="N115" i="27"/>
  <c r="J115" i="27"/>
  <c r="H77" i="56"/>
  <c r="D98" i="88"/>
  <c r="L94" i="88"/>
  <c r="N94" i="88" s="1"/>
  <c r="F94" i="88"/>
  <c r="X22" i="107"/>
  <c r="P26" i="107"/>
  <c r="P31" i="37"/>
  <c r="X27" i="37"/>
  <c r="X27" i="112"/>
  <c r="P31" i="112"/>
  <c r="D89" i="108"/>
  <c r="L22" i="108"/>
  <c r="N22" i="108" s="1"/>
  <c r="X69" i="110"/>
  <c r="Z69" i="110" s="1"/>
  <c r="P73" i="110"/>
  <c r="R69" i="110"/>
  <c r="D31" i="14"/>
  <c r="L27" i="14"/>
  <c r="N27" i="47"/>
  <c r="H31" i="47"/>
  <c r="P83" i="102"/>
  <c r="X23" i="102"/>
  <c r="Z23" i="102" s="1"/>
  <c r="D92" i="106"/>
  <c r="L23" i="106"/>
  <c r="N23" i="106" s="1"/>
  <c r="H31" i="20"/>
  <c r="N27" i="20"/>
  <c r="R23" i="98"/>
  <c r="P76" i="101"/>
  <c r="X72" i="101"/>
  <c r="Z72" i="101" s="1"/>
  <c r="R72" i="101"/>
  <c r="X23" i="104"/>
  <c r="Z23" i="104" s="1"/>
  <c r="P90" i="104"/>
  <c r="Z69" i="59"/>
  <c r="T73" i="59"/>
  <c r="X73" i="59" s="1"/>
  <c r="X27" i="44"/>
  <c r="P31" i="44"/>
  <c r="P31" i="54"/>
  <c r="X26" i="54"/>
  <c r="D92" i="84"/>
  <c r="L22" i="84"/>
  <c r="N22" i="84" s="1"/>
  <c r="L17" i="110"/>
  <c r="N17" i="110" s="1"/>
  <c r="D69" i="110"/>
  <c r="T105" i="9"/>
  <c r="H98" i="96"/>
  <c r="J94" i="96"/>
  <c r="H117" i="21"/>
  <c r="J114" i="21"/>
  <c r="Z27" i="14"/>
  <c r="T31" i="14"/>
  <c r="Z27" i="40"/>
  <c r="T31" i="40"/>
  <c r="P145" i="30"/>
  <c r="X61" i="30"/>
  <c r="Z61" i="30" s="1"/>
  <c r="H31" i="54"/>
  <c r="N26" i="54"/>
  <c r="P122" i="85"/>
  <c r="X47" i="85"/>
  <c r="Z47" i="85" s="1"/>
  <c r="P57" i="100"/>
  <c r="X53" i="100"/>
  <c r="Z53" i="100" s="1"/>
  <c r="X27" i="28"/>
  <c r="P31" i="28"/>
  <c r="L22" i="101"/>
  <c r="N22" i="101" s="1"/>
  <c r="D72" i="101"/>
  <c r="X27" i="17"/>
  <c r="P31" i="17"/>
  <c r="Z27" i="52"/>
  <c r="T31" i="52"/>
  <c r="P262" i="12"/>
  <c r="X150" i="12"/>
  <c r="Z150" i="12" s="1"/>
  <c r="H57" i="100"/>
  <c r="H111" i="69"/>
  <c r="J107" i="69"/>
  <c r="F24" i="79"/>
  <c r="P84" i="81"/>
  <c r="X80" i="81"/>
  <c r="Z80" i="81" s="1"/>
  <c r="R80" i="81"/>
  <c r="H87" i="93"/>
  <c r="J84" i="93"/>
  <c r="P107" i="64"/>
  <c r="X103" i="64"/>
  <c r="Z103" i="64" s="1"/>
  <c r="P50" i="109"/>
  <c r="X46" i="109"/>
  <c r="Z46" i="109" s="1"/>
  <c r="L73" i="56"/>
  <c r="N73" i="56" s="1"/>
  <c r="D77" i="56"/>
  <c r="H96" i="84"/>
  <c r="J92" i="84"/>
  <c r="H93" i="74"/>
  <c r="J89" i="74"/>
  <c r="N27" i="111"/>
  <c r="H31" i="111"/>
  <c r="H140" i="36"/>
  <c r="N136" i="36"/>
  <c r="J136" i="36"/>
  <c r="H269" i="12"/>
  <c r="J266" i="12"/>
  <c r="L17" i="48"/>
  <c r="N17" i="48" s="1"/>
  <c r="D69" i="48"/>
  <c r="D64" i="61"/>
  <c r="L60" i="61"/>
  <c r="N60" i="61" s="1"/>
  <c r="Z27" i="13"/>
  <c r="T31" i="13"/>
  <c r="P31" i="113"/>
  <c r="X27" i="113"/>
  <c r="R37" i="33"/>
  <c r="Z77" i="56"/>
  <c r="T80" i="56"/>
  <c r="T94" i="104"/>
  <c r="V90" i="104"/>
  <c r="H31" i="28"/>
  <c r="N27" i="28"/>
  <c r="T84" i="73"/>
  <c r="V80" i="73"/>
  <c r="L63" i="103"/>
  <c r="N63" i="103" s="1"/>
  <c r="D67" i="103"/>
  <c r="L27" i="4"/>
  <c r="D31" i="4"/>
  <c r="L27" i="28"/>
  <c r="D31" i="28"/>
  <c r="D31" i="53"/>
  <c r="L27" i="53"/>
  <c r="P274" i="18"/>
  <c r="X167" i="18"/>
  <c r="Z167" i="18" s="1"/>
  <c r="L74" i="70"/>
  <c r="N74" i="70" s="1"/>
  <c r="D78" i="70"/>
  <c r="F74" i="70"/>
  <c r="P31" i="49"/>
  <c r="X27" i="49"/>
  <c r="N63" i="68"/>
  <c r="H66" i="68"/>
  <c r="T26" i="72"/>
  <c r="Z22" i="72"/>
  <c r="L26" i="72"/>
  <c r="D29" i="72"/>
  <c r="Z85" i="95"/>
  <c r="T89" i="95"/>
  <c r="V85" i="95"/>
  <c r="X22" i="6"/>
  <c r="P26" i="6"/>
  <c r="T107" i="51"/>
  <c r="V103" i="51"/>
  <c r="T87" i="89"/>
  <c r="V83" i="89"/>
  <c r="X27" i="53"/>
  <c r="P31" i="53"/>
  <c r="D95" i="92"/>
  <c r="L91" i="92"/>
  <c r="N91" i="92" s="1"/>
  <c r="P31" i="26"/>
  <c r="X27" i="26"/>
  <c r="P119" i="71"/>
  <c r="X115" i="71"/>
  <c r="Z115" i="71" s="1"/>
  <c r="R115" i="71"/>
  <c r="P107" i="69"/>
  <c r="X56" i="69"/>
  <c r="Z56" i="69" s="1"/>
  <c r="Z27" i="113"/>
  <c r="T31" i="113"/>
  <c r="T31" i="22"/>
  <c r="Z27" i="22"/>
  <c r="Z27" i="35"/>
  <c r="T31" i="35"/>
  <c r="L27" i="16"/>
  <c r="D31" i="16"/>
  <c r="H149" i="39"/>
  <c r="J146" i="39"/>
  <c r="T111" i="69"/>
  <c r="V107" i="69"/>
  <c r="D103" i="77"/>
  <c r="L52" i="77"/>
  <c r="N52" i="77" s="1"/>
  <c r="P32" i="86"/>
  <c r="X28" i="86"/>
  <c r="Z28" i="86" s="1"/>
  <c r="R28" i="86"/>
  <c r="H73" i="110"/>
  <c r="J69" i="110"/>
  <c r="P95" i="92"/>
  <c r="X91" i="92"/>
  <c r="Z91" i="92" s="1"/>
  <c r="D87" i="98"/>
  <c r="L23" i="98"/>
  <c r="N23" i="98" s="1"/>
  <c r="X27" i="8"/>
  <c r="P31" i="8"/>
  <c r="T31" i="25"/>
  <c r="Z27" i="25"/>
  <c r="Z22" i="99"/>
  <c r="T26" i="99"/>
  <c r="D31" i="43"/>
  <c r="L27" i="43"/>
  <c r="Z27" i="38"/>
  <c r="T31" i="38"/>
  <c r="N27" i="16"/>
  <c r="H31" i="16"/>
  <c r="X53" i="27"/>
  <c r="Z53" i="27" s="1"/>
  <c r="P115" i="27"/>
  <c r="L22" i="81"/>
  <c r="N22" i="81" s="1"/>
  <c r="D80" i="81"/>
  <c r="D83" i="102"/>
  <c r="L23" i="102"/>
  <c r="N23" i="102" s="1"/>
  <c r="T87" i="102"/>
  <c r="V83" i="102"/>
  <c r="Z22" i="54"/>
  <c r="T26" i="54"/>
  <c r="L27" i="7"/>
  <c r="D31" i="7"/>
  <c r="D57" i="100"/>
  <c r="L53" i="100"/>
  <c r="N53" i="100" s="1"/>
  <c r="L98" i="9"/>
  <c r="N98" i="9" s="1"/>
  <c r="D102" i="9"/>
  <c r="P85" i="76"/>
  <c r="X29" i="76"/>
  <c r="Z29" i="76" s="1"/>
  <c r="X89" i="108"/>
  <c r="Z89" i="108" s="1"/>
  <c r="P93" i="108"/>
  <c r="R89" i="108"/>
  <c r="D31" i="38"/>
  <c r="L27" i="38"/>
  <c r="P80" i="94"/>
  <c r="X76" i="94"/>
  <c r="Z76" i="94" s="1"/>
  <c r="R76" i="94"/>
  <c r="R52" i="77"/>
  <c r="H93" i="108"/>
  <c r="J89" i="108"/>
  <c r="T31" i="47"/>
  <c r="Z27" i="47"/>
  <c r="P76" i="57"/>
  <c r="X72" i="57"/>
  <c r="Z72" i="57" s="1"/>
  <c r="D31" i="40"/>
  <c r="L27" i="40"/>
  <c r="L105" i="45"/>
  <c r="D108" i="45"/>
  <c r="F105" i="45"/>
  <c r="N85" i="76"/>
  <c r="H89" i="76"/>
  <c r="J85" i="76"/>
  <c r="L27" i="47"/>
  <c r="D31" i="47"/>
  <c r="L27" i="46"/>
  <c r="D31" i="46"/>
  <c r="H105" i="33"/>
  <c r="N101" i="33"/>
  <c r="J101" i="33"/>
  <c r="P93" i="74"/>
  <c r="X89" i="74"/>
  <c r="Z89" i="74" s="1"/>
  <c r="R89" i="74"/>
  <c r="H310" i="3"/>
  <c r="J305" i="3"/>
  <c r="H87" i="89"/>
  <c r="N83" i="89"/>
  <c r="J83" i="89"/>
  <c r="N27" i="5"/>
  <c r="H31" i="5"/>
  <c r="L27" i="34"/>
  <c r="D31" i="34"/>
  <c r="X27" i="47"/>
  <c r="P31" i="47"/>
  <c r="F23" i="98"/>
  <c r="H83" i="58"/>
  <c r="L56" i="69"/>
  <c r="N56" i="69" s="1"/>
  <c r="D107" i="69"/>
  <c r="T96" i="74"/>
  <c r="V93" i="74"/>
  <c r="L23" i="94"/>
  <c r="N23" i="94" s="1"/>
  <c r="D76" i="94"/>
  <c r="H26" i="99"/>
  <c r="N22" i="99"/>
  <c r="L27" i="31"/>
  <c r="D31" i="31"/>
  <c r="H76" i="101"/>
  <c r="J72" i="101"/>
  <c r="L27" i="26"/>
  <c r="D31" i="26"/>
  <c r="D38" i="55"/>
  <c r="L35" i="55"/>
  <c r="X83" i="89"/>
  <c r="Z83" i="89" s="1"/>
  <c r="P87" i="89"/>
  <c r="R83" i="89"/>
  <c r="F23" i="102"/>
  <c r="T149" i="39"/>
  <c r="V146" i="39"/>
  <c r="Z58" i="60"/>
  <c r="T62" i="60"/>
  <c r="V32" i="86"/>
  <c r="T35" i="86"/>
  <c r="R23" i="106"/>
  <c r="N27" i="25"/>
  <c r="H31" i="25"/>
  <c r="H31" i="52"/>
  <c r="N27" i="52"/>
  <c r="H278" i="18"/>
  <c r="J274" i="18"/>
  <c r="P114" i="75"/>
  <c r="X50" i="75"/>
  <c r="Z50" i="75" s="1"/>
  <c r="T119" i="71"/>
  <c r="V115" i="71"/>
  <c r="L94" i="96"/>
  <c r="N94" i="96" s="1"/>
  <c r="F94" i="96"/>
  <c r="D98" i="96"/>
  <c r="H95" i="92"/>
  <c r="H89" i="95"/>
  <c r="J85" i="95"/>
  <c r="T97" i="104" l="1"/>
  <c r="V94" i="104"/>
  <c r="L26" i="107"/>
  <c r="D29" i="107"/>
  <c r="H29" i="99"/>
  <c r="N29" i="99" s="1"/>
  <c r="N26" i="99"/>
  <c r="D36" i="40"/>
  <c r="L31" i="40"/>
  <c r="V121" i="75"/>
  <c r="D36" i="47"/>
  <c r="L31" i="47"/>
  <c r="H92" i="95"/>
  <c r="J89" i="95"/>
  <c r="T36" i="47"/>
  <c r="Z36" i="47" s="1"/>
  <c r="Z31" i="47"/>
  <c r="Z31" i="113"/>
  <c r="T36" i="113"/>
  <c r="Z36" i="113" s="1"/>
  <c r="X274" i="18"/>
  <c r="Z274" i="18" s="1"/>
  <c r="P278" i="18"/>
  <c r="R274" i="18"/>
  <c r="H114" i="69"/>
  <c r="J111" i="69"/>
  <c r="D76" i="101"/>
  <c r="L72" i="101"/>
  <c r="N72" i="101" s="1"/>
  <c r="F72" i="101"/>
  <c r="Z31" i="40"/>
  <c r="T36" i="40"/>
  <c r="Z36" i="40" s="1"/>
  <c r="L69" i="110"/>
  <c r="N69" i="110" s="1"/>
  <c r="D73" i="110"/>
  <c r="F69" i="110"/>
  <c r="H122" i="27"/>
  <c r="J119" i="27"/>
  <c r="Z31" i="32"/>
  <c r="T36" i="32"/>
  <c r="Z36" i="32" s="1"/>
  <c r="J87" i="81"/>
  <c r="Z31" i="23"/>
  <c r="T36" i="23"/>
  <c r="Z36" i="23" s="1"/>
  <c r="N31" i="41"/>
  <c r="H36" i="41"/>
  <c r="N36" i="41" s="1"/>
  <c r="T38" i="55"/>
  <c r="P36" i="13"/>
  <c r="X31" i="13"/>
  <c r="L31" i="32"/>
  <c r="D36" i="32"/>
  <c r="N31" i="40"/>
  <c r="H36" i="40"/>
  <c r="N36" i="40" s="1"/>
  <c r="L31" i="17"/>
  <c r="D36" i="17"/>
  <c r="H38" i="55"/>
  <c r="L38" i="55" s="1"/>
  <c r="N35" i="55"/>
  <c r="Z31" i="16"/>
  <c r="T36" i="16"/>
  <c r="Z36" i="16" s="1"/>
  <c r="T79" i="57"/>
  <c r="T92" i="76"/>
  <c r="V89" i="76"/>
  <c r="L31" i="37"/>
  <c r="D36" i="37"/>
  <c r="V87" i="81"/>
  <c r="D143" i="36"/>
  <c r="L140" i="36"/>
  <c r="F140" i="36"/>
  <c r="D72" i="79"/>
  <c r="L68" i="79"/>
  <c r="N68" i="79" s="1"/>
  <c r="F68" i="79"/>
  <c r="D149" i="30"/>
  <c r="L145" i="30"/>
  <c r="N145" i="30" s="1"/>
  <c r="F145" i="30"/>
  <c r="X103" i="77"/>
  <c r="Z103" i="77" s="1"/>
  <c r="P107" i="77"/>
  <c r="R103" i="77"/>
  <c r="H36" i="4"/>
  <c r="N36" i="4" s="1"/>
  <c r="N31" i="4"/>
  <c r="D253" i="15"/>
  <c r="L249" i="15"/>
  <c r="N249" i="15" s="1"/>
  <c r="F249" i="15"/>
  <c r="P36" i="16"/>
  <c r="X31" i="16"/>
  <c r="D94" i="104"/>
  <c r="L90" i="104"/>
  <c r="N90" i="104" s="1"/>
  <c r="F90" i="104"/>
  <c r="N31" i="19"/>
  <c r="H36" i="19"/>
  <c r="N36" i="19" s="1"/>
  <c r="X31" i="32"/>
  <c r="P36" i="32"/>
  <c r="L87" i="98"/>
  <c r="N87" i="98" s="1"/>
  <c r="D91" i="98"/>
  <c r="F87" i="98"/>
  <c r="H36" i="28"/>
  <c r="N36" i="28" s="1"/>
  <c r="N31" i="28"/>
  <c r="H96" i="74"/>
  <c r="J93" i="74"/>
  <c r="D36" i="14"/>
  <c r="L31" i="14"/>
  <c r="L76" i="57"/>
  <c r="N76" i="57" s="1"/>
  <c r="D79" i="57"/>
  <c r="H121" i="75"/>
  <c r="J118" i="75"/>
  <c r="H152" i="30"/>
  <c r="J149" i="30"/>
  <c r="L31" i="13"/>
  <c r="D36" i="13"/>
  <c r="F68" i="105"/>
  <c r="D83" i="58"/>
  <c r="L83" i="58" s="1"/>
  <c r="N83" i="58" s="1"/>
  <c r="L80" i="58"/>
  <c r="N80" i="58" s="1"/>
  <c r="T36" i="11"/>
  <c r="Z36" i="11" s="1"/>
  <c r="Z31" i="11"/>
  <c r="T130" i="24"/>
  <c r="V127" i="24"/>
  <c r="Z31" i="111"/>
  <c r="T36" i="111"/>
  <c r="Z36" i="111" s="1"/>
  <c r="Z31" i="53"/>
  <c r="T36" i="53"/>
  <c r="Z36" i="53" s="1"/>
  <c r="X31" i="19"/>
  <c r="P36" i="19"/>
  <c r="T36" i="49"/>
  <c r="Z36" i="49" s="1"/>
  <c r="Z31" i="49"/>
  <c r="J310" i="3"/>
  <c r="D67" i="61"/>
  <c r="L67" i="61" s="1"/>
  <c r="N67" i="61" s="1"/>
  <c r="L64" i="61"/>
  <c r="N64" i="61" s="1"/>
  <c r="X107" i="64"/>
  <c r="P110" i="64"/>
  <c r="P65" i="60"/>
  <c r="X62" i="60"/>
  <c r="Z62" i="60" s="1"/>
  <c r="H110" i="51"/>
  <c r="J107" i="51"/>
  <c r="D126" i="85"/>
  <c r="L122" i="85"/>
  <c r="N122" i="85" s="1"/>
  <c r="F122" i="85"/>
  <c r="N31" i="13"/>
  <c r="H36" i="13"/>
  <c r="N36" i="13" s="1"/>
  <c r="N62" i="60"/>
  <c r="H65" i="60"/>
  <c r="L62" i="60"/>
  <c r="T87" i="93"/>
  <c r="V84" i="93"/>
  <c r="L31" i="25"/>
  <c r="D36" i="25"/>
  <c r="D84" i="93"/>
  <c r="L80" i="93"/>
  <c r="N80" i="93" s="1"/>
  <c r="F80" i="93"/>
  <c r="Z31" i="50"/>
  <c r="T36" i="50"/>
  <c r="Z36" i="50" s="1"/>
  <c r="H281" i="18"/>
  <c r="J278" i="18"/>
  <c r="V149" i="39"/>
  <c r="J76" i="101"/>
  <c r="H79" i="101"/>
  <c r="V96" i="74"/>
  <c r="H92" i="76"/>
  <c r="J89" i="76"/>
  <c r="Z31" i="38"/>
  <c r="T36" i="38"/>
  <c r="Z36" i="38" s="1"/>
  <c r="T114" i="69"/>
  <c r="V111" i="69"/>
  <c r="T90" i="89"/>
  <c r="V87" i="89"/>
  <c r="D36" i="53"/>
  <c r="L31" i="53"/>
  <c r="L69" i="48"/>
  <c r="N69" i="48" s="1"/>
  <c r="D73" i="48"/>
  <c r="F69" i="48"/>
  <c r="X31" i="28"/>
  <c r="P36" i="28"/>
  <c r="Z31" i="14"/>
  <c r="T36" i="14"/>
  <c r="Z36" i="14" s="1"/>
  <c r="P79" i="101"/>
  <c r="X76" i="101"/>
  <c r="Z76" i="101" s="1"/>
  <c r="R76" i="101"/>
  <c r="P36" i="37"/>
  <c r="X31" i="37"/>
  <c r="L31" i="35"/>
  <c r="D36" i="35"/>
  <c r="Z31" i="26"/>
  <c r="T36" i="26"/>
  <c r="Z36" i="26" s="1"/>
  <c r="D93" i="74"/>
  <c r="L89" i="74"/>
  <c r="N89" i="74" s="1"/>
  <c r="F89" i="74"/>
  <c r="P36" i="31"/>
  <c r="X31" i="31"/>
  <c r="H29" i="72"/>
  <c r="N29" i="72" s="1"/>
  <c r="N26" i="72"/>
  <c r="L31" i="8"/>
  <c r="D36" i="8"/>
  <c r="P140" i="36"/>
  <c r="X136" i="36"/>
  <c r="Z136" i="36" s="1"/>
  <c r="R136" i="36"/>
  <c r="N31" i="44"/>
  <c r="H36" i="44"/>
  <c r="N36" i="44" s="1"/>
  <c r="X103" i="51"/>
  <c r="Z103" i="51" s="1"/>
  <c r="P107" i="51"/>
  <c r="R103" i="51"/>
  <c r="Z31" i="34"/>
  <c r="T36" i="34"/>
  <c r="Z36" i="34" s="1"/>
  <c r="P84" i="73"/>
  <c r="X80" i="73"/>
  <c r="Z80" i="73" s="1"/>
  <c r="R80" i="73"/>
  <c r="R76" i="48"/>
  <c r="T310" i="3"/>
  <c r="V305" i="3"/>
  <c r="P36" i="35"/>
  <c r="X31" i="35"/>
  <c r="N31" i="10"/>
  <c r="H36" i="10"/>
  <c r="N36" i="10" s="1"/>
  <c r="T36" i="46"/>
  <c r="Z36" i="46" s="1"/>
  <c r="Z31" i="46"/>
  <c r="T81" i="70"/>
  <c r="V78" i="70"/>
  <c r="D107" i="51"/>
  <c r="L103" i="51"/>
  <c r="N103" i="51" s="1"/>
  <c r="F103" i="51"/>
  <c r="H129" i="85"/>
  <c r="J126" i="85"/>
  <c r="L26" i="54"/>
  <c r="D31" i="54"/>
  <c r="L31" i="54" s="1"/>
  <c r="J90" i="102"/>
  <c r="Z31" i="4"/>
  <c r="T36" i="4"/>
  <c r="Z36" i="4" s="1"/>
  <c r="H110" i="77"/>
  <c r="J107" i="77"/>
  <c r="H98" i="92"/>
  <c r="T67" i="61"/>
  <c r="Z31" i="43"/>
  <c r="T36" i="43"/>
  <c r="Z36" i="43" s="1"/>
  <c r="N31" i="11"/>
  <c r="H36" i="11"/>
  <c r="N36" i="11" s="1"/>
  <c r="P127" i="24"/>
  <c r="X123" i="24"/>
  <c r="Z123" i="24" s="1"/>
  <c r="R123" i="24"/>
  <c r="D36" i="41"/>
  <c r="L31" i="41"/>
  <c r="P89" i="76"/>
  <c r="X85" i="76"/>
  <c r="Z85" i="76" s="1"/>
  <c r="R85" i="76"/>
  <c r="J149" i="39"/>
  <c r="Z31" i="41"/>
  <c r="T36" i="41"/>
  <c r="Z36" i="41" s="1"/>
  <c r="T79" i="101"/>
  <c r="V76" i="101"/>
  <c r="X31" i="11"/>
  <c r="P36" i="11"/>
  <c r="P91" i="98"/>
  <c r="X87" i="98"/>
  <c r="Z87" i="98" s="1"/>
  <c r="R87" i="98"/>
  <c r="X249" i="15"/>
  <c r="Z249" i="15" s="1"/>
  <c r="P253" i="15"/>
  <c r="R249" i="15"/>
  <c r="D114" i="21"/>
  <c r="L110" i="21"/>
  <c r="N110" i="21" s="1"/>
  <c r="F110" i="21"/>
  <c r="N31" i="17"/>
  <c r="H36" i="17"/>
  <c r="N36" i="17" s="1"/>
  <c r="T110" i="77"/>
  <c r="V107" i="77"/>
  <c r="D278" i="18"/>
  <c r="L274" i="18"/>
  <c r="N274" i="18" s="1"/>
  <c r="F274" i="18"/>
  <c r="H36" i="23"/>
  <c r="N36" i="23" s="1"/>
  <c r="N31" i="23"/>
  <c r="H130" i="24"/>
  <c r="J127" i="24"/>
  <c r="X78" i="80"/>
  <c r="Z78" i="80" s="1"/>
  <c r="P82" i="80"/>
  <c r="R78" i="80"/>
  <c r="R35" i="83"/>
  <c r="X31" i="5"/>
  <c r="P36" i="5"/>
  <c r="N31" i="29"/>
  <c r="H36" i="29"/>
  <c r="N36" i="29" s="1"/>
  <c r="P36" i="7"/>
  <c r="X31" i="7"/>
  <c r="H110" i="64"/>
  <c r="H36" i="22"/>
  <c r="N36" i="22" s="1"/>
  <c r="N31" i="22"/>
  <c r="X72" i="79"/>
  <c r="Z72" i="79" s="1"/>
  <c r="P75" i="79"/>
  <c r="R72" i="79"/>
  <c r="L73" i="59"/>
  <c r="D76" i="59"/>
  <c r="L82" i="80"/>
  <c r="D85" i="80"/>
  <c r="F82" i="80"/>
  <c r="L107" i="64"/>
  <c r="N107" i="64" s="1"/>
  <c r="D110" i="64"/>
  <c r="H75" i="79"/>
  <c r="N31" i="7"/>
  <c r="H36" i="7"/>
  <c r="N36" i="7" s="1"/>
  <c r="H96" i="108"/>
  <c r="J93" i="108"/>
  <c r="X73" i="110"/>
  <c r="Z73" i="110" s="1"/>
  <c r="P76" i="110"/>
  <c r="R73" i="110"/>
  <c r="Z31" i="8"/>
  <c r="T36" i="8"/>
  <c r="Z36" i="8" s="1"/>
  <c r="N31" i="34"/>
  <c r="H36" i="34"/>
  <c r="N36" i="34" s="1"/>
  <c r="T110" i="64"/>
  <c r="Z107" i="64"/>
  <c r="H36" i="52"/>
  <c r="N36" i="52" s="1"/>
  <c r="N31" i="52"/>
  <c r="L107" i="69"/>
  <c r="N107" i="69" s="1"/>
  <c r="D111" i="69"/>
  <c r="F107" i="69"/>
  <c r="N31" i="25"/>
  <c r="H36" i="25"/>
  <c r="N36" i="25" s="1"/>
  <c r="L31" i="31"/>
  <c r="D36" i="31"/>
  <c r="L31" i="34"/>
  <c r="D36" i="34"/>
  <c r="P96" i="74"/>
  <c r="X93" i="74"/>
  <c r="Z93" i="74" s="1"/>
  <c r="R93" i="74"/>
  <c r="L108" i="45"/>
  <c r="F108" i="45"/>
  <c r="L102" i="9"/>
  <c r="N102" i="9" s="1"/>
  <c r="D105" i="9"/>
  <c r="L83" i="102"/>
  <c r="N83" i="102" s="1"/>
  <c r="D87" i="102"/>
  <c r="F83" i="102"/>
  <c r="D36" i="43"/>
  <c r="L31" i="43"/>
  <c r="H76" i="110"/>
  <c r="J73" i="110"/>
  <c r="D36" i="4"/>
  <c r="L31" i="4"/>
  <c r="J269" i="12"/>
  <c r="H99" i="84"/>
  <c r="J96" i="84"/>
  <c r="P60" i="100"/>
  <c r="X60" i="100" s="1"/>
  <c r="X57" i="100"/>
  <c r="Z57" i="100" s="1"/>
  <c r="H36" i="20"/>
  <c r="N36" i="20" s="1"/>
  <c r="N31" i="20"/>
  <c r="X94" i="96"/>
  <c r="Z94" i="96" s="1"/>
  <c r="P98" i="96"/>
  <c r="R94" i="96"/>
  <c r="H76" i="48"/>
  <c r="J73" i="48"/>
  <c r="H101" i="88"/>
  <c r="J98" i="88"/>
  <c r="H35" i="86"/>
  <c r="J32" i="86"/>
  <c r="T99" i="106"/>
  <c r="V96" i="106"/>
  <c r="J97" i="104"/>
  <c r="X31" i="29"/>
  <c r="P36" i="29"/>
  <c r="N31" i="43"/>
  <c r="H36" i="43"/>
  <c r="N36" i="43" s="1"/>
  <c r="H36" i="37"/>
  <c r="N36" i="37" s="1"/>
  <c r="N31" i="37"/>
  <c r="H53" i="109"/>
  <c r="L32" i="83"/>
  <c r="N32" i="83" s="1"/>
  <c r="D35" i="83"/>
  <c r="F32" i="83"/>
  <c r="P36" i="14"/>
  <c r="X31" i="14"/>
  <c r="N31" i="38"/>
  <c r="H36" i="38"/>
  <c r="N36" i="38" s="1"/>
  <c r="P84" i="93"/>
  <c r="X80" i="93"/>
  <c r="Z80" i="93" s="1"/>
  <c r="R80" i="93"/>
  <c r="Z31" i="29"/>
  <c r="T36" i="29"/>
  <c r="Z36" i="29" s="1"/>
  <c r="L31" i="10"/>
  <c r="D36" i="10"/>
  <c r="H256" i="15"/>
  <c r="J253" i="15"/>
  <c r="Z31" i="28"/>
  <c r="T36" i="28"/>
  <c r="Z36" i="28" s="1"/>
  <c r="L31" i="44"/>
  <c r="D36" i="44"/>
  <c r="L31" i="112"/>
  <c r="D36" i="112"/>
  <c r="D118" i="75"/>
  <c r="L114" i="75"/>
  <c r="N114" i="75" s="1"/>
  <c r="F114" i="75"/>
  <c r="L31" i="16"/>
  <c r="D36" i="16"/>
  <c r="J117" i="21"/>
  <c r="Z31" i="19"/>
  <c r="T36" i="19"/>
  <c r="Z36" i="19" s="1"/>
  <c r="N31" i="113"/>
  <c r="H36" i="113"/>
  <c r="N36" i="113" s="1"/>
  <c r="T256" i="15"/>
  <c r="V253" i="15"/>
  <c r="H108" i="45"/>
  <c r="N105" i="45"/>
  <c r="J105" i="45"/>
  <c r="L31" i="20"/>
  <c r="D36" i="20"/>
  <c r="D36" i="52"/>
  <c r="L31" i="52"/>
  <c r="T70" i="103"/>
  <c r="X70" i="103" s="1"/>
  <c r="Z67" i="103"/>
  <c r="N31" i="46"/>
  <c r="H36" i="46"/>
  <c r="N36" i="46" s="1"/>
  <c r="X35" i="55"/>
  <c r="Z35" i="55" s="1"/>
  <c r="P38" i="55"/>
  <c r="X38" i="55" s="1"/>
  <c r="Z60" i="100"/>
  <c r="X80" i="56"/>
  <c r="Z80" i="56" s="1"/>
  <c r="H79" i="57"/>
  <c r="T85" i="80"/>
  <c r="V82" i="80"/>
  <c r="D36" i="5"/>
  <c r="L31" i="5"/>
  <c r="N31" i="14"/>
  <c r="H36" i="14"/>
  <c r="N36" i="14" s="1"/>
  <c r="P105" i="45"/>
  <c r="X101" i="45"/>
  <c r="Z101" i="45" s="1"/>
  <c r="R101" i="45"/>
  <c r="L31" i="19"/>
  <c r="D36" i="19"/>
  <c r="P101" i="88"/>
  <c r="X98" i="88"/>
  <c r="R98" i="88"/>
  <c r="T152" i="30"/>
  <c r="V149" i="30"/>
  <c r="N31" i="53"/>
  <c r="H36" i="53"/>
  <c r="N36" i="53" s="1"/>
  <c r="T35" i="83"/>
  <c r="X35" i="83" s="1"/>
  <c r="Z32" i="83"/>
  <c r="V32" i="83"/>
  <c r="X92" i="106"/>
  <c r="Z92" i="106" s="1"/>
  <c r="P96" i="106"/>
  <c r="R92" i="106"/>
  <c r="H36" i="112"/>
  <c r="N36" i="112" s="1"/>
  <c r="N31" i="112"/>
  <c r="L98" i="96"/>
  <c r="N98" i="96" s="1"/>
  <c r="D101" i="96"/>
  <c r="F98" i="96"/>
  <c r="Z26" i="72"/>
  <c r="T29" i="72"/>
  <c r="Z29" i="72" s="1"/>
  <c r="L89" i="76"/>
  <c r="N89" i="76" s="1"/>
  <c r="D92" i="76"/>
  <c r="F89" i="76"/>
  <c r="Z31" i="5"/>
  <c r="T36" i="5"/>
  <c r="Z36" i="5" s="1"/>
  <c r="T269" i="12"/>
  <c r="V266" i="12"/>
  <c r="H36" i="35"/>
  <c r="N36" i="35" s="1"/>
  <c r="N31" i="35"/>
  <c r="D90" i="89"/>
  <c r="L87" i="89"/>
  <c r="F87" i="89"/>
  <c r="N31" i="26"/>
  <c r="H36" i="26"/>
  <c r="N36" i="26" s="1"/>
  <c r="N73" i="59"/>
  <c r="H76" i="59"/>
  <c r="X87" i="89"/>
  <c r="Z87" i="89" s="1"/>
  <c r="P90" i="89"/>
  <c r="R87" i="89"/>
  <c r="L80" i="81"/>
  <c r="N80" i="81" s="1"/>
  <c r="D84" i="81"/>
  <c r="F80" i="81"/>
  <c r="Z26" i="99"/>
  <c r="T29" i="99"/>
  <c r="Z29" i="99" s="1"/>
  <c r="P122" i="71"/>
  <c r="X119" i="71"/>
  <c r="R119" i="71"/>
  <c r="T110" i="51"/>
  <c r="V107" i="51"/>
  <c r="L77" i="56"/>
  <c r="D80" i="56"/>
  <c r="X31" i="44"/>
  <c r="P36" i="44"/>
  <c r="N31" i="5"/>
  <c r="H36" i="5"/>
  <c r="N36" i="5" s="1"/>
  <c r="X80" i="94"/>
  <c r="P83" i="94"/>
  <c r="R80" i="94"/>
  <c r="X26" i="6"/>
  <c r="P31" i="6"/>
  <c r="X31" i="6" s="1"/>
  <c r="P36" i="49"/>
  <c r="X31" i="49"/>
  <c r="L67" i="103"/>
  <c r="N67" i="103" s="1"/>
  <c r="D70" i="103"/>
  <c r="L70" i="103" s="1"/>
  <c r="P87" i="81"/>
  <c r="X84" i="81"/>
  <c r="Z84" i="81" s="1"/>
  <c r="R84" i="81"/>
  <c r="P266" i="12"/>
  <c r="X262" i="12"/>
  <c r="Z262" i="12" s="1"/>
  <c r="R262" i="12"/>
  <c r="P126" i="85"/>
  <c r="X122" i="85"/>
  <c r="Z122" i="85" s="1"/>
  <c r="R122" i="85"/>
  <c r="D96" i="106"/>
  <c r="L92" i="106"/>
  <c r="N92" i="106" s="1"/>
  <c r="F92" i="106"/>
  <c r="L98" i="88"/>
  <c r="N98" i="88" s="1"/>
  <c r="D101" i="88"/>
  <c r="F98" i="88"/>
  <c r="J35" i="83"/>
  <c r="Z26" i="107"/>
  <c r="T29" i="107"/>
  <c r="Z29" i="107" s="1"/>
  <c r="J94" i="98"/>
  <c r="N26" i="6"/>
  <c r="H31" i="6"/>
  <c r="L31" i="50"/>
  <c r="D36" i="50"/>
  <c r="V76" i="110"/>
  <c r="X114" i="21"/>
  <c r="Z114" i="21" s="1"/>
  <c r="P117" i="21"/>
  <c r="R114" i="21"/>
  <c r="D53" i="109"/>
  <c r="L50" i="109"/>
  <c r="N50" i="109" s="1"/>
  <c r="Z31" i="10"/>
  <c r="T36" i="10"/>
  <c r="Z36" i="10" s="1"/>
  <c r="P36" i="25"/>
  <c r="X31" i="25"/>
  <c r="L66" i="68"/>
  <c r="N66" i="68" s="1"/>
  <c r="D36" i="23"/>
  <c r="L31" i="23"/>
  <c r="J87" i="93"/>
  <c r="Z26" i="82"/>
  <c r="T29" i="82"/>
  <c r="Z29" i="82" s="1"/>
  <c r="P99" i="84"/>
  <c r="X96" i="84"/>
  <c r="R96" i="84"/>
  <c r="H122" i="71"/>
  <c r="J119" i="71"/>
  <c r="Z31" i="31"/>
  <c r="T36" i="31"/>
  <c r="Z36" i="31" s="1"/>
  <c r="X31" i="111"/>
  <c r="P36" i="111"/>
  <c r="D36" i="49"/>
  <c r="L31" i="49"/>
  <c r="L31" i="11"/>
  <c r="D36" i="11"/>
  <c r="Z31" i="17"/>
  <c r="T36" i="17"/>
  <c r="Z36" i="17" s="1"/>
  <c r="V96" i="108"/>
  <c r="T122" i="27"/>
  <c r="V119" i="27"/>
  <c r="L31" i="22"/>
  <c r="D36" i="22"/>
  <c r="J87" i="73"/>
  <c r="L119" i="27"/>
  <c r="N119" i="27" s="1"/>
  <c r="D122" i="27"/>
  <c r="F119" i="27"/>
  <c r="D89" i="95"/>
  <c r="L85" i="95"/>
  <c r="N85" i="95" s="1"/>
  <c r="F85" i="95"/>
  <c r="H70" i="103"/>
  <c r="X102" i="9"/>
  <c r="Z102" i="9" s="1"/>
  <c r="P105" i="9"/>
  <c r="X105" i="9" s="1"/>
  <c r="T83" i="58"/>
  <c r="X80" i="58"/>
  <c r="Z80" i="58" s="1"/>
  <c r="X31" i="22"/>
  <c r="P36" i="22"/>
  <c r="X31" i="47"/>
  <c r="P36" i="47"/>
  <c r="P111" i="69"/>
  <c r="X107" i="69"/>
  <c r="Z107" i="69" s="1"/>
  <c r="R107" i="69"/>
  <c r="H60" i="100"/>
  <c r="H108" i="33"/>
  <c r="J105" i="33"/>
  <c r="P119" i="27"/>
  <c r="X115" i="27"/>
  <c r="Z115" i="27" s="1"/>
  <c r="R115" i="27"/>
  <c r="P36" i="26"/>
  <c r="X31" i="26"/>
  <c r="Z26" i="6"/>
  <c r="T31" i="6"/>
  <c r="D80" i="94"/>
  <c r="L76" i="94"/>
  <c r="N76" i="94" s="1"/>
  <c r="F76" i="94"/>
  <c r="T36" i="25"/>
  <c r="Z36" i="25" s="1"/>
  <c r="Z31" i="25"/>
  <c r="P36" i="113"/>
  <c r="X31" i="113"/>
  <c r="X50" i="109"/>
  <c r="Z50" i="109" s="1"/>
  <c r="P53" i="109"/>
  <c r="X53" i="109" s="1"/>
  <c r="Z53" i="109" s="1"/>
  <c r="H101" i="96"/>
  <c r="J98" i="96"/>
  <c r="P87" i="102"/>
  <c r="X83" i="102"/>
  <c r="Z83" i="102" s="1"/>
  <c r="R83" i="102"/>
  <c r="N77" i="56"/>
  <c r="H80" i="56"/>
  <c r="X133" i="42"/>
  <c r="Z133" i="42" s="1"/>
  <c r="P136" i="42"/>
  <c r="R133" i="42"/>
  <c r="T94" i="98"/>
  <c r="V91" i="98"/>
  <c r="L31" i="6"/>
  <c r="D146" i="39"/>
  <c r="L142" i="39"/>
  <c r="N142" i="39" s="1"/>
  <c r="F142" i="39"/>
  <c r="L31" i="29"/>
  <c r="D36" i="29"/>
  <c r="X89" i="95"/>
  <c r="P92" i="95"/>
  <c r="R89" i="95"/>
  <c r="X31" i="10"/>
  <c r="P36" i="10"/>
  <c r="H136" i="42"/>
  <c r="J133" i="42"/>
  <c r="J99" i="106"/>
  <c r="V129" i="85"/>
  <c r="N31" i="49"/>
  <c r="H36" i="49"/>
  <c r="N36" i="49" s="1"/>
  <c r="P36" i="50"/>
  <c r="X31" i="50"/>
  <c r="D133" i="42"/>
  <c r="L129" i="42"/>
  <c r="N129" i="42" s="1"/>
  <c r="F129" i="42"/>
  <c r="X26" i="72"/>
  <c r="P29" i="72"/>
  <c r="X29" i="72" s="1"/>
  <c r="X305" i="3"/>
  <c r="Z305" i="3" s="1"/>
  <c r="P310" i="3"/>
  <c r="R305" i="3"/>
  <c r="T281" i="18"/>
  <c r="V278" i="18"/>
  <c r="L31" i="111"/>
  <c r="D36" i="111"/>
  <c r="T108" i="45"/>
  <c r="V105" i="45"/>
  <c r="D127" i="24"/>
  <c r="L123" i="24"/>
  <c r="N123" i="24" s="1"/>
  <c r="F123" i="24"/>
  <c r="Z80" i="94"/>
  <c r="T83" i="94"/>
  <c r="V80" i="94"/>
  <c r="X64" i="61"/>
  <c r="Z64" i="61" s="1"/>
  <c r="P67" i="61"/>
  <c r="X67" i="61" s="1"/>
  <c r="X31" i="20"/>
  <c r="P36" i="20"/>
  <c r="Z73" i="48"/>
  <c r="T76" i="48"/>
  <c r="X76" i="48" s="1"/>
  <c r="V73" i="48"/>
  <c r="P68" i="105"/>
  <c r="X65" i="105"/>
  <c r="Z65" i="105" s="1"/>
  <c r="R65" i="105"/>
  <c r="X95" i="92"/>
  <c r="Z95" i="92" s="1"/>
  <c r="P98" i="92"/>
  <c r="X98" i="92" s="1"/>
  <c r="Z98" i="92" s="1"/>
  <c r="P29" i="107"/>
  <c r="X29" i="107" s="1"/>
  <c r="X26" i="107"/>
  <c r="P78" i="70"/>
  <c r="X74" i="70"/>
  <c r="Z74" i="70" s="1"/>
  <c r="R74" i="70"/>
  <c r="T122" i="71"/>
  <c r="Z119" i="71"/>
  <c r="V119" i="71"/>
  <c r="L57" i="100"/>
  <c r="N57" i="100" s="1"/>
  <c r="D60" i="100"/>
  <c r="Z31" i="52"/>
  <c r="T36" i="52"/>
  <c r="Z36" i="52" s="1"/>
  <c r="D93" i="108"/>
  <c r="L89" i="108"/>
  <c r="N89" i="108" s="1"/>
  <c r="F89" i="108"/>
  <c r="P36" i="4"/>
  <c r="X31" i="4"/>
  <c r="V35" i="86"/>
  <c r="L31" i="46"/>
  <c r="D36" i="46"/>
  <c r="D36" i="38"/>
  <c r="L31" i="38"/>
  <c r="X32" i="86"/>
  <c r="Z32" i="86" s="1"/>
  <c r="P35" i="86"/>
  <c r="R32" i="86"/>
  <c r="L78" i="70"/>
  <c r="N78" i="70" s="1"/>
  <c r="D81" i="70"/>
  <c r="F78" i="70"/>
  <c r="N140" i="36"/>
  <c r="H143" i="36"/>
  <c r="J140" i="36"/>
  <c r="N31" i="54"/>
  <c r="N82" i="80"/>
  <c r="H85" i="80"/>
  <c r="J82" i="80"/>
  <c r="P118" i="75"/>
  <c r="X114" i="75"/>
  <c r="Z114" i="75" s="1"/>
  <c r="R114" i="75"/>
  <c r="L31" i="26"/>
  <c r="D36" i="26"/>
  <c r="P79" i="57"/>
  <c r="X79" i="57" s="1"/>
  <c r="X76" i="57"/>
  <c r="Z76" i="57" s="1"/>
  <c r="N31" i="16"/>
  <c r="H36" i="16"/>
  <c r="N36" i="16" s="1"/>
  <c r="X31" i="8"/>
  <c r="P36" i="8"/>
  <c r="D98" i="92"/>
  <c r="L98" i="92" s="1"/>
  <c r="L95" i="92"/>
  <c r="N95" i="92" s="1"/>
  <c r="Z89" i="95"/>
  <c r="T92" i="95"/>
  <c r="V89" i="95"/>
  <c r="Z31" i="13"/>
  <c r="T36" i="13"/>
  <c r="Z36" i="13" s="1"/>
  <c r="N31" i="111"/>
  <c r="H36" i="111"/>
  <c r="N36" i="111" s="1"/>
  <c r="X31" i="17"/>
  <c r="P36" i="17"/>
  <c r="P94" i="104"/>
  <c r="X90" i="104"/>
  <c r="Z90" i="104" s="1"/>
  <c r="R90" i="104"/>
  <c r="H36" i="47"/>
  <c r="N36" i="47" s="1"/>
  <c r="N31" i="47"/>
  <c r="X66" i="68"/>
  <c r="Z66" i="68" s="1"/>
  <c r="T101" i="96"/>
  <c r="V98" i="96"/>
  <c r="X31" i="46"/>
  <c r="P36" i="46"/>
  <c r="T108" i="33"/>
  <c r="V105" i="33"/>
  <c r="D266" i="12"/>
  <c r="L262" i="12"/>
  <c r="N262" i="12" s="1"/>
  <c r="F262" i="12"/>
  <c r="P29" i="99"/>
  <c r="X29" i="99" s="1"/>
  <c r="X26" i="99"/>
  <c r="L115" i="71"/>
  <c r="N115" i="71" s="1"/>
  <c r="D119" i="71"/>
  <c r="F115" i="71"/>
  <c r="X142" i="39"/>
  <c r="Z142" i="39" s="1"/>
  <c r="P146" i="39"/>
  <c r="R142" i="39"/>
  <c r="L80" i="73"/>
  <c r="N80" i="73" s="1"/>
  <c r="D84" i="73"/>
  <c r="F80" i="73"/>
  <c r="Z31" i="44"/>
  <c r="T36" i="44"/>
  <c r="Z36" i="44" s="1"/>
  <c r="N31" i="31"/>
  <c r="H36" i="31"/>
  <c r="N36" i="31" s="1"/>
  <c r="H105" i="9"/>
  <c r="T117" i="21"/>
  <c r="V114" i="21"/>
  <c r="X31" i="40"/>
  <c r="P36" i="40"/>
  <c r="Z98" i="88"/>
  <c r="T101" i="88"/>
  <c r="V98" i="88"/>
  <c r="P29" i="82"/>
  <c r="X29" i="82" s="1"/>
  <c r="X26" i="82"/>
  <c r="P36" i="43"/>
  <c r="X31" i="43"/>
  <c r="D29" i="99"/>
  <c r="L29" i="99" s="1"/>
  <c r="L26" i="99"/>
  <c r="V143" i="36"/>
  <c r="N26" i="107"/>
  <c r="H29" i="107"/>
  <c r="N29" i="107" s="1"/>
  <c r="N31" i="8"/>
  <c r="H36" i="8"/>
  <c r="N36" i="8" s="1"/>
  <c r="T90" i="102"/>
  <c r="V87" i="102"/>
  <c r="L31" i="28"/>
  <c r="D36" i="28"/>
  <c r="D96" i="84"/>
  <c r="L92" i="84"/>
  <c r="N92" i="84" s="1"/>
  <c r="F92" i="84"/>
  <c r="N31" i="50"/>
  <c r="H36" i="50"/>
  <c r="N36" i="50" s="1"/>
  <c r="Z31" i="35"/>
  <c r="T36" i="35"/>
  <c r="Z36" i="35" s="1"/>
  <c r="Z73" i="59"/>
  <c r="T76" i="59"/>
  <c r="L31" i="7"/>
  <c r="D36" i="7"/>
  <c r="T65" i="60"/>
  <c r="H90" i="89"/>
  <c r="N87" i="89"/>
  <c r="J87" i="89"/>
  <c r="X93" i="108"/>
  <c r="Z93" i="108" s="1"/>
  <c r="P96" i="108"/>
  <c r="R93" i="108"/>
  <c r="T31" i="54"/>
  <c r="X31" i="54" s="1"/>
  <c r="Z26" i="54"/>
  <c r="D107" i="77"/>
  <c r="L103" i="77"/>
  <c r="N103" i="77" s="1"/>
  <c r="F103" i="77"/>
  <c r="T36" i="22"/>
  <c r="Z36" i="22" s="1"/>
  <c r="Z31" i="22"/>
  <c r="X31" i="53"/>
  <c r="P36" i="53"/>
  <c r="T87" i="73"/>
  <c r="V84" i="73"/>
  <c r="X145" i="30"/>
  <c r="Z145" i="30" s="1"/>
  <c r="P149" i="30"/>
  <c r="R145" i="30"/>
  <c r="Z105" i="9"/>
  <c r="X31" i="112"/>
  <c r="P36" i="112"/>
  <c r="Z31" i="7"/>
  <c r="T36" i="7"/>
  <c r="Z36" i="7" s="1"/>
  <c r="D36" i="113"/>
  <c r="L31" i="113"/>
  <c r="X31" i="23"/>
  <c r="P36" i="23"/>
  <c r="T99" i="84"/>
  <c r="Z96" i="84"/>
  <c r="V96" i="84"/>
  <c r="X31" i="34"/>
  <c r="P36" i="34"/>
  <c r="X31" i="41"/>
  <c r="P36" i="41"/>
  <c r="P105" i="33"/>
  <c r="X101" i="33"/>
  <c r="Z101" i="33" s="1"/>
  <c r="R101" i="33"/>
  <c r="D310" i="3"/>
  <c r="L305" i="3"/>
  <c r="N305" i="3" s="1"/>
  <c r="F305" i="3"/>
  <c r="L105" i="33"/>
  <c r="N105" i="33" s="1"/>
  <c r="D108" i="33"/>
  <c r="F105" i="33"/>
  <c r="Z31" i="20"/>
  <c r="T36" i="20"/>
  <c r="Z36" i="20" s="1"/>
  <c r="Z31" i="112"/>
  <c r="T36" i="112"/>
  <c r="Z36" i="112" s="1"/>
  <c r="N31" i="32"/>
  <c r="H36" i="32"/>
  <c r="N36" i="32" s="1"/>
  <c r="H68" i="105"/>
  <c r="L68" i="105" s="1"/>
  <c r="N65" i="105"/>
  <c r="J65" i="105"/>
  <c r="X31" i="38"/>
  <c r="P36" i="38"/>
  <c r="P36" i="52"/>
  <c r="X31" i="52"/>
  <c r="Z31" i="37"/>
  <c r="T36" i="37"/>
  <c r="Z36" i="37" s="1"/>
  <c r="D35" i="86"/>
  <c r="L32" i="86"/>
  <c r="N32" i="86" s="1"/>
  <c r="F32" i="86"/>
  <c r="L36" i="41" l="1"/>
  <c r="L36" i="29"/>
  <c r="L36" i="52"/>
  <c r="X36" i="49"/>
  <c r="X36" i="26"/>
  <c r="L36" i="113"/>
  <c r="X36" i="34"/>
  <c r="L36" i="22"/>
  <c r="L36" i="28"/>
  <c r="X36" i="46"/>
  <c r="L36" i="11"/>
  <c r="X36" i="16"/>
  <c r="L36" i="4"/>
  <c r="L36" i="19"/>
  <c r="X36" i="4"/>
  <c r="L36" i="26"/>
  <c r="L36" i="44"/>
  <c r="L36" i="35"/>
  <c r="L36" i="23"/>
  <c r="X36" i="43"/>
  <c r="X36" i="32"/>
  <c r="X36" i="47"/>
  <c r="X36" i="41"/>
  <c r="X36" i="52"/>
  <c r="X36" i="38"/>
  <c r="L36" i="20"/>
  <c r="X36" i="14"/>
  <c r="X36" i="112"/>
  <c r="X36" i="8"/>
  <c r="X36" i="111"/>
  <c r="L36" i="10"/>
  <c r="L36" i="7"/>
  <c r="X36" i="17"/>
  <c r="X36" i="50"/>
  <c r="L36" i="38"/>
  <c r="L36" i="46"/>
  <c r="X36" i="11"/>
  <c r="L36" i="43"/>
  <c r="V110" i="77"/>
  <c r="L36" i="111"/>
  <c r="L133" i="42"/>
  <c r="N133" i="42" s="1"/>
  <c r="D136" i="42"/>
  <c r="F133" i="42"/>
  <c r="X36" i="10"/>
  <c r="J101" i="96"/>
  <c r="X111" i="69"/>
  <c r="Z111" i="69" s="1"/>
  <c r="P114" i="69"/>
  <c r="R111" i="69"/>
  <c r="N70" i="103"/>
  <c r="L53" i="109"/>
  <c r="L101" i="96"/>
  <c r="N101" i="96" s="1"/>
  <c r="F101" i="96"/>
  <c r="P108" i="45"/>
  <c r="X105" i="45"/>
  <c r="Z105" i="45" s="1"/>
  <c r="R105" i="45"/>
  <c r="L36" i="16"/>
  <c r="L105" i="9"/>
  <c r="N105" i="9" s="1"/>
  <c r="V81" i="70"/>
  <c r="L149" i="30"/>
  <c r="N149" i="30" s="1"/>
  <c r="D152" i="30"/>
  <c r="F149" i="30"/>
  <c r="L29" i="72"/>
  <c r="L108" i="33"/>
  <c r="F108" i="33"/>
  <c r="L60" i="100"/>
  <c r="V122" i="27"/>
  <c r="X117" i="21"/>
  <c r="R117" i="21"/>
  <c r="X126" i="85"/>
  <c r="Z126" i="85" s="1"/>
  <c r="P129" i="85"/>
  <c r="R126" i="85"/>
  <c r="V110" i="51"/>
  <c r="V269" i="12"/>
  <c r="V152" i="30"/>
  <c r="N108" i="45"/>
  <c r="J108" i="45"/>
  <c r="J256" i="15"/>
  <c r="X36" i="29"/>
  <c r="D114" i="69"/>
  <c r="L111" i="69"/>
  <c r="N111" i="69" s="1"/>
  <c r="F111" i="69"/>
  <c r="L110" i="64"/>
  <c r="N110" i="64" s="1"/>
  <c r="X82" i="80"/>
  <c r="Z82" i="80" s="1"/>
  <c r="P85" i="80"/>
  <c r="R82" i="80"/>
  <c r="Z67" i="61"/>
  <c r="L36" i="8"/>
  <c r="J92" i="76"/>
  <c r="X65" i="60"/>
  <c r="Z79" i="57"/>
  <c r="V101" i="88"/>
  <c r="V101" i="96"/>
  <c r="V83" i="94"/>
  <c r="V281" i="18"/>
  <c r="X92" i="95"/>
  <c r="Z92" i="95" s="1"/>
  <c r="R92" i="95"/>
  <c r="X136" i="42"/>
  <c r="Z136" i="42" s="1"/>
  <c r="R136" i="42"/>
  <c r="X36" i="22"/>
  <c r="L89" i="95"/>
  <c r="N89" i="95" s="1"/>
  <c r="D92" i="95"/>
  <c r="F89" i="95"/>
  <c r="P87" i="73"/>
  <c r="X84" i="73"/>
  <c r="Z84" i="73" s="1"/>
  <c r="R84" i="73"/>
  <c r="J281" i="18"/>
  <c r="L65" i="60"/>
  <c r="N65" i="60" s="1"/>
  <c r="X110" i="64"/>
  <c r="L79" i="57"/>
  <c r="D75" i="79"/>
  <c r="L72" i="79"/>
  <c r="N72" i="79" s="1"/>
  <c r="F72" i="79"/>
  <c r="P94" i="98"/>
  <c r="X91" i="98"/>
  <c r="Z91" i="98" s="1"/>
  <c r="R91" i="98"/>
  <c r="V99" i="84"/>
  <c r="L96" i="84"/>
  <c r="N96" i="84" s="1"/>
  <c r="D99" i="84"/>
  <c r="F96" i="84"/>
  <c r="X68" i="105"/>
  <c r="Z68" i="105" s="1"/>
  <c r="R68" i="105"/>
  <c r="X36" i="113"/>
  <c r="P122" i="27"/>
  <c r="X119" i="27"/>
  <c r="Z119" i="27" s="1"/>
  <c r="R119" i="27"/>
  <c r="X83" i="94"/>
  <c r="Z83" i="94" s="1"/>
  <c r="R83" i="94"/>
  <c r="L36" i="5"/>
  <c r="V256" i="15"/>
  <c r="L35" i="83"/>
  <c r="N35" i="83" s="1"/>
  <c r="F35" i="83"/>
  <c r="P92" i="76"/>
  <c r="X89" i="76"/>
  <c r="Z89" i="76" s="1"/>
  <c r="R89" i="76"/>
  <c r="N98" i="92"/>
  <c r="J129" i="85"/>
  <c r="X36" i="37"/>
  <c r="L36" i="53"/>
  <c r="L253" i="15"/>
  <c r="N253" i="15" s="1"/>
  <c r="D256" i="15"/>
  <c r="F253" i="15"/>
  <c r="L36" i="40"/>
  <c r="N68" i="105"/>
  <c r="J68" i="105"/>
  <c r="Z65" i="60"/>
  <c r="X149" i="30"/>
  <c r="Z149" i="30" s="1"/>
  <c r="P152" i="30"/>
  <c r="R149" i="30"/>
  <c r="L107" i="77"/>
  <c r="N107" i="77" s="1"/>
  <c r="D110" i="77"/>
  <c r="F107" i="77"/>
  <c r="X36" i="40"/>
  <c r="J143" i="36"/>
  <c r="L122" i="27"/>
  <c r="F122" i="27"/>
  <c r="J122" i="71"/>
  <c r="X266" i="12"/>
  <c r="Z266" i="12" s="1"/>
  <c r="P269" i="12"/>
  <c r="R266" i="12"/>
  <c r="J101" i="88"/>
  <c r="J76" i="110"/>
  <c r="X76" i="110"/>
  <c r="Z76" i="110" s="1"/>
  <c r="R76" i="110"/>
  <c r="J130" i="24"/>
  <c r="L36" i="13"/>
  <c r="L36" i="32"/>
  <c r="D79" i="101"/>
  <c r="L76" i="101"/>
  <c r="N76" i="101" s="1"/>
  <c r="F76" i="101"/>
  <c r="V92" i="95"/>
  <c r="V122" i="71"/>
  <c r="Z76" i="48"/>
  <c r="V76" i="48"/>
  <c r="X310" i="3"/>
  <c r="Z310" i="3" s="1"/>
  <c r="R310" i="3"/>
  <c r="X83" i="58"/>
  <c r="Z83" i="58" s="1"/>
  <c r="L36" i="50"/>
  <c r="X122" i="71"/>
  <c r="Z122" i="71" s="1"/>
  <c r="R122" i="71"/>
  <c r="X96" i="106"/>
  <c r="Z96" i="106" s="1"/>
  <c r="P99" i="106"/>
  <c r="R96" i="106"/>
  <c r="X101" i="88"/>
  <c r="Z101" i="88" s="1"/>
  <c r="R101" i="88"/>
  <c r="D121" i="75"/>
  <c r="L118" i="75"/>
  <c r="N118" i="75" s="1"/>
  <c r="F118" i="75"/>
  <c r="X96" i="74"/>
  <c r="Z96" i="74" s="1"/>
  <c r="R96" i="74"/>
  <c r="L85" i="80"/>
  <c r="F85" i="80"/>
  <c r="X36" i="7"/>
  <c r="V79" i="101"/>
  <c r="V90" i="89"/>
  <c r="V130" i="24"/>
  <c r="L36" i="14"/>
  <c r="L143" i="36"/>
  <c r="N143" i="36" s="1"/>
  <c r="F143" i="36"/>
  <c r="L35" i="86"/>
  <c r="F35" i="86"/>
  <c r="X36" i="23"/>
  <c r="Z31" i="54"/>
  <c r="L84" i="73"/>
  <c r="N84" i="73" s="1"/>
  <c r="D87" i="73"/>
  <c r="F84" i="73"/>
  <c r="D269" i="12"/>
  <c r="L266" i="12"/>
  <c r="N266" i="12" s="1"/>
  <c r="F266" i="12"/>
  <c r="L127" i="24"/>
  <c r="N127" i="24" s="1"/>
  <c r="D130" i="24"/>
  <c r="F127" i="24"/>
  <c r="N108" i="33"/>
  <c r="J108" i="33"/>
  <c r="L101" i="88"/>
  <c r="N101" i="88" s="1"/>
  <c r="F101" i="88"/>
  <c r="L92" i="76"/>
  <c r="N92" i="76" s="1"/>
  <c r="F92" i="76"/>
  <c r="V85" i="80"/>
  <c r="Z70" i="103"/>
  <c r="L36" i="112"/>
  <c r="N53" i="109"/>
  <c r="V99" i="106"/>
  <c r="L36" i="34"/>
  <c r="Z110" i="64"/>
  <c r="D117" i="21"/>
  <c r="L114" i="21"/>
  <c r="N114" i="21" s="1"/>
  <c r="F114" i="21"/>
  <c r="X36" i="35"/>
  <c r="X107" i="51"/>
  <c r="Z107" i="51" s="1"/>
  <c r="P110" i="51"/>
  <c r="R107" i="51"/>
  <c r="X36" i="31"/>
  <c r="X79" i="101"/>
  <c r="Z79" i="101" s="1"/>
  <c r="R79" i="101"/>
  <c r="N38" i="55"/>
  <c r="J114" i="69"/>
  <c r="L29" i="107"/>
  <c r="J90" i="89"/>
  <c r="X90" i="89"/>
  <c r="Z90" i="89" s="1"/>
  <c r="R90" i="89"/>
  <c r="V92" i="76"/>
  <c r="V90" i="102"/>
  <c r="Z117" i="21"/>
  <c r="V117" i="21"/>
  <c r="X118" i="75"/>
  <c r="Z118" i="75" s="1"/>
  <c r="P121" i="75"/>
  <c r="R118" i="75"/>
  <c r="L81" i="70"/>
  <c r="N81" i="70" s="1"/>
  <c r="F81" i="70"/>
  <c r="X36" i="20"/>
  <c r="X36" i="25"/>
  <c r="N31" i="6"/>
  <c r="X87" i="81"/>
  <c r="Z87" i="81" s="1"/>
  <c r="R87" i="81"/>
  <c r="J76" i="48"/>
  <c r="L76" i="59"/>
  <c r="N76" i="59" s="1"/>
  <c r="J110" i="77"/>
  <c r="D110" i="51"/>
  <c r="L107" i="51"/>
  <c r="N107" i="51" s="1"/>
  <c r="F107" i="51"/>
  <c r="J79" i="101"/>
  <c r="L84" i="93"/>
  <c r="N84" i="93" s="1"/>
  <c r="D87" i="93"/>
  <c r="F84" i="93"/>
  <c r="J152" i="30"/>
  <c r="J96" i="74"/>
  <c r="X107" i="77"/>
  <c r="Z107" i="77" s="1"/>
  <c r="P110" i="77"/>
  <c r="R107" i="77"/>
  <c r="X36" i="13"/>
  <c r="N122" i="27"/>
  <c r="J122" i="27"/>
  <c r="J92" i="95"/>
  <c r="P108" i="33"/>
  <c r="X105" i="33"/>
  <c r="Z105" i="33" s="1"/>
  <c r="R105" i="33"/>
  <c r="X96" i="108"/>
  <c r="Z96" i="108" s="1"/>
  <c r="R96" i="108"/>
  <c r="V108" i="33"/>
  <c r="P81" i="70"/>
  <c r="X78" i="70"/>
  <c r="Z78" i="70" s="1"/>
  <c r="R78" i="70"/>
  <c r="V108" i="45"/>
  <c r="D149" i="39"/>
  <c r="L146" i="39"/>
  <c r="N146" i="39" s="1"/>
  <c r="F146" i="39"/>
  <c r="X87" i="102"/>
  <c r="Z87" i="102" s="1"/>
  <c r="P90" i="102"/>
  <c r="R87" i="102"/>
  <c r="D83" i="94"/>
  <c r="L80" i="94"/>
  <c r="N80" i="94" s="1"/>
  <c r="F80" i="94"/>
  <c r="N60" i="100"/>
  <c r="X99" i="84"/>
  <c r="Z99" i="84" s="1"/>
  <c r="R99" i="84"/>
  <c r="X36" i="44"/>
  <c r="X76" i="59"/>
  <c r="Z76" i="59" s="1"/>
  <c r="L36" i="31"/>
  <c r="J96" i="108"/>
  <c r="X36" i="5"/>
  <c r="X253" i="15"/>
  <c r="Z253" i="15" s="1"/>
  <c r="P256" i="15"/>
  <c r="R253" i="15"/>
  <c r="P130" i="24"/>
  <c r="X127" i="24"/>
  <c r="Z127" i="24" s="1"/>
  <c r="R127" i="24"/>
  <c r="V114" i="69"/>
  <c r="L36" i="25"/>
  <c r="D129" i="85"/>
  <c r="L126" i="85"/>
  <c r="N126" i="85" s="1"/>
  <c r="F126" i="85"/>
  <c r="L94" i="104"/>
  <c r="N94" i="104" s="1"/>
  <c r="D97" i="104"/>
  <c r="F94" i="104"/>
  <c r="L36" i="37"/>
  <c r="Z38" i="55"/>
  <c r="L119" i="71"/>
  <c r="N119" i="71" s="1"/>
  <c r="D122" i="71"/>
  <c r="F119" i="71"/>
  <c r="X146" i="39"/>
  <c r="Z146" i="39" s="1"/>
  <c r="P149" i="39"/>
  <c r="R146" i="39"/>
  <c r="P97" i="104"/>
  <c r="X94" i="104"/>
  <c r="Z94" i="104" s="1"/>
  <c r="R94" i="104"/>
  <c r="N85" i="80"/>
  <c r="J85" i="80"/>
  <c r="J136" i="42"/>
  <c r="Z31" i="6"/>
  <c r="L84" i="81"/>
  <c r="N84" i="81" s="1"/>
  <c r="D87" i="81"/>
  <c r="F84" i="81"/>
  <c r="L90" i="89"/>
  <c r="N90" i="89" s="1"/>
  <c r="F90" i="89"/>
  <c r="Z35" i="83"/>
  <c r="V35" i="83"/>
  <c r="N79" i="57"/>
  <c r="P87" i="93"/>
  <c r="X84" i="93"/>
  <c r="Z84" i="93" s="1"/>
  <c r="R84" i="93"/>
  <c r="N35" i="86"/>
  <c r="J35" i="86"/>
  <c r="J99" i="84"/>
  <c r="L87" i="102"/>
  <c r="N87" i="102" s="1"/>
  <c r="D90" i="102"/>
  <c r="F87" i="102"/>
  <c r="V310" i="3"/>
  <c r="D96" i="74"/>
  <c r="L93" i="74"/>
  <c r="N93" i="74" s="1"/>
  <c r="F93" i="74"/>
  <c r="X36" i="28"/>
  <c r="X278" i="18"/>
  <c r="Z278" i="18" s="1"/>
  <c r="P281" i="18"/>
  <c r="R278" i="18"/>
  <c r="V97" i="104"/>
  <c r="V94" i="98"/>
  <c r="P143" i="36"/>
  <c r="X140" i="36"/>
  <c r="Z140" i="36" s="1"/>
  <c r="R140" i="36"/>
  <c r="L73" i="48"/>
  <c r="N73" i="48" s="1"/>
  <c r="D76" i="48"/>
  <c r="F73" i="48"/>
  <c r="V87" i="93"/>
  <c r="D94" i="98"/>
  <c r="L91" i="98"/>
  <c r="N91" i="98" s="1"/>
  <c r="F91" i="98"/>
  <c r="L310" i="3"/>
  <c r="N310" i="3" s="1"/>
  <c r="F310" i="3"/>
  <c r="V87" i="73"/>
  <c r="X36" i="53"/>
  <c r="X35" i="86"/>
  <c r="Z35" i="86" s="1"/>
  <c r="R35" i="86"/>
  <c r="L93" i="108"/>
  <c r="N93" i="108" s="1"/>
  <c r="D96" i="108"/>
  <c r="F93" i="108"/>
  <c r="L36" i="49"/>
  <c r="L96" i="106"/>
  <c r="N96" i="106" s="1"/>
  <c r="D99" i="106"/>
  <c r="F96" i="106"/>
  <c r="L80" i="56"/>
  <c r="N80" i="56" s="1"/>
  <c r="X98" i="96"/>
  <c r="Z98" i="96" s="1"/>
  <c r="P101" i="96"/>
  <c r="R98" i="96"/>
  <c r="X75" i="79"/>
  <c r="Z75" i="79" s="1"/>
  <c r="R75" i="79"/>
  <c r="L278" i="18"/>
  <c r="N278" i="18" s="1"/>
  <c r="D281" i="18"/>
  <c r="F278" i="18"/>
  <c r="J110" i="51"/>
  <c r="X36" i="19"/>
  <c r="J121" i="75"/>
  <c r="L36" i="17"/>
  <c r="L73" i="110"/>
  <c r="N73" i="110" s="1"/>
  <c r="D76" i="110"/>
  <c r="F73" i="110"/>
  <c r="L36" i="47"/>
  <c r="X101" i="96" l="1"/>
  <c r="Z101" i="96" s="1"/>
  <c r="R101" i="96"/>
  <c r="L269" i="12"/>
  <c r="N269" i="12" s="1"/>
  <c r="F269" i="12"/>
  <c r="L121" i="75"/>
  <c r="N121" i="75" s="1"/>
  <c r="F121" i="75"/>
  <c r="X114" i="69"/>
  <c r="Z114" i="69" s="1"/>
  <c r="R114" i="69"/>
  <c r="L96" i="74"/>
  <c r="N96" i="74" s="1"/>
  <c r="F96" i="74"/>
  <c r="L87" i="73"/>
  <c r="N87" i="73" s="1"/>
  <c r="F87" i="73"/>
  <c r="X122" i="27"/>
  <c r="Z122" i="27" s="1"/>
  <c r="R122" i="27"/>
  <c r="X143" i="36"/>
  <c r="Z143" i="36" s="1"/>
  <c r="R143" i="36"/>
  <c r="X87" i="93"/>
  <c r="Z87" i="93" s="1"/>
  <c r="R87" i="93"/>
  <c r="L117" i="21"/>
  <c r="N117" i="21" s="1"/>
  <c r="F117" i="21"/>
  <c r="X85" i="80"/>
  <c r="Z85" i="80" s="1"/>
  <c r="R85" i="80"/>
  <c r="X130" i="24"/>
  <c r="Z130" i="24" s="1"/>
  <c r="R130" i="24"/>
  <c r="X99" i="106"/>
  <c r="Z99" i="106" s="1"/>
  <c r="R99" i="106"/>
  <c r="X92" i="76"/>
  <c r="Z92" i="76" s="1"/>
  <c r="R92" i="76"/>
  <c r="L75" i="79"/>
  <c r="N75" i="79" s="1"/>
  <c r="F75" i="79"/>
  <c r="X94" i="98"/>
  <c r="Z94" i="98" s="1"/>
  <c r="R94" i="98"/>
  <c r="L99" i="106"/>
  <c r="N99" i="106" s="1"/>
  <c r="F99" i="106"/>
  <c r="L87" i="93"/>
  <c r="N87" i="93" s="1"/>
  <c r="F87" i="93"/>
  <c r="L92" i="95"/>
  <c r="N92" i="95" s="1"/>
  <c r="F92" i="95"/>
  <c r="X108" i="45"/>
  <c r="Z108" i="45" s="1"/>
  <c r="R108" i="45"/>
  <c r="L149" i="39"/>
  <c r="N149" i="39" s="1"/>
  <c r="F149" i="39"/>
  <c r="L97" i="104"/>
  <c r="N97" i="104" s="1"/>
  <c r="F97" i="104"/>
  <c r="X256" i="15"/>
  <c r="Z256" i="15" s="1"/>
  <c r="R256" i="15"/>
  <c r="X81" i="70"/>
  <c r="Z81" i="70" s="1"/>
  <c r="R81" i="70"/>
  <c r="L256" i="15"/>
  <c r="N256" i="15" s="1"/>
  <c r="F256" i="15"/>
  <c r="L136" i="42"/>
  <c r="N136" i="42" s="1"/>
  <c r="F136" i="42"/>
  <c r="L281" i="18"/>
  <c r="N281" i="18" s="1"/>
  <c r="F281" i="18"/>
  <c r="L94" i="98"/>
  <c r="N94" i="98" s="1"/>
  <c r="F94" i="98"/>
  <c r="L90" i="102"/>
  <c r="N90" i="102" s="1"/>
  <c r="F90" i="102"/>
  <c r="L99" i="84"/>
  <c r="N99" i="84" s="1"/>
  <c r="F99" i="84"/>
  <c r="X87" i="73"/>
  <c r="Z87" i="73" s="1"/>
  <c r="R87" i="73"/>
  <c r="X97" i="104"/>
  <c r="Z97" i="104" s="1"/>
  <c r="R97" i="104"/>
  <c r="L83" i="94"/>
  <c r="N83" i="94" s="1"/>
  <c r="F83" i="94"/>
  <c r="L96" i="108"/>
  <c r="N96" i="108" s="1"/>
  <c r="F96" i="108"/>
  <c r="L130" i="24"/>
  <c r="N130" i="24" s="1"/>
  <c r="F130" i="24"/>
  <c r="L110" i="77"/>
  <c r="N110" i="77" s="1"/>
  <c r="F110" i="77"/>
  <c r="L114" i="69"/>
  <c r="N114" i="69" s="1"/>
  <c r="F114" i="69"/>
  <c r="L152" i="30"/>
  <c r="N152" i="30" s="1"/>
  <c r="F152" i="30"/>
  <c r="L122" i="71"/>
  <c r="N122" i="71" s="1"/>
  <c r="F122" i="71"/>
  <c r="X121" i="75"/>
  <c r="Z121" i="75" s="1"/>
  <c r="R121" i="75"/>
  <c r="X281" i="18"/>
  <c r="Z281" i="18" s="1"/>
  <c r="R281" i="18"/>
  <c r="X149" i="39"/>
  <c r="Z149" i="39" s="1"/>
  <c r="R149" i="39"/>
  <c r="X90" i="102"/>
  <c r="Z90" i="102" s="1"/>
  <c r="R90" i="102"/>
  <c r="L79" i="101"/>
  <c r="N79" i="101" s="1"/>
  <c r="F79" i="101"/>
  <c r="X269" i="12"/>
  <c r="Z269" i="12" s="1"/>
  <c r="R269" i="12"/>
  <c r="X129" i="85"/>
  <c r="Z129" i="85" s="1"/>
  <c r="R129" i="85"/>
  <c r="X108" i="33"/>
  <c r="Z108" i="33" s="1"/>
  <c r="R108" i="33"/>
  <c r="L76" i="110"/>
  <c r="N76" i="110" s="1"/>
  <c r="F76" i="110"/>
  <c r="L87" i="81"/>
  <c r="N87" i="81" s="1"/>
  <c r="F87" i="81"/>
  <c r="L129" i="85"/>
  <c r="N129" i="85" s="1"/>
  <c r="F129" i="85"/>
  <c r="X110" i="77"/>
  <c r="Z110" i="77" s="1"/>
  <c r="R110" i="77"/>
  <c r="X110" i="51"/>
  <c r="Z110" i="51" s="1"/>
  <c r="R110" i="51"/>
  <c r="L76" i="48"/>
  <c r="N76" i="48" s="1"/>
  <c r="F76" i="48"/>
  <c r="L110" i="51"/>
  <c r="N110" i="51" s="1"/>
  <c r="F110" i="51"/>
  <c r="X152" i="30"/>
  <c r="Z152" i="30" s="1"/>
  <c r="R152" i="30"/>
</calcChain>
</file>

<file path=xl/sharedStrings.xml><?xml version="1.0" encoding="utf-8"?>
<sst xmlns="http://schemas.openxmlformats.org/spreadsheetml/2006/main" count="3000" uniqueCount="315">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</sst>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0" fontId="0" fillId="0" borderId="0" xfId="0" applyFont="1" applyFill="1" applyBorder="1"/>
    <xf numFmtId="164" fontId="2" fillId="2" borderId="0" xfId="1" applyNumberFormat="1" applyFont="1" applyFill="1" applyBorder="1"/>
    <xf numFmtId="164" fontId="2" fillId="2" borderId="0" xfId="1" applyNumberFormat="1" applyFont="1" applyFill="1"/>
    <xf numFmtId="0" fontId="2" fillId="2" borderId="1" xfId="0" applyFont="1" applyFill="1" applyBorder="1" applyAlignment="1">
      <alignment horizontal="centerContinuous"/>
    </xf>
    <xf numFmtId="164" fontId="0" fillId="0" borderId="0" xfId="1" applyNumberFormat="1" applyFont="1"/>
    <xf numFmtId="0" fontId="0" fillId="0" borderId="0" xfId="0" applyAlignment="1">
      <alignment horizontal="centerContinuous"/>
    </xf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167" fontId="1" fillId="0" borderId="0" xfId="3" applyNumberFormat="1" applyFont="1" applyFill="1"/>
    <xf numFmtId="168" fontId="2" fillId="2" borderId="2" xfId="2" applyNumberFormat="1" applyFont="1" applyFill="1" applyBorder="1"/>
    <xf numFmtId="0" fontId="2" fillId="0" borderId="0" xfId="0" applyFont="1"/>
    <xf numFmtId="0" fontId="1" fillId="0" borderId="0" xfId="0" applyFont="1"/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7" fontId="2" fillId="0" borderId="0" xfId="3" applyNumberFormat="1" applyFont="1" applyFill="1" applyBorder="1"/>
    <xf numFmtId="167" fontId="2" fillId="2" borderId="4" xfId="3" applyNumberFormat="1" applyFont="1" applyFill="1" applyBorder="1"/>
    <xf numFmtId="0" fontId="0" fillId="0" borderId="0" xfId="0" applyFill="1" applyBorder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49" fontId="1" fillId="0" borderId="0" xfId="0" applyNumberFormat="1" applyFont="1" applyFill="1"/>
    <xf numFmtId="167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/>
    <xf numFmtId="167" fontId="0" fillId="0" borderId="0" xfId="0" applyNumberFormat="1" applyFill="1"/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49" fontId="2" fillId="0" borderId="0" xfId="0" applyNumberFormat="1" applyFont="1" applyFill="1"/>
    <xf numFmtId="0" fontId="0" fillId="0" borderId="0" xfId="0" applyFill="1" applyAlignment="1">
      <alignment horizontal="centerContinuous"/>
    </xf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165" fontId="0" fillId="0" borderId="0" xfId="0" applyNumberFormat="1"/>
    <xf numFmtId="0" fontId="3" fillId="0" borderId="0" xfId="0" applyFont="1"/>
    <xf numFmtId="0" fontId="2" fillId="0" borderId="0" xfId="0" applyFont="1" applyFill="1" applyBorder="1"/>
    <xf numFmtId="0" fontId="4" fillId="0" borderId="0" xfId="0" applyFont="1" applyFill="1"/>
    <xf numFmtId="166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Border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308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","501", " - ", "ID Card Services")</f>
        <v>Department 501 - ID Card Services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30975</v>
      </c>
      <c r="E12" s="4"/>
      <c r="F12" s="12"/>
      <c r="G12" s="4"/>
      <c r="H12" s="4">
        <f>SUM(OSRRefH13x_0)</f>
        <v>167604</v>
      </c>
      <c r="I12" s="4"/>
      <c r="J12" s="12"/>
      <c r="K12" s="4"/>
      <c r="L12" s="4">
        <f t="shared" ref="L12:L13" si="0">+D12-H12</f>
        <v>-136629</v>
      </c>
      <c r="M12" s="4"/>
      <c r="N12" s="12">
        <f t="shared" ref="N12:N13" si="1">IF(H12=0,0,L12/H12)</f>
        <v>-0.81518937495525168</v>
      </c>
      <c r="O12" s="10"/>
      <c r="P12" s="4">
        <f>SUM(OSRRefP13x_0)</f>
        <v>67886</v>
      </c>
      <c r="Q12" s="4"/>
      <c r="R12" s="12"/>
      <c r="S12" s="4"/>
      <c r="T12" s="4">
        <f>SUM(OSRRefT13x_0)</f>
        <v>202444</v>
      </c>
      <c r="U12" s="4"/>
      <c r="V12" s="12"/>
      <c r="W12" s="4"/>
      <c r="X12" s="4">
        <f t="shared" ref="X12:X13" si="2">+P12-T12</f>
        <v>-134558</v>
      </c>
      <c r="Y12" s="4"/>
      <c r="Z12" s="12">
        <f t="shared" ref="Z12:Z13" si="3">IF(T12=0,0,X12/T12)</f>
        <v>-0.66466775997312832</v>
      </c>
    </row>
    <row r="13" spans="1:26" s="24" customFormat="1" hidden="1" outlineLevel="1" x14ac:dyDescent="0.25">
      <c r="A13" s="46"/>
      <c r="B13" s="11" t="str">
        <f>CONCATENATE("          ", "4100", " - ", "NON-TAXABLE SALES")</f>
        <v xml:space="preserve">          4100 - NON-TAXABLE SALES</v>
      </c>
      <c r="C13" s="11"/>
      <c r="D13" s="2">
        <f>--30975</f>
        <v>30975</v>
      </c>
      <c r="E13" s="2"/>
      <c r="F13" s="21"/>
      <c r="G13" s="2"/>
      <c r="H13" s="2">
        <v>167604</v>
      </c>
      <c r="I13" s="2"/>
      <c r="J13" s="21"/>
      <c r="K13" s="2"/>
      <c r="L13" s="2">
        <f t="shared" si="0"/>
        <v>-136629</v>
      </c>
      <c r="M13" s="2"/>
      <c r="N13" s="21">
        <f t="shared" si="1"/>
        <v>-0.81518937495525168</v>
      </c>
      <c r="O13" s="11"/>
      <c r="P13" s="2">
        <f>--67886</f>
        <v>67886</v>
      </c>
      <c r="Q13" s="2"/>
      <c r="R13" s="21"/>
      <c r="S13" s="2"/>
      <c r="T13" s="2">
        <v>202444</v>
      </c>
      <c r="U13" s="2"/>
      <c r="V13" s="21"/>
      <c r="W13" s="2"/>
      <c r="X13" s="2">
        <f t="shared" si="2"/>
        <v>-134558</v>
      </c>
      <c r="Y13" s="2"/>
      <c r="Z13" s="21">
        <f t="shared" si="3"/>
        <v>-0.66466775997312832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30975</v>
      </c>
      <c r="E17" s="14"/>
      <c r="F17" s="20">
        <f>IF(D$12=0,0,D17/D$12)</f>
        <v>1</v>
      </c>
      <c r="G17" s="14"/>
      <c r="H17" s="22">
        <f>H12-H15</f>
        <v>167604</v>
      </c>
      <c r="I17" s="14"/>
      <c r="J17" s="20">
        <f>IF(H$12=0,0,H17/H$12)</f>
        <v>1</v>
      </c>
      <c r="K17" s="15"/>
      <c r="L17" s="22">
        <f>+D17-H17</f>
        <v>-136629</v>
      </c>
      <c r="M17" s="15"/>
      <c r="N17" s="20">
        <f>IF(H17=0,0,L17/H17)</f>
        <v>-0.81518937495525168</v>
      </c>
      <c r="O17" s="28"/>
      <c r="P17" s="22">
        <f>P12-P15</f>
        <v>67886</v>
      </c>
      <c r="Q17" s="14"/>
      <c r="R17" s="20">
        <f>IF(P$12=0,0,P17/P$12)</f>
        <v>1</v>
      </c>
      <c r="S17" s="14"/>
      <c r="T17" s="22">
        <f>T12-T15</f>
        <v>202444</v>
      </c>
      <c r="U17" s="14"/>
      <c r="V17" s="20">
        <f>IF(T$12=0,0,T17/T$12)</f>
        <v>1</v>
      </c>
      <c r="W17" s="15"/>
      <c r="X17" s="22">
        <f>+P17-T17</f>
        <v>-134558</v>
      </c>
      <c r="Y17" s="15"/>
      <c r="Z17" s="20">
        <f>IF(T17=0,0,X17/T17)</f>
        <v>-0.66466775997312832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19">
        <f>SUM(OSRRefD22x_0)</f>
        <v>26838.589999999997</v>
      </c>
      <c r="E19" s="19"/>
      <c r="F19" s="34">
        <f t="shared" ref="F19:F29" si="4">IF(D$12=0,0,D19/D$12)</f>
        <v>0.86645972558514917</v>
      </c>
      <c r="G19" s="19"/>
      <c r="H19" s="19">
        <f>SUM(OSRRefH22x_0)</f>
        <v>150115.59112084616</v>
      </c>
      <c r="I19" s="19"/>
      <c r="J19" s="34">
        <f t="shared" ref="J19:J29" si="5">IF(H$12=0,0,H19/H$12)</f>
        <v>0.89565637527055542</v>
      </c>
      <c r="K19" s="4"/>
      <c r="L19" s="19">
        <f t="shared" ref="L19:L29" si="6">+D19-H19</f>
        <v>-123277.00112084617</v>
      </c>
      <c r="M19" s="4"/>
      <c r="N19" s="34">
        <f t="shared" ref="N19:N29" si="7">IF(H19=0,0,L19/H19)</f>
        <v>-0.8212138406170324</v>
      </c>
      <c r="O19" s="10"/>
      <c r="P19" s="19">
        <f>SUM(OSRRefP22x_0)</f>
        <v>64600.19999999999</v>
      </c>
      <c r="Q19" s="19"/>
      <c r="R19" s="34">
        <f t="shared" ref="R19:R29" si="8">IF(P$12=0,0,P19/P$12)</f>
        <v>0.95159826768405842</v>
      </c>
      <c r="S19" s="19"/>
      <c r="T19" s="19">
        <f>SUM(OSRRefT22x_0)</f>
        <v>181885.34439690385</v>
      </c>
      <c r="U19" s="19"/>
      <c r="V19" s="34">
        <f t="shared" ref="V19:V29" si="9">IF(T$12=0,0,T19/T$12)</f>
        <v>0.89844769119807877</v>
      </c>
      <c r="W19" s="4"/>
      <c r="X19" s="19">
        <f t="shared" ref="X19:X29" si="10">+P19-T19</f>
        <v>-117285.14439690387</v>
      </c>
      <c r="Y19" s="4"/>
      <c r="Z19" s="34">
        <f t="shared" ref="Z19:Z29" si="11">IF(T19=0,0,X19/T19)</f>
        <v>-0.64483009769587762</v>
      </c>
    </row>
    <row r="20" spans="1:26" s="26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4226.13</v>
      </c>
      <c r="E20" s="1"/>
      <c r="F20" s="5">
        <f t="shared" si="4"/>
        <v>0.13643680387409202</v>
      </c>
      <c r="G20" s="1"/>
      <c r="H20" s="1">
        <f>SUM(OSRRefH22_0x_0)</f>
        <v>1705.9426593076921</v>
      </c>
      <c r="I20" s="1"/>
      <c r="J20" s="5">
        <f t="shared" si="5"/>
        <v>1.0178412563588531E-2</v>
      </c>
      <c r="K20" s="1"/>
      <c r="L20" s="1">
        <f t="shared" si="6"/>
        <v>2520.1873406923078</v>
      </c>
      <c r="M20" s="1"/>
      <c r="N20" s="5">
        <f t="shared" si="7"/>
        <v>1.4772989742310878</v>
      </c>
      <c r="O20" s="13"/>
      <c r="P20" s="1">
        <f>SUM(OSRRefP22_0x_0)</f>
        <v>8625.48</v>
      </c>
      <c r="Q20" s="1"/>
      <c r="R20" s="5">
        <f t="shared" si="8"/>
        <v>0.12705830362666823</v>
      </c>
      <c r="S20" s="1"/>
      <c r="T20" s="1">
        <f>SUM(OSRRefT22_0x_0)</f>
        <v>4142.885358442305</v>
      </c>
      <c r="U20" s="1"/>
      <c r="V20" s="5">
        <f t="shared" si="9"/>
        <v>2.0464352405812496E-2</v>
      </c>
      <c r="W20" s="1"/>
      <c r="X20" s="1">
        <f t="shared" si="10"/>
        <v>4482.5946415576946</v>
      </c>
      <c r="Y20" s="1"/>
      <c r="Z20" s="5">
        <f t="shared" si="11"/>
        <v>1.0819982340141601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1291.28</v>
      </c>
      <c r="E21" s="2"/>
      <c r="F21" s="7">
        <f t="shared" si="4"/>
        <v>4.1687812752219534E-2</v>
      </c>
      <c r="G21" s="2"/>
      <c r="H21" s="6">
        <v>847.34428084615399</v>
      </c>
      <c r="I21" s="2"/>
      <c r="J21" s="7">
        <f t="shared" si="5"/>
        <v>5.0556328061749957E-3</v>
      </c>
      <c r="K21" s="2"/>
      <c r="L21" s="6">
        <f t="shared" si="6"/>
        <v>443.93571915384598</v>
      </c>
      <c r="M21" s="2"/>
      <c r="N21" s="7">
        <f t="shared" si="7"/>
        <v>0.52391422139597599</v>
      </c>
      <c r="O21" s="11"/>
      <c r="P21" s="6">
        <v>2357.21</v>
      </c>
      <c r="Q21" s="2"/>
      <c r="R21" s="7">
        <f t="shared" si="8"/>
        <v>3.4723065138614735E-2</v>
      </c>
      <c r="S21" s="2"/>
      <c r="T21" s="6">
        <v>2150.4640069038442</v>
      </c>
      <c r="U21" s="2"/>
      <c r="V21" s="7">
        <f t="shared" si="9"/>
        <v>1.0622512926556698E-2</v>
      </c>
      <c r="W21" s="2"/>
      <c r="X21" s="6">
        <f t="shared" si="10"/>
        <v>206.74599309615587</v>
      </c>
      <c r="Y21" s="2"/>
      <c r="Z21" s="7">
        <f t="shared" si="11"/>
        <v>9.6140178320780562E-2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60.78</v>
      </c>
      <c r="E22" s="2"/>
      <c r="F22" s="7">
        <f t="shared" si="4"/>
        <v>1.9622276029055692E-3</v>
      </c>
      <c r="G22" s="2"/>
      <c r="H22" s="6">
        <v>210.36902307692301</v>
      </c>
      <c r="I22" s="2"/>
      <c r="J22" s="7">
        <f t="shared" si="5"/>
        <v>1.2551551459208791E-3</v>
      </c>
      <c r="K22" s="2"/>
      <c r="L22" s="6">
        <f t="shared" si="6"/>
        <v>-149.58902307692301</v>
      </c>
      <c r="M22" s="2"/>
      <c r="N22" s="7">
        <f t="shared" si="7"/>
        <v>-0.71107913555421443</v>
      </c>
      <c r="O22" s="11"/>
      <c r="P22" s="6">
        <v>109.78</v>
      </c>
      <c r="Q22" s="2"/>
      <c r="R22" s="7">
        <f t="shared" si="8"/>
        <v>1.6171228235571399E-3</v>
      </c>
      <c r="S22" s="2"/>
      <c r="T22" s="6">
        <v>533.89280192307706</v>
      </c>
      <c r="U22" s="2"/>
      <c r="V22" s="7">
        <f t="shared" si="9"/>
        <v>2.637236973795603E-3</v>
      </c>
      <c r="W22" s="2"/>
      <c r="X22" s="6">
        <f t="shared" si="10"/>
        <v>-424.11280192307709</v>
      </c>
      <c r="Y22" s="2"/>
      <c r="Z22" s="7">
        <f t="shared" si="11"/>
        <v>-0.79437819801171061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4.0139144471347858E-2</v>
      </c>
      <c r="G23" s="2"/>
      <c r="H23" s="6">
        <v>138.1</v>
      </c>
      <c r="I23" s="2"/>
      <c r="J23" s="7">
        <f t="shared" si="5"/>
        <v>8.2396601513090378E-4</v>
      </c>
      <c r="K23" s="2"/>
      <c r="L23" s="6">
        <f t="shared" si="6"/>
        <v>1105.21</v>
      </c>
      <c r="M23" s="2"/>
      <c r="N23" s="7">
        <f t="shared" si="7"/>
        <v>8.0029688631426517</v>
      </c>
      <c r="O23" s="11"/>
      <c r="P23" s="6">
        <v>2486.62</v>
      </c>
      <c r="Q23" s="2"/>
      <c r="R23" s="7">
        <f t="shared" si="8"/>
        <v>3.6629349203075742E-2</v>
      </c>
      <c r="S23" s="2"/>
      <c r="T23" s="6">
        <v>276.2</v>
      </c>
      <c r="U23" s="2"/>
      <c r="V23" s="7">
        <f t="shared" si="9"/>
        <v>1.3643279129043093E-3</v>
      </c>
      <c r="W23" s="2"/>
      <c r="X23" s="6">
        <f t="shared" si="10"/>
        <v>2210.42</v>
      </c>
      <c r="Y23" s="2"/>
      <c r="Z23" s="7">
        <f t="shared" si="11"/>
        <v>8.0029688631426517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46.48</v>
      </c>
      <c r="E24" s="2"/>
      <c r="F24" s="7">
        <f t="shared" si="4"/>
        <v>1.5005649717514124E-3</v>
      </c>
      <c r="G24" s="2"/>
      <c r="H24" s="6">
        <v>28.78734</v>
      </c>
      <c r="I24" s="2"/>
      <c r="J24" s="7">
        <f t="shared" si="5"/>
        <v>1.717580725996993E-4</v>
      </c>
      <c r="K24" s="2"/>
      <c r="L24" s="6">
        <f t="shared" si="6"/>
        <v>17.692659999999997</v>
      </c>
      <c r="M24" s="2"/>
      <c r="N24" s="7">
        <f t="shared" si="7"/>
        <v>0.61459863954085359</v>
      </c>
      <c r="O24" s="11"/>
      <c r="P24" s="6">
        <v>83.95</v>
      </c>
      <c r="Q24" s="2"/>
      <c r="R24" s="7">
        <f t="shared" si="8"/>
        <v>1.2366320007070677E-3</v>
      </c>
      <c r="S24" s="2"/>
      <c r="T24" s="6">
        <v>73.059015000000002</v>
      </c>
      <c r="U24" s="2"/>
      <c r="V24" s="7">
        <f t="shared" si="9"/>
        <v>3.6088505957202979E-4</v>
      </c>
      <c r="W24" s="2"/>
      <c r="X24" s="6">
        <f t="shared" si="10"/>
        <v>10.890985000000001</v>
      </c>
      <c r="Y24" s="2"/>
      <c r="Z24" s="7">
        <f t="shared" si="11"/>
        <v>0.14907106261971914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609.02</v>
      </c>
      <c r="E25" s="2"/>
      <c r="F25" s="7">
        <f t="shared" si="4"/>
        <v>1.9661662631154157E-2</v>
      </c>
      <c r="G25" s="2"/>
      <c r="H25" s="6">
        <v>56.936630769230796</v>
      </c>
      <c r="I25" s="2"/>
      <c r="J25" s="7">
        <f t="shared" si="5"/>
        <v>3.3970925973861478E-4</v>
      </c>
      <c r="K25" s="2"/>
      <c r="L25" s="6">
        <f t="shared" si="6"/>
        <v>552.08336923076922</v>
      </c>
      <c r="M25" s="2"/>
      <c r="N25" s="7">
        <f t="shared" si="7"/>
        <v>9.6964530877917934</v>
      </c>
      <c r="O25" s="11"/>
      <c r="P25" s="6">
        <v>1218.04</v>
      </c>
      <c r="Q25" s="2"/>
      <c r="R25" s="7">
        <f t="shared" si="8"/>
        <v>1.7942432902218426E-2</v>
      </c>
      <c r="S25" s="2"/>
      <c r="T25" s="6">
        <v>128.1074192307693</v>
      </c>
      <c r="U25" s="2"/>
      <c r="V25" s="7">
        <f t="shared" si="9"/>
        <v>6.3280422848179885E-4</v>
      </c>
      <c r="W25" s="2"/>
      <c r="X25" s="6">
        <f t="shared" si="10"/>
        <v>1089.9325807692308</v>
      </c>
      <c r="Y25" s="2"/>
      <c r="Z25" s="7">
        <f t="shared" si="11"/>
        <v>8.5079583002593715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550.41999999999996</v>
      </c>
      <c r="E27" s="2"/>
      <c r="F27" s="7">
        <f t="shared" si="4"/>
        <v>1.7769814366424535E-2</v>
      </c>
      <c r="G27" s="2"/>
      <c r="H27" s="6">
        <v>33.102692307692301</v>
      </c>
      <c r="I27" s="2"/>
      <c r="J27" s="7">
        <f t="shared" si="5"/>
        <v>1.9750538356896197E-4</v>
      </c>
      <c r="K27" s="2"/>
      <c r="L27" s="6">
        <f t="shared" si="6"/>
        <v>517.31730769230762</v>
      </c>
      <c r="M27" s="2"/>
      <c r="N27" s="7">
        <f t="shared" si="7"/>
        <v>15.627650551314675</v>
      </c>
      <c r="O27" s="11"/>
      <c r="P27" s="6">
        <v>1393.78</v>
      </c>
      <c r="Q27" s="2"/>
      <c r="R27" s="7">
        <f t="shared" si="8"/>
        <v>2.0531184633061309E-2</v>
      </c>
      <c r="S27" s="2"/>
      <c r="T27" s="6">
        <v>74.481057692307701</v>
      </c>
      <c r="U27" s="2"/>
      <c r="V27" s="7">
        <f t="shared" si="9"/>
        <v>3.6790943516383642E-4</v>
      </c>
      <c r="W27" s="2"/>
      <c r="X27" s="6">
        <f t="shared" si="10"/>
        <v>1319.2989423076922</v>
      </c>
      <c r="Y27" s="2"/>
      <c r="Z27" s="7">
        <f t="shared" si="11"/>
        <v>17.713214382077009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274.83999999999997</v>
      </c>
      <c r="E28" s="2"/>
      <c r="F28" s="7">
        <f t="shared" si="4"/>
        <v>8.8729620661824049E-3</v>
      </c>
      <c r="G28" s="2"/>
      <c r="H28" s="6">
        <v>241.30269230769198</v>
      </c>
      <c r="I28" s="2"/>
      <c r="J28" s="7">
        <f t="shared" si="5"/>
        <v>1.4397191732159853E-3</v>
      </c>
      <c r="K28" s="2"/>
      <c r="L28" s="6">
        <f t="shared" si="6"/>
        <v>33.537307692307991</v>
      </c>
      <c r="M28" s="2"/>
      <c r="N28" s="7">
        <f t="shared" si="7"/>
        <v>0.13898439081460229</v>
      </c>
      <c r="O28" s="11"/>
      <c r="P28" s="6">
        <v>693.22</v>
      </c>
      <c r="Q28" s="2"/>
      <c r="R28" s="7">
        <f t="shared" si="8"/>
        <v>1.0211531096249594E-2</v>
      </c>
      <c r="S28" s="2"/>
      <c r="T28" s="6">
        <v>606.68105769230704</v>
      </c>
      <c r="U28" s="2"/>
      <c r="V28" s="7">
        <f t="shared" si="9"/>
        <v>2.996784580883143E-3</v>
      </c>
      <c r="W28" s="2"/>
      <c r="X28" s="6">
        <f t="shared" si="10"/>
        <v>86.538942307692992</v>
      </c>
      <c r="Y28" s="2"/>
      <c r="Z28" s="7">
        <f t="shared" si="11"/>
        <v>0.14264322449240421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150</v>
      </c>
      <c r="E29" s="2"/>
      <c r="F29" s="7">
        <f t="shared" si="4"/>
        <v>4.8426150121065378E-3</v>
      </c>
      <c r="G29" s="2"/>
      <c r="H29" s="6">
        <v>150</v>
      </c>
      <c r="I29" s="2"/>
      <c r="J29" s="7">
        <f t="shared" si="5"/>
        <v>8.9496670723849072E-4</v>
      </c>
      <c r="K29" s="2"/>
      <c r="L29" s="6">
        <f t="shared" si="6"/>
        <v>0</v>
      </c>
      <c r="M29" s="2"/>
      <c r="N29" s="7">
        <f t="shared" si="7"/>
        <v>0</v>
      </c>
      <c r="O29" s="11"/>
      <c r="P29" s="6">
        <v>282.88</v>
      </c>
      <c r="Q29" s="2"/>
      <c r="R29" s="7">
        <f t="shared" si="8"/>
        <v>4.1669858291842202E-3</v>
      </c>
      <c r="S29" s="2"/>
      <c r="T29" s="6">
        <v>300</v>
      </c>
      <c r="U29" s="2"/>
      <c r="V29" s="7">
        <f t="shared" si="9"/>
        <v>1.481891288455079E-3</v>
      </c>
      <c r="W29" s="2"/>
      <c r="X29" s="6">
        <f t="shared" si="10"/>
        <v>-17.120000000000005</v>
      </c>
      <c r="Y29" s="2"/>
      <c r="Z29" s="7">
        <f t="shared" si="11"/>
        <v>-5.7066666666666682E-2</v>
      </c>
    </row>
    <row r="30" spans="1:26" s="26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18951.8</v>
      </c>
      <c r="E30" s="1"/>
      <c r="F30" s="5">
        <f t="shared" ref="F30:F40" si="12">IF(D$12=0,0,D30/D$12)</f>
        <v>0.61184180790960452</v>
      </c>
      <c r="G30" s="1"/>
      <c r="H30" s="1">
        <f>SUM(OSRRefH22_1x_0)</f>
        <v>10797.648461538462</v>
      </c>
      <c r="I30" s="1"/>
      <c r="J30" s="5">
        <f t="shared" ref="J30:J40" si="13">IF(H$12=0,0,H30/H$12)</f>
        <v>6.4423572596945547E-2</v>
      </c>
      <c r="K30" s="1"/>
      <c r="L30" s="1">
        <f t="shared" ref="L30:L40" si="14">+D30-H30</f>
        <v>8154.1515384615377</v>
      </c>
      <c r="M30" s="1"/>
      <c r="N30" s="5">
        <f t="shared" ref="N30:N40" si="15">IF(H30=0,0,L30/H30)</f>
        <v>0.75517846015332535</v>
      </c>
      <c r="O30" s="13"/>
      <c r="P30" s="1">
        <f>SUM(OSRRefP22_1x_0)</f>
        <v>36772.49</v>
      </c>
      <c r="Q30" s="1"/>
      <c r="R30" s="5">
        <f t="shared" ref="R30:R40" si="16">IF(P$12=0,0,P30/P$12)</f>
        <v>0.54168002239047808</v>
      </c>
      <c r="S30" s="1"/>
      <c r="T30" s="1">
        <f>SUM(OSRRefT22_1x_0)</f>
        <v>27418.45903846154</v>
      </c>
      <c r="U30" s="1"/>
      <c r="V30" s="5">
        <f t="shared" ref="V30:V40" si="17">IF(T$12=0,0,T30/T$12)</f>
        <v>0.13543725197319526</v>
      </c>
      <c r="W30" s="1"/>
      <c r="X30" s="1">
        <f t="shared" ref="X30:X40" si="18">+P30-T30</f>
        <v>9354.0309615384576</v>
      </c>
      <c r="Y30" s="1"/>
      <c r="Z30" s="5">
        <f t="shared" ref="Z30:Z40" si="19">IF(T30=0,0,X30/T30)</f>
        <v>0.34115815729895649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5660.58</v>
      </c>
      <c r="E32" s="2"/>
      <c r="F32" s="7">
        <f t="shared" si="12"/>
        <v>0.18274673123486682</v>
      </c>
      <c r="G32" s="2"/>
      <c r="H32" s="6">
        <v>595.84846153846195</v>
      </c>
      <c r="I32" s="2"/>
      <c r="J32" s="7">
        <f t="shared" si="13"/>
        <v>3.5550969042413183E-3</v>
      </c>
      <c r="K32" s="2"/>
      <c r="L32" s="6">
        <f t="shared" si="14"/>
        <v>5064.7315384615376</v>
      </c>
      <c r="M32" s="2"/>
      <c r="N32" s="7">
        <f t="shared" si="15"/>
        <v>8.5000329200893798</v>
      </c>
      <c r="O32" s="11"/>
      <c r="P32" s="6">
        <v>12215.31</v>
      </c>
      <c r="Q32" s="2"/>
      <c r="R32" s="7">
        <f t="shared" si="16"/>
        <v>0.17993857349085229</v>
      </c>
      <c r="S32" s="2"/>
      <c r="T32" s="6">
        <v>1340.659038461539</v>
      </c>
      <c r="U32" s="2"/>
      <c r="V32" s="7">
        <f t="shared" si="17"/>
        <v>6.6223698329490573E-3</v>
      </c>
      <c r="W32" s="2"/>
      <c r="X32" s="6">
        <f t="shared" si="18"/>
        <v>10874.65096153846</v>
      </c>
      <c r="Y32" s="2"/>
      <c r="Z32" s="7">
        <f t="shared" si="19"/>
        <v>8.1114218079024525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2704.8</v>
      </c>
      <c r="I34" s="2"/>
      <c r="J34" s="7">
        <f t="shared" si="13"/>
        <v>1.6138039664924466E-2</v>
      </c>
      <c r="K34" s="2"/>
      <c r="L34" s="6">
        <f t="shared" si="14"/>
        <v>-2704.8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6085.8</v>
      </c>
      <c r="U34" s="2"/>
      <c r="V34" s="7">
        <f t="shared" si="17"/>
        <v>3.0061646677599731E-2</v>
      </c>
      <c r="W34" s="2"/>
      <c r="X34" s="6">
        <f t="shared" si="18"/>
        <v>-6085.8</v>
      </c>
      <c r="Y34" s="2"/>
      <c r="Z34" s="7">
        <f t="shared" si="19"/>
        <v>-1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7838.45</v>
      </c>
      <c r="E35" s="2"/>
      <c r="F35" s="7">
        <f t="shared" si="12"/>
        <v>0.25305730427764328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7838.45</v>
      </c>
      <c r="M35" s="2"/>
      <c r="N35" s="7">
        <f t="shared" si="15"/>
        <v>0</v>
      </c>
      <c r="O35" s="11"/>
      <c r="P35" s="6">
        <v>13194.39</v>
      </c>
      <c r="Q35" s="2"/>
      <c r="R35" s="7">
        <f t="shared" si="16"/>
        <v>0.19436098753793124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13194.39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4633.58</v>
      </c>
      <c r="E37" s="2"/>
      <c r="F37" s="7">
        <f t="shared" si="12"/>
        <v>0.14959096045197739</v>
      </c>
      <c r="G37" s="2"/>
      <c r="H37" s="6">
        <v>7497</v>
      </c>
      <c r="I37" s="2"/>
      <c r="J37" s="7">
        <f t="shared" si="13"/>
        <v>4.473043602777977E-2</v>
      </c>
      <c r="K37" s="2"/>
      <c r="L37" s="6">
        <f t="shared" si="14"/>
        <v>-2863.42</v>
      </c>
      <c r="M37" s="2"/>
      <c r="N37" s="7">
        <f t="shared" si="15"/>
        <v>-0.38194211017740431</v>
      </c>
      <c r="O37" s="11"/>
      <c r="P37" s="6">
        <v>10062.290000000001</v>
      </c>
      <c r="Q37" s="2"/>
      <c r="R37" s="7">
        <f t="shared" si="16"/>
        <v>0.14822334501959167</v>
      </c>
      <c r="S37" s="2"/>
      <c r="T37" s="6">
        <v>19992</v>
      </c>
      <c r="U37" s="2"/>
      <c r="V37" s="7">
        <f t="shared" si="17"/>
        <v>9.8753235462646458E-2</v>
      </c>
      <c r="W37" s="2"/>
      <c r="X37" s="6">
        <f t="shared" si="18"/>
        <v>-9929.7099999999991</v>
      </c>
      <c r="Y37" s="2"/>
      <c r="Z37" s="7">
        <f t="shared" si="19"/>
        <v>-0.49668417366946777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>
        <v>819.19</v>
      </c>
      <c r="E38" s="2"/>
      <c r="F38" s="7">
        <f t="shared" si="12"/>
        <v>2.644681194511703E-2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819.19</v>
      </c>
      <c r="M38" s="2"/>
      <c r="N38" s="7">
        <f t="shared" si="15"/>
        <v>0</v>
      </c>
      <c r="O38" s="11"/>
      <c r="P38" s="6">
        <v>1300.5</v>
      </c>
      <c r="Q38" s="2"/>
      <c r="R38" s="7">
        <f t="shared" si="16"/>
        <v>1.9157116342102938E-2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1300.5</v>
      </c>
      <c r="Y38" s="2"/>
      <c r="Z38" s="7">
        <f t="shared" si="19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6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38</v>
      </c>
      <c r="E41" s="1"/>
      <c r="F41" s="5">
        <f t="shared" ref="F41:F59" si="20">IF(D$12=0,0,D41/D$12)</f>
        <v>1.2267958030669896E-3</v>
      </c>
      <c r="G41" s="1"/>
      <c r="H41" s="1">
        <f>SUM(OSRRefH22_2x_0)</f>
        <v>400</v>
      </c>
      <c r="I41" s="1"/>
      <c r="J41" s="5">
        <f t="shared" ref="J41:J59" si="21">IF(H$12=0,0,H41/H$12)</f>
        <v>2.3865778859693087E-3</v>
      </c>
      <c r="K41" s="1"/>
      <c r="L41" s="1">
        <f t="shared" ref="L41:L59" si="22">+D41-H41</f>
        <v>-362</v>
      </c>
      <c r="M41" s="1"/>
      <c r="N41" s="5">
        <f t="shared" ref="N41:N59" si="23">IF(H41=0,0,L41/H41)</f>
        <v>-0.90500000000000003</v>
      </c>
      <c r="O41" s="13"/>
      <c r="P41" s="1">
        <f>SUM(OSRRefP22_2x_0)</f>
        <v>38</v>
      </c>
      <c r="Q41" s="1"/>
      <c r="R41" s="5">
        <f t="shared" ref="R41:R59" si="24">IF(P$12=0,0,P41/P$12)</f>
        <v>5.5976195386383057E-4</v>
      </c>
      <c r="S41" s="1"/>
      <c r="T41" s="1">
        <f>SUM(OSRRefT22_2x_0)</f>
        <v>800</v>
      </c>
      <c r="U41" s="1"/>
      <c r="V41" s="5">
        <f t="shared" ref="V41:V59" si="25">IF(T$12=0,0,T41/T$12)</f>
        <v>3.951710102546877E-3</v>
      </c>
      <c r="W41" s="1"/>
      <c r="X41" s="1">
        <f t="shared" ref="X41:X59" si="26">+P41-T41</f>
        <v>-762</v>
      </c>
      <c r="Y41" s="1"/>
      <c r="Z41" s="5">
        <f t="shared" ref="Z41:Z59" si="27">IF(T41=0,0,X41/T41)</f>
        <v>-0.95250000000000001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38</v>
      </c>
      <c r="E42" s="2"/>
      <c r="F42" s="7">
        <f t="shared" si="20"/>
        <v>1.2267958030669896E-3</v>
      </c>
      <c r="G42" s="2"/>
      <c r="H42" s="6">
        <v>400</v>
      </c>
      <c r="I42" s="2"/>
      <c r="J42" s="7">
        <f t="shared" si="21"/>
        <v>2.3865778859693087E-3</v>
      </c>
      <c r="K42" s="2"/>
      <c r="L42" s="6">
        <f t="shared" si="22"/>
        <v>-362</v>
      </c>
      <c r="M42" s="2"/>
      <c r="N42" s="7">
        <f t="shared" si="23"/>
        <v>-0.90500000000000003</v>
      </c>
      <c r="O42" s="11"/>
      <c r="P42" s="6">
        <v>38</v>
      </c>
      <c r="Q42" s="2"/>
      <c r="R42" s="7">
        <f t="shared" si="24"/>
        <v>5.5976195386383057E-4</v>
      </c>
      <c r="S42" s="2"/>
      <c r="T42" s="6">
        <v>800</v>
      </c>
      <c r="U42" s="2"/>
      <c r="V42" s="7">
        <f t="shared" si="25"/>
        <v>3.951710102546877E-3</v>
      </c>
      <c r="W42" s="2"/>
      <c r="X42" s="6">
        <f t="shared" si="26"/>
        <v>-762</v>
      </c>
      <c r="Y42" s="2"/>
      <c r="Z42" s="7">
        <f t="shared" si="27"/>
        <v>-0.95250000000000001</v>
      </c>
    </row>
    <row r="43" spans="1:26" s="26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2174.79</v>
      </c>
      <c r="E43" s="1"/>
      <c r="F43" s="5">
        <f t="shared" si="20"/>
        <v>7.0211138014527844E-2</v>
      </c>
      <c r="G43" s="1"/>
      <c r="H43" s="1">
        <f>SUM(OSRRefH22_3x_0)</f>
        <v>1500</v>
      </c>
      <c r="I43" s="1"/>
      <c r="J43" s="5">
        <f t="shared" si="21"/>
        <v>8.9496670723849068E-3</v>
      </c>
      <c r="K43" s="1"/>
      <c r="L43" s="1">
        <f t="shared" si="22"/>
        <v>674.79</v>
      </c>
      <c r="M43" s="1"/>
      <c r="N43" s="5">
        <f t="shared" si="23"/>
        <v>0.44985999999999998</v>
      </c>
      <c r="O43" s="13"/>
      <c r="P43" s="1">
        <f>SUM(OSRRefP22_3x_0)</f>
        <v>2494.4899999999998</v>
      </c>
      <c r="Q43" s="1"/>
      <c r="R43" s="5">
        <f t="shared" si="24"/>
        <v>3.6745278849836485E-2</v>
      </c>
      <c r="S43" s="1"/>
      <c r="T43" s="1">
        <f>SUM(OSRRefT22_3x_0)</f>
        <v>3000</v>
      </c>
      <c r="U43" s="1"/>
      <c r="V43" s="5">
        <f t="shared" si="25"/>
        <v>1.4818912884550789E-2</v>
      </c>
      <c r="W43" s="1"/>
      <c r="X43" s="1">
        <f t="shared" si="26"/>
        <v>-505.51000000000022</v>
      </c>
      <c r="Y43" s="1"/>
      <c r="Z43" s="5">
        <f t="shared" si="27"/>
        <v>-0.16850333333333339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2174.79</v>
      </c>
      <c r="E44" s="2"/>
      <c r="F44" s="7">
        <f t="shared" si="20"/>
        <v>7.0211138014527844E-2</v>
      </c>
      <c r="G44" s="2"/>
      <c r="H44" s="6">
        <v>1500</v>
      </c>
      <c r="I44" s="2"/>
      <c r="J44" s="7">
        <f t="shared" si="21"/>
        <v>8.9496670723849068E-3</v>
      </c>
      <c r="K44" s="2"/>
      <c r="L44" s="6">
        <f t="shared" si="22"/>
        <v>674.79</v>
      </c>
      <c r="M44" s="2"/>
      <c r="N44" s="7">
        <f t="shared" si="23"/>
        <v>0.44985999999999998</v>
      </c>
      <c r="O44" s="11"/>
      <c r="P44" s="6">
        <v>2494.4899999999998</v>
      </c>
      <c r="Q44" s="2"/>
      <c r="R44" s="7">
        <f t="shared" si="24"/>
        <v>3.6745278849836485E-2</v>
      </c>
      <c r="S44" s="2"/>
      <c r="T44" s="6">
        <v>3000</v>
      </c>
      <c r="U44" s="2"/>
      <c r="V44" s="7">
        <f t="shared" si="25"/>
        <v>1.4818912884550789E-2</v>
      </c>
      <c r="W44" s="2"/>
      <c r="X44" s="6">
        <f t="shared" si="26"/>
        <v>-505.51000000000022</v>
      </c>
      <c r="Y44" s="2"/>
      <c r="Z44" s="7">
        <f t="shared" si="27"/>
        <v>-0.16850333333333339</v>
      </c>
    </row>
    <row r="45" spans="1:26" s="26" customFormat="1" outlineLevel="1" collapsed="1" x14ac:dyDescent="0.25">
      <c r="A45" s="25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4.4748335361924536E-4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150</v>
      </c>
      <c r="U45" s="1"/>
      <c r="V45" s="5">
        <f t="shared" si="25"/>
        <v>7.4094564422753949E-4</v>
      </c>
      <c r="W45" s="1"/>
      <c r="X45" s="1">
        <f t="shared" si="26"/>
        <v>-150</v>
      </c>
      <c r="Y45" s="1"/>
      <c r="Z45" s="5">
        <f t="shared" si="27"/>
        <v>-1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4.4748335361924536E-4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150</v>
      </c>
      <c r="U46" s="2"/>
      <c r="V46" s="7">
        <f t="shared" si="25"/>
        <v>7.4094564422753949E-4</v>
      </c>
      <c r="W46" s="2"/>
      <c r="X46" s="6">
        <f t="shared" si="26"/>
        <v>-150</v>
      </c>
      <c r="Y46" s="2"/>
      <c r="Z46" s="7">
        <f t="shared" si="27"/>
        <v>-1</v>
      </c>
    </row>
    <row r="47" spans="1:26" s="26" customFormat="1" outlineLevel="1" collapsed="1" x14ac:dyDescent="0.25">
      <c r="A47" s="25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5.9664447149232717E-5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20</v>
      </c>
      <c r="U47" s="1"/>
      <c r="V47" s="5">
        <f t="shared" si="25"/>
        <v>9.8792752563671928E-5</v>
      </c>
      <c r="W47" s="1"/>
      <c r="X47" s="1">
        <f t="shared" si="26"/>
        <v>-20</v>
      </c>
      <c r="Y47" s="1"/>
      <c r="Z47" s="5">
        <f t="shared" si="27"/>
        <v>-1</v>
      </c>
    </row>
    <row r="48" spans="1:26" s="24" customFormat="1" hidden="1" outlineLevel="2" x14ac:dyDescent="0.25">
      <c r="A48" s="27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5.9664447149232717E-5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20</v>
      </c>
      <c r="U48" s="2"/>
      <c r="V48" s="7">
        <f t="shared" si="25"/>
        <v>9.8792752563671928E-5</v>
      </c>
      <c r="W48" s="2"/>
      <c r="X48" s="6">
        <f t="shared" si="26"/>
        <v>-20</v>
      </c>
      <c r="Y48" s="2"/>
      <c r="Z48" s="7">
        <f t="shared" si="27"/>
        <v>-1</v>
      </c>
    </row>
    <row r="49" spans="1:26" s="26" customFormat="1" outlineLevel="1" collapsed="1" x14ac:dyDescent="0.25">
      <c r="A49" s="25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2.9832223574616359E-4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100</v>
      </c>
      <c r="U49" s="1"/>
      <c r="V49" s="5">
        <f t="shared" si="25"/>
        <v>4.9396376281835963E-4</v>
      </c>
      <c r="W49" s="1"/>
      <c r="X49" s="1">
        <f t="shared" si="26"/>
        <v>-100</v>
      </c>
      <c r="Y49" s="1"/>
      <c r="Z49" s="5">
        <f t="shared" si="27"/>
        <v>-1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2.9832223574616359E-4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100</v>
      </c>
      <c r="U50" s="2"/>
      <c r="V50" s="7">
        <f t="shared" si="25"/>
        <v>4.9396376281835963E-4</v>
      </c>
      <c r="W50" s="2"/>
      <c r="X50" s="6">
        <f t="shared" si="26"/>
        <v>-100</v>
      </c>
      <c r="Y50" s="2"/>
      <c r="Z50" s="7">
        <f t="shared" si="27"/>
        <v>-1</v>
      </c>
    </row>
    <row r="51" spans="1:26" s="26" customFormat="1" outlineLevel="1" collapsed="1" x14ac:dyDescent="0.25">
      <c r="A51" s="25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9.3656174334140441E-4</v>
      </c>
      <c r="G51" s="1"/>
      <c r="H51" s="1">
        <f>SUM(OSRRefH22_7x_0)</f>
        <v>27</v>
      </c>
      <c r="I51" s="1"/>
      <c r="J51" s="5">
        <f t="shared" si="21"/>
        <v>1.6109400730292834E-4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58.02</v>
      </c>
      <c r="Q51" s="1"/>
      <c r="R51" s="5">
        <f t="shared" si="24"/>
        <v>8.5466812008366973E-4</v>
      </c>
      <c r="S51" s="1"/>
      <c r="T51" s="1">
        <f>SUM(OSRRefT22_7x_0)</f>
        <v>54</v>
      </c>
      <c r="U51" s="1"/>
      <c r="V51" s="5">
        <f t="shared" si="25"/>
        <v>2.6674043192191421E-4</v>
      </c>
      <c r="W51" s="1"/>
      <c r="X51" s="1">
        <f t="shared" si="26"/>
        <v>4.0200000000000031</v>
      </c>
      <c r="Y51" s="1"/>
      <c r="Z51" s="5">
        <f t="shared" si="27"/>
        <v>7.4444444444444507E-2</v>
      </c>
    </row>
    <row r="52" spans="1:26" s="24" customFormat="1" hidden="1" outlineLevel="2" x14ac:dyDescent="0.25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9.3656174334140441E-4</v>
      </c>
      <c r="G52" s="2"/>
      <c r="H52" s="6">
        <v>27</v>
      </c>
      <c r="I52" s="2"/>
      <c r="J52" s="7">
        <f t="shared" si="21"/>
        <v>1.6109400730292834E-4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58.02</v>
      </c>
      <c r="Q52" s="2"/>
      <c r="R52" s="7">
        <f t="shared" si="24"/>
        <v>8.5466812008366973E-4</v>
      </c>
      <c r="S52" s="2"/>
      <c r="T52" s="6">
        <v>54</v>
      </c>
      <c r="U52" s="2"/>
      <c r="V52" s="7">
        <f t="shared" si="25"/>
        <v>2.6674043192191421E-4</v>
      </c>
      <c r="W52" s="2"/>
      <c r="X52" s="6">
        <f t="shared" si="26"/>
        <v>4.0200000000000031</v>
      </c>
      <c r="Y52" s="2"/>
      <c r="Z52" s="7">
        <f t="shared" si="27"/>
        <v>7.4444444444444507E-2</v>
      </c>
    </row>
    <row r="53" spans="1:26" s="26" customFormat="1" outlineLevel="1" collapsed="1" x14ac:dyDescent="0.25">
      <c r="A53" s="25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2.3865778859693087E-3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800</v>
      </c>
      <c r="U53" s="1"/>
      <c r="V53" s="5">
        <f t="shared" si="25"/>
        <v>3.951710102546877E-3</v>
      </c>
      <c r="W53" s="1"/>
      <c r="X53" s="1">
        <f t="shared" si="26"/>
        <v>-800</v>
      </c>
      <c r="Y53" s="1"/>
      <c r="Z53" s="5">
        <f t="shared" si="27"/>
        <v>-1</v>
      </c>
    </row>
    <row r="54" spans="1:26" s="24" customFormat="1" hidden="1" outlineLevel="2" x14ac:dyDescent="0.25">
      <c r="A54" s="27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2.3865778859693087E-3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800</v>
      </c>
      <c r="U54" s="2"/>
      <c r="V54" s="7">
        <f t="shared" si="25"/>
        <v>3.951710102546877E-3</v>
      </c>
      <c r="W54" s="2"/>
      <c r="X54" s="6">
        <f t="shared" si="26"/>
        <v>-800</v>
      </c>
      <c r="Y54" s="2"/>
      <c r="Z54" s="7">
        <f t="shared" si="27"/>
        <v>-1</v>
      </c>
    </row>
    <row r="55" spans="1:26" s="26" customFormat="1" outlineLevel="1" collapsed="1" x14ac:dyDescent="0.25">
      <c r="A55" s="25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2.5827280064568199E-2</v>
      </c>
      <c r="G55" s="1"/>
      <c r="H55" s="1">
        <f>SUM(OSRRefH22_9x_0)</f>
        <v>800</v>
      </c>
      <c r="I55" s="1"/>
      <c r="J55" s="5">
        <f t="shared" si="21"/>
        <v>4.7731557719386175E-3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1600</v>
      </c>
      <c r="Q55" s="1"/>
      <c r="R55" s="5">
        <f t="shared" si="24"/>
        <v>2.3568924373213916E-2</v>
      </c>
      <c r="S55" s="1"/>
      <c r="T55" s="1">
        <f>SUM(OSRRefT22_9x_0)</f>
        <v>1600</v>
      </c>
      <c r="U55" s="1"/>
      <c r="V55" s="5">
        <f t="shared" si="25"/>
        <v>7.903420205093754E-3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2.5827280064568199E-2</v>
      </c>
      <c r="G56" s="2"/>
      <c r="H56" s="6">
        <v>800</v>
      </c>
      <c r="I56" s="2"/>
      <c r="J56" s="7">
        <f t="shared" si="21"/>
        <v>4.7731557719386175E-3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1600</v>
      </c>
      <c r="Q56" s="2"/>
      <c r="R56" s="7">
        <f t="shared" si="24"/>
        <v>2.3568924373213916E-2</v>
      </c>
      <c r="S56" s="2"/>
      <c r="T56" s="6">
        <v>1600</v>
      </c>
      <c r="U56" s="2"/>
      <c r="V56" s="7">
        <f t="shared" si="25"/>
        <v>7.903420205093754E-3</v>
      </c>
      <c r="W56" s="2"/>
      <c r="X56" s="6">
        <f t="shared" si="26"/>
        <v>0</v>
      </c>
      <c r="Y56" s="2"/>
      <c r="Z56" s="7">
        <f t="shared" si="27"/>
        <v>0</v>
      </c>
    </row>
    <row r="57" spans="1:26" s="26" customFormat="1" outlineLevel="1" collapsed="1" x14ac:dyDescent="0.25">
      <c r="A57" s="25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127000</v>
      </c>
      <c r="I57" s="1"/>
      <c r="J57" s="5">
        <f t="shared" si="21"/>
        <v>0.75773847879525547</v>
      </c>
      <c r="K57" s="1"/>
      <c r="L57" s="1">
        <f t="shared" si="22"/>
        <v>-127000</v>
      </c>
      <c r="M57" s="1"/>
      <c r="N57" s="5">
        <f t="shared" si="23"/>
        <v>-1</v>
      </c>
      <c r="O57" s="13"/>
      <c r="P57" s="1">
        <f>SUM(OSRRefP22_10x_0)</f>
        <v>0</v>
      </c>
      <c r="Q57" s="1"/>
      <c r="R57" s="5">
        <f t="shared" si="24"/>
        <v>0</v>
      </c>
      <c r="S57" s="1"/>
      <c r="T57" s="1">
        <f>SUM(OSRRefT22_10x_0)</f>
        <v>129000</v>
      </c>
      <c r="U57" s="1"/>
      <c r="V57" s="5">
        <f t="shared" si="25"/>
        <v>0.63721325403568396</v>
      </c>
      <c r="W57" s="1"/>
      <c r="X57" s="1">
        <f t="shared" si="26"/>
        <v>-129000</v>
      </c>
      <c r="Y57" s="1"/>
      <c r="Z57" s="5">
        <f t="shared" si="27"/>
        <v>-1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>
        <v>125000</v>
      </c>
      <c r="I58" s="2"/>
      <c r="J58" s="7">
        <f t="shared" si="21"/>
        <v>0.74580558936540897</v>
      </c>
      <c r="K58" s="2"/>
      <c r="L58" s="6">
        <f t="shared" si="22"/>
        <v>-125000</v>
      </c>
      <c r="M58" s="2"/>
      <c r="N58" s="7">
        <f t="shared" si="23"/>
        <v>-1</v>
      </c>
      <c r="O58" s="11"/>
      <c r="P58" s="6"/>
      <c r="Q58" s="2"/>
      <c r="R58" s="7">
        <f t="shared" si="24"/>
        <v>0</v>
      </c>
      <c r="S58" s="2"/>
      <c r="T58" s="6">
        <v>125000</v>
      </c>
      <c r="U58" s="2"/>
      <c r="V58" s="7">
        <f t="shared" si="25"/>
        <v>0.61745470352294951</v>
      </c>
      <c r="W58" s="2"/>
      <c r="X58" s="6">
        <f t="shared" si="26"/>
        <v>-125000</v>
      </c>
      <c r="Y58" s="2"/>
      <c r="Z58" s="7">
        <f t="shared" si="27"/>
        <v>-1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1.1932889429846542E-2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4000</v>
      </c>
      <c r="U59" s="2"/>
      <c r="V59" s="7">
        <f t="shared" si="25"/>
        <v>1.9758550512734386E-2</v>
      </c>
      <c r="W59" s="2"/>
      <c r="X59" s="6">
        <f t="shared" si="26"/>
        <v>-4000</v>
      </c>
      <c r="Y59" s="2"/>
      <c r="Z59" s="7">
        <f t="shared" si="27"/>
        <v>-1</v>
      </c>
    </row>
    <row r="60" spans="1:26" s="26" customFormat="1" outlineLevel="1" collapsed="1" x14ac:dyDescent="0.25">
      <c r="A60" s="25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419.85999999999996</v>
      </c>
      <c r="E60" s="1"/>
      <c r="F60" s="5">
        <f t="shared" ref="F60:F62" si="28">IF(D$12=0,0,D60/D$12)</f>
        <v>1.3554802259887004E-2</v>
      </c>
      <c r="G60" s="1"/>
      <c r="H60" s="1">
        <f>SUM(OSRRefH22_11x_0)</f>
        <v>7000</v>
      </c>
      <c r="I60" s="1"/>
      <c r="J60" s="5">
        <f t="shared" ref="J60:J62" si="29">IF(H$12=0,0,H60/H$12)</f>
        <v>4.1765113004462902E-2</v>
      </c>
      <c r="K60" s="1"/>
      <c r="L60" s="1">
        <f t="shared" ref="L60:L62" si="30">+D60-H60</f>
        <v>-6580.14</v>
      </c>
      <c r="M60" s="1"/>
      <c r="N60" s="5">
        <f t="shared" ref="N60:N62" si="31">IF(H60=0,0,L60/H60)</f>
        <v>-0.94002000000000008</v>
      </c>
      <c r="O60" s="13"/>
      <c r="P60" s="1">
        <f>SUM(OSRRefP22_11x_0)</f>
        <v>14836.07</v>
      </c>
      <c r="Q60" s="1"/>
      <c r="R60" s="5">
        <f t="shared" ref="R60:R62" si="32">IF(P$12=0,0,P60/P$12)</f>
        <v>0.21854388239106737</v>
      </c>
      <c r="S60" s="1"/>
      <c r="T60" s="1">
        <f>SUM(OSRRefT22_11x_0)</f>
        <v>14100</v>
      </c>
      <c r="U60" s="1"/>
      <c r="V60" s="5">
        <f t="shared" ref="V60:V62" si="33">IF(T$12=0,0,T60/T$12)</f>
        <v>6.964889055738871E-2</v>
      </c>
      <c r="W60" s="1"/>
      <c r="X60" s="1">
        <f t="shared" ref="X60:X62" si="34">+P60-T60</f>
        <v>736.06999999999971</v>
      </c>
      <c r="Y60" s="1"/>
      <c r="Z60" s="5">
        <f t="shared" ref="Z60:Z62" si="35">IF(T60=0,0,X60/T60)</f>
        <v>5.220354609929076E-2</v>
      </c>
    </row>
    <row r="61" spans="1:26" s="24" customFormat="1" hidden="1" outlineLevel="2" x14ac:dyDescent="0.25">
      <c r="A61" s="27"/>
      <c r="B61" s="11" t="str">
        <f>CONCATENATE("          ", "6234", " - ", "EXPENDABLE SUPPLIES &amp; EQUIPMEN")</f>
        <v xml:space="preserve">          6234 - EXPENDABLE SUPPLIES &amp; EQUIPMEN</v>
      </c>
      <c r="C61" s="11"/>
      <c r="D61" s="6">
        <v>413.27</v>
      </c>
      <c r="E61" s="2"/>
      <c r="F61" s="7">
        <f t="shared" si="28"/>
        <v>1.3342050040355125E-2</v>
      </c>
      <c r="G61" s="2"/>
      <c r="H61" s="6">
        <v>7000</v>
      </c>
      <c r="I61" s="2"/>
      <c r="J61" s="7">
        <f t="shared" si="29"/>
        <v>4.1765113004462902E-2</v>
      </c>
      <c r="K61" s="2"/>
      <c r="L61" s="6">
        <f t="shared" si="30"/>
        <v>-6586.73</v>
      </c>
      <c r="M61" s="2"/>
      <c r="N61" s="7">
        <f t="shared" si="31"/>
        <v>-0.9409614285714285</v>
      </c>
      <c r="O61" s="11"/>
      <c r="P61" s="6">
        <v>413.27</v>
      </c>
      <c r="Q61" s="2"/>
      <c r="R61" s="7">
        <f t="shared" si="32"/>
        <v>6.0877058598238221E-3</v>
      </c>
      <c r="S61" s="2"/>
      <c r="T61" s="6">
        <v>14100</v>
      </c>
      <c r="U61" s="2"/>
      <c r="V61" s="7">
        <f t="shared" si="33"/>
        <v>6.964889055738871E-2</v>
      </c>
      <c r="W61" s="2"/>
      <c r="X61" s="6">
        <f t="shared" si="34"/>
        <v>-13686.73</v>
      </c>
      <c r="Y61" s="2"/>
      <c r="Z61" s="7">
        <f t="shared" si="35"/>
        <v>-0.97069007092198578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6">
        <v>6.59</v>
      </c>
      <c r="E62" s="2"/>
      <c r="F62" s="7">
        <f t="shared" si="28"/>
        <v>2.1275221953188055E-4</v>
      </c>
      <c r="G62" s="2"/>
      <c r="H62" s="6"/>
      <c r="I62" s="2"/>
      <c r="J62" s="7">
        <f t="shared" si="29"/>
        <v>0</v>
      </c>
      <c r="K62" s="2"/>
      <c r="L62" s="6">
        <f t="shared" si="30"/>
        <v>6.59</v>
      </c>
      <c r="M62" s="2"/>
      <c r="N62" s="7">
        <f t="shared" si="31"/>
        <v>0</v>
      </c>
      <c r="O62" s="11"/>
      <c r="P62" s="6">
        <v>14422.8</v>
      </c>
      <c r="Q62" s="2"/>
      <c r="R62" s="7">
        <f t="shared" si="32"/>
        <v>0.21245617653124355</v>
      </c>
      <c r="S62" s="2"/>
      <c r="T62" s="6"/>
      <c r="U62" s="2"/>
      <c r="V62" s="7">
        <f t="shared" si="33"/>
        <v>0</v>
      </c>
      <c r="W62" s="2"/>
      <c r="X62" s="6">
        <f t="shared" si="34"/>
        <v>14422.8</v>
      </c>
      <c r="Y62" s="2"/>
      <c r="Z62" s="7">
        <f t="shared" si="35"/>
        <v>0</v>
      </c>
    </row>
    <row r="63" spans="1:26" s="26" customFormat="1" outlineLevel="1" collapsed="1" x14ac:dyDescent="0.25">
      <c r="A63" s="25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SUM(OSRRefD22_12x_0)</f>
        <v>199</v>
      </c>
      <c r="E63" s="1"/>
      <c r="F63" s="5">
        <f t="shared" ref="F63:F64" si="36">IF(D$12=0,0,D63/D$12)</f>
        <v>6.4245359160613399E-3</v>
      </c>
      <c r="G63" s="1"/>
      <c r="H63" s="1">
        <f>SUM(OSRRefH22_12x_0)</f>
        <v>350</v>
      </c>
      <c r="I63" s="1"/>
      <c r="J63" s="5">
        <f t="shared" ref="J63:J64" si="37">IF(H$12=0,0,H63/H$12)</f>
        <v>2.0882556502231451E-3</v>
      </c>
      <c r="K63" s="1"/>
      <c r="L63" s="1">
        <f t="shared" ref="L63:L64" si="38">+D63-H63</f>
        <v>-151</v>
      </c>
      <c r="M63" s="1"/>
      <c r="N63" s="5">
        <f t="shared" ref="N63:N64" si="39">IF(H63=0,0,L63/H63)</f>
        <v>-0.43142857142857144</v>
      </c>
      <c r="O63" s="13"/>
      <c r="P63" s="1">
        <f>SUM(OSRRefP22_12x_0)</f>
        <v>175.65</v>
      </c>
      <c r="Q63" s="1"/>
      <c r="R63" s="5">
        <f t="shared" ref="R63:R64" si="40">IF(P$12=0,0,P63/P$12)</f>
        <v>2.5874259788468907E-3</v>
      </c>
      <c r="S63" s="1"/>
      <c r="T63" s="1">
        <f>SUM(OSRRefT22_12x_0)</f>
        <v>700</v>
      </c>
      <c r="U63" s="1"/>
      <c r="V63" s="5">
        <f t="shared" ref="V63:V64" si="41">IF(T$12=0,0,T63/T$12)</f>
        <v>3.4577463397285177E-3</v>
      </c>
      <c r="W63" s="1"/>
      <c r="X63" s="1">
        <f t="shared" ref="X63:X64" si="42">+P63-T63</f>
        <v>-524.35</v>
      </c>
      <c r="Y63" s="1"/>
      <c r="Z63" s="5">
        <f t="shared" ref="Z63:Z64" si="43">IF(T63=0,0,X63/T63)</f>
        <v>-0.74907142857142861</v>
      </c>
    </row>
    <row r="64" spans="1:26" s="24" customFormat="1" hidden="1" outlineLevel="2" x14ac:dyDescent="0.25">
      <c r="A64" s="27"/>
      <c r="B64" s="11" t="str">
        <f>CONCATENATE("          ", "6309", " - ", "TELEPHONE")</f>
        <v xml:space="preserve">          6309 - TELEPHONE</v>
      </c>
      <c r="C64" s="11"/>
      <c r="D64" s="6">
        <v>199</v>
      </c>
      <c r="E64" s="2"/>
      <c r="F64" s="7">
        <f t="shared" si="36"/>
        <v>6.4245359160613399E-3</v>
      </c>
      <c r="G64" s="2"/>
      <c r="H64" s="6">
        <v>350</v>
      </c>
      <c r="I64" s="2"/>
      <c r="J64" s="7">
        <f t="shared" si="37"/>
        <v>2.0882556502231451E-3</v>
      </c>
      <c r="K64" s="2"/>
      <c r="L64" s="6">
        <f t="shared" si="38"/>
        <v>-151</v>
      </c>
      <c r="M64" s="2"/>
      <c r="N64" s="7">
        <f t="shared" si="39"/>
        <v>-0.43142857142857144</v>
      </c>
      <c r="O64" s="11"/>
      <c r="P64" s="6">
        <v>175.65</v>
      </c>
      <c r="Q64" s="2"/>
      <c r="R64" s="7">
        <f t="shared" si="40"/>
        <v>2.5874259788468907E-3</v>
      </c>
      <c r="S64" s="2"/>
      <c r="T64" s="6">
        <v>700</v>
      </c>
      <c r="U64" s="2"/>
      <c r="V64" s="7">
        <f t="shared" si="41"/>
        <v>3.4577463397285177E-3</v>
      </c>
      <c r="W64" s="2"/>
      <c r="X64" s="6">
        <f t="shared" si="42"/>
        <v>-524.35</v>
      </c>
      <c r="Y64" s="2"/>
      <c r="Z64" s="7">
        <f t="shared" si="43"/>
        <v>-0.74907142857142861</v>
      </c>
    </row>
    <row r="65" spans="1:26" s="63" customFormat="1" x14ac:dyDescent="0.25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25">
      <c r="A66" s="10"/>
      <c r="B66" s="28" t="s">
        <v>0</v>
      </c>
      <c r="C66" s="10"/>
      <c r="D66" s="4">
        <f>SUM(OSRRefD25x_0)</f>
        <v>3537.91</v>
      </c>
      <c r="E66" s="4"/>
      <c r="F66" s="12">
        <f t="shared" ref="F66:F67" si="44">IF(D$12=0,0,D66/D$12)</f>
        <v>0.1142182405165456</v>
      </c>
      <c r="G66" s="4"/>
      <c r="H66" s="4">
        <f>SUM(OSRRefH25x_0)</f>
        <v>4500</v>
      </c>
      <c r="I66" s="4"/>
      <c r="J66" s="12">
        <f t="shared" ref="J66:J67" si="45">IF(H$12=0,0,H66/H$12)</f>
        <v>2.6849001217154722E-2</v>
      </c>
      <c r="K66" s="4"/>
      <c r="L66" s="4">
        <f t="shared" ref="L66:L67" si="46">+D66-H66</f>
        <v>-962.09000000000015</v>
      </c>
      <c r="M66" s="4"/>
      <c r="N66" s="12">
        <f t="shared" ref="N66:N67" si="47">IF(H66=0,0,L66/H66)</f>
        <v>-0.21379777777777781</v>
      </c>
      <c r="O66" s="10"/>
      <c r="P66" s="4">
        <f>SUM(OSRRefP25x_0)</f>
        <v>4389</v>
      </c>
      <c r="Q66" s="4"/>
      <c r="R66" s="12">
        <f t="shared" ref="R66:R67" si="48">IF(P$12=0,0,P66/P$12)</f>
        <v>6.4652505671272426E-2</v>
      </c>
      <c r="S66" s="4"/>
      <c r="T66" s="4">
        <f>SUM(OSRRefT25x_0)</f>
        <v>6000</v>
      </c>
      <c r="U66" s="4"/>
      <c r="V66" s="12">
        <f t="shared" ref="V66:V67" si="49">IF(T$12=0,0,T66/T$12)</f>
        <v>2.9637825769101577E-2</v>
      </c>
      <c r="W66" s="4"/>
      <c r="X66" s="4">
        <f t="shared" ref="X66:X67" si="50">+P66-T66</f>
        <v>-1611</v>
      </c>
      <c r="Y66" s="4"/>
      <c r="Z66" s="12">
        <f t="shared" ref="Z66:Z67" si="51">IF(T66=0,0,X66/T66)</f>
        <v>-0.26850000000000002</v>
      </c>
    </row>
    <row r="67" spans="1:26" s="24" customFormat="1" hidden="1" outlineLevel="1" x14ac:dyDescent="0.25">
      <c r="A67" s="46"/>
      <c r="B67" s="11" t="str">
        <f>CONCATENATE("          ", "9150", " - ", "MISC. INCOME")</f>
        <v xml:space="preserve">          9150 - MISC. INCOME</v>
      </c>
      <c r="C67" s="11"/>
      <c r="D67" s="2">
        <f>--3537.91</f>
        <v>3537.91</v>
      </c>
      <c r="E67" s="2"/>
      <c r="F67" s="21">
        <f t="shared" si="44"/>
        <v>0.1142182405165456</v>
      </c>
      <c r="G67" s="2"/>
      <c r="H67" s="2">
        <v>4500</v>
      </c>
      <c r="I67" s="2"/>
      <c r="J67" s="21">
        <f t="shared" si="45"/>
        <v>2.6849001217154722E-2</v>
      </c>
      <c r="K67" s="2"/>
      <c r="L67" s="2">
        <f t="shared" si="46"/>
        <v>-962.09000000000015</v>
      </c>
      <c r="M67" s="2"/>
      <c r="N67" s="21">
        <f t="shared" si="47"/>
        <v>-0.21379777777777781</v>
      </c>
      <c r="O67" s="11"/>
      <c r="P67" s="2">
        <f>--4389</f>
        <v>4389</v>
      </c>
      <c r="Q67" s="2"/>
      <c r="R67" s="21">
        <f t="shared" si="48"/>
        <v>6.4652505671272426E-2</v>
      </c>
      <c r="S67" s="2"/>
      <c r="T67" s="2">
        <v>6000</v>
      </c>
      <c r="U67" s="2"/>
      <c r="V67" s="21">
        <f t="shared" si="49"/>
        <v>2.9637825769101577E-2</v>
      </c>
      <c r="W67" s="2"/>
      <c r="X67" s="2">
        <f t="shared" si="50"/>
        <v>-1611</v>
      </c>
      <c r="Y67" s="2"/>
      <c r="Z67" s="21">
        <f t="shared" si="51"/>
        <v>-0.26850000000000002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9" t="s">
        <v>3</v>
      </c>
      <c r="C69" s="29"/>
      <c r="D69" s="22">
        <f>+D17-D19+D66</f>
        <v>7674.3200000000033</v>
      </c>
      <c r="E69" s="14"/>
      <c r="F69" s="20">
        <f>IF(D$12=0,0,D69/D$12)</f>
        <v>0.24775851493139639</v>
      </c>
      <c r="G69" s="14"/>
      <c r="H69" s="22">
        <f>+H17-H19+H66</f>
        <v>21988.408879153838</v>
      </c>
      <c r="I69" s="14"/>
      <c r="J69" s="20">
        <f>IF(H$12=0,0,H69/H$12)</f>
        <v>0.13119262594659936</v>
      </c>
      <c r="K69" s="15"/>
      <c r="L69" s="22">
        <f>+D69-H69</f>
        <v>-14314.088879153835</v>
      </c>
      <c r="M69" s="15"/>
      <c r="N69" s="20">
        <f>IF(H69=0,0,L69/H69)</f>
        <v>-0.65098338664805977</v>
      </c>
      <c r="O69" s="28"/>
      <c r="P69" s="22">
        <f>+P17-P19+P66</f>
        <v>7674.8000000000102</v>
      </c>
      <c r="Q69" s="14"/>
      <c r="R69" s="20">
        <f>IF(P$12=0,0,P69/P$12)</f>
        <v>0.11305423798721401</v>
      </c>
      <c r="S69" s="14"/>
      <c r="T69" s="22">
        <f>+T17-T19+T66</f>
        <v>26558.655603096151</v>
      </c>
      <c r="U69" s="14"/>
      <c r="V69" s="20">
        <f>IF(T$12=0,0,T69/T$12)</f>
        <v>0.13119013457102285</v>
      </c>
      <c r="W69" s="15"/>
      <c r="X69" s="22">
        <f>+P69-T69</f>
        <v>-18883.855603096141</v>
      </c>
      <c r="Y69" s="15"/>
      <c r="Z69" s="20">
        <f>IF(T69=0,0,X69/T69)</f>
        <v>-0.71102452945301575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2"/>
      <c r="B71" s="10" t="s">
        <v>14</v>
      </c>
      <c r="C71" s="10"/>
      <c r="D71" s="4">
        <v>789.27</v>
      </c>
      <c r="E71" s="4"/>
      <c r="F71" s="12">
        <f>IF(D$12=0,0,D71/D$12)</f>
        <v>2.548087167070218E-2</v>
      </c>
      <c r="G71" s="4"/>
      <c r="H71" s="4">
        <v>24387</v>
      </c>
      <c r="I71" s="4"/>
      <c r="J71" s="12">
        <f>IF(H$12=0,0,H71/H$12)</f>
        <v>0.14550368726283383</v>
      </c>
      <c r="K71" s="4"/>
      <c r="L71" s="4">
        <f>+D71-H71</f>
        <v>-23597.73</v>
      </c>
      <c r="M71" s="4"/>
      <c r="N71" s="12">
        <f>IF(H71=0,0,L71/H71)</f>
        <v>-0.9676356255381966</v>
      </c>
      <c r="O71" s="10"/>
      <c r="P71" s="4">
        <v>8464.15</v>
      </c>
      <c r="Q71" s="4"/>
      <c r="R71" s="12">
        <f>IF(P$12=0,0,P71/P$12)</f>
        <v>0.12468181952096161</v>
      </c>
      <c r="S71" s="4"/>
      <c r="T71" s="4">
        <v>32878</v>
      </c>
      <c r="U71" s="4"/>
      <c r="V71" s="12">
        <f>IF(T$12=0,0,T71/T$12)</f>
        <v>0.16240540593942029</v>
      </c>
      <c r="W71" s="4"/>
      <c r="X71" s="4">
        <f>+P71-T71</f>
        <v>-24413.85</v>
      </c>
      <c r="Y71" s="4"/>
      <c r="Z71" s="12">
        <f>IF(T71=0,0,X71/T71)</f>
        <v>-0.74255885394488708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9" t="s">
        <v>4</v>
      </c>
      <c r="C73" s="29"/>
      <c r="D73" s="31">
        <f>+D69-D71</f>
        <v>6885.0500000000029</v>
      </c>
      <c r="E73" s="14"/>
      <c r="F73" s="32">
        <f>IF(D$12=0,0,D73/D$12)</f>
        <v>0.22227764326069421</v>
      </c>
      <c r="G73" s="14"/>
      <c r="H73" s="31">
        <f>+H69-H71</f>
        <v>-2398.5911208461621</v>
      </c>
      <c r="I73" s="14"/>
      <c r="J73" s="32">
        <f>IF(H$12=0,0,H73/H$12)</f>
        <v>-1.4311061316234469E-2</v>
      </c>
      <c r="K73" s="15"/>
      <c r="L73" s="31">
        <f>D73-H73</f>
        <v>9283.641120846165</v>
      </c>
      <c r="M73" s="15"/>
      <c r="N73" s="32">
        <f>IF(H73=0,0,L73/H73)</f>
        <v>-3.8704558856080196</v>
      </c>
      <c r="O73" s="28"/>
      <c r="P73" s="31">
        <f>+P69-P71</f>
        <v>-789.34999999998945</v>
      </c>
      <c r="Q73" s="14"/>
      <c r="R73" s="32">
        <f>IF(P$12=0,0,P73/P$12)</f>
        <v>-1.1627581533747598E-2</v>
      </c>
      <c r="S73" s="14"/>
      <c r="T73" s="31">
        <f>+T69-T71</f>
        <v>-6319.344396903849</v>
      </c>
      <c r="U73" s="14"/>
      <c r="V73" s="32">
        <f>IF(T$12=0,0,T73/T$12)</f>
        <v>-3.121527136839743E-2</v>
      </c>
      <c r="W73" s="15"/>
      <c r="X73" s="31">
        <f>P73-T73</f>
        <v>5529.9943969038595</v>
      </c>
      <c r="Y73" s="15"/>
      <c r="Z73" s="32">
        <f>IF(T73=0,0,X73/T73)</f>
        <v>-0.87508989059264919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9" t="s">
        <v>5</v>
      </c>
      <c r="C76" s="29"/>
      <c r="D76" s="33">
        <f>SUM(D73:D75)</f>
        <v>6885.0500000000029</v>
      </c>
      <c r="E76" s="14"/>
      <c r="F76" s="35">
        <f>IF(D$12=0,0,D76/D$12)</f>
        <v>0.22227764326069421</v>
      </c>
      <c r="G76" s="14"/>
      <c r="H76" s="33">
        <f>SUM(H73:H75)</f>
        <v>-2398.5911208461621</v>
      </c>
      <c r="I76" s="14"/>
      <c r="J76" s="35">
        <f>IF(H$12=0,0,H76/H$12)</f>
        <v>-1.4311061316234469E-2</v>
      </c>
      <c r="K76" s="15"/>
      <c r="L76" s="33">
        <f>+D76-H76</f>
        <v>9283.641120846165</v>
      </c>
      <c r="M76" s="15"/>
      <c r="N76" s="35">
        <f>IF(H76=0,0,L76/H76)</f>
        <v>-3.8704558856080196</v>
      </c>
      <c r="O76" s="28"/>
      <c r="P76" s="33">
        <f>SUM(P73:P75)</f>
        <v>-789.34999999998945</v>
      </c>
      <c r="Q76" s="14"/>
      <c r="R76" s="35">
        <f>IF(P$12=0,0,P76/P$12)</f>
        <v>-1.1627581533747598E-2</v>
      </c>
      <c r="S76" s="14"/>
      <c r="T76" s="33">
        <f>SUM(T73:T75)</f>
        <v>-6319.344396903849</v>
      </c>
      <c r="U76" s="14"/>
      <c r="V76" s="35">
        <f>IF(T$12=0,0,T76/T$12)</f>
        <v>-3.121527136839743E-2</v>
      </c>
      <c r="W76" s="15"/>
      <c r="X76" s="33">
        <f>+P76-T76</f>
        <v>5529.9943969038595</v>
      </c>
      <c r="Y76" s="15"/>
      <c r="Z76" s="35">
        <f>IF(T76=0,0,X76/T76)</f>
        <v>-0.87508989059264919</v>
      </c>
    </row>
    <row r="77" spans="1:26" ht="15.75" thickTop="1" x14ac:dyDescent="0.25">
      <c r="A77" s="9"/>
      <c r="C77" s="9"/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61">
        <v>43732.70662503472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62" t="s">
        <v>314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8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4:24" x14ac:dyDescent="0.25"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308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309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309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312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312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307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307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306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306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6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303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303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304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304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305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305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310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310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313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313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15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H246" sqref="H24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297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4218295.5499999961</v>
      </c>
      <c r="E12" s="4"/>
      <c r="F12" s="12"/>
      <c r="G12" s="4"/>
      <c r="H12" s="4">
        <f>SUM(OSRRefH13x_0)</f>
        <v>4439424.0206399998</v>
      </c>
      <c r="I12" s="4"/>
      <c r="J12" s="12"/>
      <c r="K12" s="4"/>
      <c r="L12" s="4">
        <f t="shared" ref="L12:L121" si="0">+D12-H12</f>
        <v>-221128.47064000368</v>
      </c>
      <c r="M12" s="4"/>
      <c r="N12" s="12">
        <f t="shared" ref="N12:N121" si="1">IF(H12=0,0,L12/H12)</f>
        <v>-4.9810171232106182E-2</v>
      </c>
      <c r="O12" s="10"/>
      <c r="P12" s="4">
        <f>SUM(OSRRefP13x_0)</f>
        <v>5725206.9299999988</v>
      </c>
      <c r="Q12" s="4"/>
      <c r="R12" s="12"/>
      <c r="S12" s="4"/>
      <c r="T12" s="4">
        <f>SUM(OSRRefT13x_0)</f>
        <v>6080258.6364500001</v>
      </c>
      <c r="U12" s="4"/>
      <c r="V12" s="12"/>
      <c r="W12" s="4"/>
      <c r="X12" s="4">
        <f t="shared" ref="X12:X121" si="2">+P12-T12</f>
        <v>-355051.70645000134</v>
      </c>
      <c r="Y12" s="4"/>
      <c r="Z12" s="12">
        <f t="shared" ref="Z12:Z121" si="3">IF(T12=0,0,X12/T12)</f>
        <v>-5.8394178221553524E-2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1101028.02064</v>
      </c>
      <c r="I13" s="2"/>
      <c r="J13" s="21"/>
      <c r="K13" s="2"/>
      <c r="L13" s="2">
        <f t="shared" si="0"/>
        <v>-1101028.02064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1892373.6364500001</v>
      </c>
      <c r="U13" s="2"/>
      <c r="V13" s="21"/>
      <c r="W13" s="2"/>
      <c r="X13" s="2">
        <f t="shared" si="2"/>
        <v>-1892373.6364500001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"4001", " - ", "TAXABLE SALES-NEW TEXT")</f>
        <v xml:space="preserve">          4001 - TAXABLE SALES-NEW TEXT</v>
      </c>
      <c r="C14" s="11"/>
      <c r="D14" s="2">
        <f>--1090909.72</f>
        <v>1090909.72</v>
      </c>
      <c r="E14" s="2"/>
      <c r="F14" s="21"/>
      <c r="G14" s="2"/>
      <c r="H14" s="2"/>
      <c r="I14" s="2"/>
      <c r="J14" s="21"/>
      <c r="K14" s="2"/>
      <c r="L14" s="2">
        <f t="shared" si="0"/>
        <v>1090909.72</v>
      </c>
      <c r="M14" s="2"/>
      <c r="N14" s="21">
        <f t="shared" si="1"/>
        <v>0</v>
      </c>
      <c r="O14" s="11"/>
      <c r="P14" s="2">
        <f>--1127221.97</f>
        <v>1127221.97</v>
      </c>
      <c r="Q14" s="2"/>
      <c r="R14" s="21"/>
      <c r="S14" s="2"/>
      <c r="T14" s="2"/>
      <c r="U14" s="2"/>
      <c r="V14" s="21"/>
      <c r="W14" s="2"/>
      <c r="X14" s="2">
        <f t="shared" si="2"/>
        <v>1127221.97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"4002", " - ", "TAXABLE SALES-USED TEXT")</f>
        <v xml:space="preserve">          4002 - TAXABLE SALES-USED TEXT</v>
      </c>
      <c r="C15" s="11"/>
      <c r="D15" s="2">
        <f>--533666.11</f>
        <v>533666.11</v>
      </c>
      <c r="E15" s="2"/>
      <c r="F15" s="21"/>
      <c r="G15" s="2"/>
      <c r="H15" s="2"/>
      <c r="I15" s="2"/>
      <c r="J15" s="21"/>
      <c r="K15" s="2"/>
      <c r="L15" s="2">
        <f t="shared" si="0"/>
        <v>533666.11</v>
      </c>
      <c r="M15" s="2"/>
      <c r="N15" s="21">
        <f t="shared" si="1"/>
        <v>0</v>
      </c>
      <c r="O15" s="11"/>
      <c r="P15" s="2">
        <f>--555460.92</f>
        <v>555460.92000000004</v>
      </c>
      <c r="Q15" s="2"/>
      <c r="R15" s="21"/>
      <c r="S15" s="2"/>
      <c r="T15" s="2"/>
      <c r="U15" s="2"/>
      <c r="V15" s="21"/>
      <c r="W15" s="2"/>
      <c r="X15" s="2">
        <f t="shared" si="2"/>
        <v>555460.92000000004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"4003", " - ", "TAXABLE SALES-RENTAL TEXT")</f>
        <v xml:space="preserve">          4003 - TAXABLE SALES-RENTAL TEXT</v>
      </c>
      <c r="C16" s="11"/>
      <c r="D16" s="2">
        <f>--12302.07</f>
        <v>12302.07</v>
      </c>
      <c r="E16" s="2"/>
      <c r="F16" s="21"/>
      <c r="G16" s="2"/>
      <c r="H16" s="2"/>
      <c r="I16" s="2"/>
      <c r="J16" s="21"/>
      <c r="K16" s="2"/>
      <c r="L16" s="2">
        <f t="shared" si="0"/>
        <v>12302.07</v>
      </c>
      <c r="M16" s="2"/>
      <c r="N16" s="21">
        <f t="shared" si="1"/>
        <v>0</v>
      </c>
      <c r="O16" s="11"/>
      <c r="P16" s="2">
        <f>--12736.05</f>
        <v>12736.05</v>
      </c>
      <c r="Q16" s="2"/>
      <c r="R16" s="21"/>
      <c r="S16" s="2"/>
      <c r="T16" s="2"/>
      <c r="U16" s="2"/>
      <c r="V16" s="21"/>
      <c r="W16" s="2"/>
      <c r="X16" s="2">
        <f t="shared" si="2"/>
        <v>12736.05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"4004", " - ", "TAXABLE SALES-DIGITAL TEXT")</f>
        <v xml:space="preserve">          4004 - TAXABLE SALES-DIGITAL TEXT</v>
      </c>
      <c r="C17" s="11"/>
      <c r="D17" s="2">
        <f>--22276.72</f>
        <v>22276.720000000001</v>
      </c>
      <c r="E17" s="2"/>
      <c r="F17" s="21"/>
      <c r="G17" s="2"/>
      <c r="H17" s="2"/>
      <c r="I17" s="2"/>
      <c r="J17" s="21"/>
      <c r="K17" s="2"/>
      <c r="L17" s="2">
        <f t="shared" si="0"/>
        <v>22276.720000000001</v>
      </c>
      <c r="M17" s="2"/>
      <c r="N17" s="21">
        <f t="shared" si="1"/>
        <v>0</v>
      </c>
      <c r="O17" s="11"/>
      <c r="P17" s="2">
        <f>--22410.07</f>
        <v>22410.07</v>
      </c>
      <c r="Q17" s="2"/>
      <c r="R17" s="21"/>
      <c r="S17" s="2"/>
      <c r="T17" s="2"/>
      <c r="U17" s="2"/>
      <c r="V17" s="21"/>
      <c r="W17" s="2"/>
      <c r="X17" s="2">
        <f t="shared" si="2"/>
        <v>22410.07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"4013", " - ", "TAXABLE SALES-TRADE BOOKS")</f>
        <v xml:space="preserve">          4013 - TAXABLE SALES-TRADE BOOKS</v>
      </c>
      <c r="C18" s="11"/>
      <c r="D18" s="2">
        <f>--70.86</f>
        <v>70.86</v>
      </c>
      <c r="E18" s="2"/>
      <c r="F18" s="21"/>
      <c r="G18" s="2"/>
      <c r="H18" s="2"/>
      <c r="I18" s="2"/>
      <c r="J18" s="21"/>
      <c r="K18" s="2"/>
      <c r="L18" s="2">
        <f t="shared" si="0"/>
        <v>70.86</v>
      </c>
      <c r="M18" s="2"/>
      <c r="N18" s="21">
        <f t="shared" si="1"/>
        <v>0</v>
      </c>
      <c r="O18" s="11"/>
      <c r="P18" s="2">
        <f>--110.81</f>
        <v>110.81</v>
      </c>
      <c r="Q18" s="2"/>
      <c r="R18" s="21"/>
      <c r="S18" s="2"/>
      <c r="T18" s="2"/>
      <c r="U18" s="2"/>
      <c r="V18" s="21"/>
      <c r="W18" s="2"/>
      <c r="X18" s="2">
        <f t="shared" si="2"/>
        <v>110.81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"4014", " - ", "TAXABLE SALES-REMAINDERS")</f>
        <v xml:space="preserve">          4014 - TAXABLE SALES-REMAINDERS</v>
      </c>
      <c r="C19" s="11"/>
      <c r="D19" s="2">
        <f>--175</f>
        <v>175</v>
      </c>
      <c r="E19" s="2"/>
      <c r="F19" s="21"/>
      <c r="G19" s="2"/>
      <c r="H19" s="2"/>
      <c r="I19" s="2"/>
      <c r="J19" s="21"/>
      <c r="K19" s="2"/>
      <c r="L19" s="2">
        <f t="shared" si="0"/>
        <v>175</v>
      </c>
      <c r="M19" s="2"/>
      <c r="N19" s="21">
        <f t="shared" si="1"/>
        <v>0</v>
      </c>
      <c r="O19" s="11"/>
      <c r="P19" s="2">
        <f>--425.65</f>
        <v>425.65</v>
      </c>
      <c r="Q19" s="2"/>
      <c r="R19" s="21"/>
      <c r="S19" s="2"/>
      <c r="T19" s="2"/>
      <c r="U19" s="2"/>
      <c r="V19" s="21"/>
      <c r="W19" s="2"/>
      <c r="X19" s="2">
        <f t="shared" si="2"/>
        <v>425.65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--152.83</f>
        <v>152.83000000000001</v>
      </c>
      <c r="E20" s="2"/>
      <c r="F20" s="21"/>
      <c r="G20" s="2"/>
      <c r="H20" s="2"/>
      <c r="I20" s="2"/>
      <c r="J20" s="21"/>
      <c r="K20" s="2"/>
      <c r="L20" s="2">
        <f t="shared" si="0"/>
        <v>152.83000000000001</v>
      </c>
      <c r="M20" s="2"/>
      <c r="N20" s="21">
        <f t="shared" si="1"/>
        <v>0</v>
      </c>
      <c r="O20" s="11"/>
      <c r="P20" s="2">
        <f>--157.3</f>
        <v>157.30000000000001</v>
      </c>
      <c r="Q20" s="2"/>
      <c r="R20" s="21"/>
      <c r="S20" s="2"/>
      <c r="T20" s="2"/>
      <c r="U20" s="2"/>
      <c r="V20" s="21"/>
      <c r="W20" s="2"/>
      <c r="X20" s="2">
        <f t="shared" si="2"/>
        <v>157.30000000000001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"4018", " - ", "TAXABLE SALES-STUDY GUIDES")</f>
        <v xml:space="preserve">          4018 - TAXABLE SALES-STUDY GUIDES</v>
      </c>
      <c r="C21" s="11"/>
      <c r="D21" s="2">
        <f>--1184.84</f>
        <v>1184.8399999999999</v>
      </c>
      <c r="E21" s="2"/>
      <c r="F21" s="21"/>
      <c r="G21" s="2"/>
      <c r="H21" s="2"/>
      <c r="I21" s="2"/>
      <c r="J21" s="21"/>
      <c r="K21" s="2"/>
      <c r="L21" s="2">
        <f t="shared" si="0"/>
        <v>1184.8399999999999</v>
      </c>
      <c r="M21" s="2"/>
      <c r="N21" s="21">
        <f t="shared" si="1"/>
        <v>0</v>
      </c>
      <c r="O21" s="11"/>
      <c r="P21" s="2">
        <f>--1364.13</f>
        <v>1364.13</v>
      </c>
      <c r="Q21" s="2"/>
      <c r="R21" s="21"/>
      <c r="S21" s="2"/>
      <c r="T21" s="2"/>
      <c r="U21" s="2"/>
      <c r="V21" s="21"/>
      <c r="W21" s="2"/>
      <c r="X21" s="2">
        <f t="shared" si="2"/>
        <v>1364.13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"4019", " - ", "TAXABLE SALES-BOOK RELATED")</f>
        <v xml:space="preserve">          4019 - TAXABLE SALES-BOOK RELATED</v>
      </c>
      <c r="C22" s="11"/>
      <c r="D22" s="2">
        <f>--14.95</f>
        <v>14.95</v>
      </c>
      <c r="E22" s="2"/>
      <c r="F22" s="21"/>
      <c r="G22" s="2"/>
      <c r="H22" s="2"/>
      <c r="I22" s="2"/>
      <c r="J22" s="21"/>
      <c r="K22" s="2"/>
      <c r="L22" s="2">
        <f t="shared" si="0"/>
        <v>14.95</v>
      </c>
      <c r="M22" s="2"/>
      <c r="N22" s="21">
        <f t="shared" si="1"/>
        <v>0</v>
      </c>
      <c r="O22" s="11"/>
      <c r="P22" s="2">
        <f>--14.95</f>
        <v>14.95</v>
      </c>
      <c r="Q22" s="2"/>
      <c r="R22" s="21"/>
      <c r="S22" s="2"/>
      <c r="T22" s="2"/>
      <c r="U22" s="2"/>
      <c r="V22" s="21"/>
      <c r="W22" s="2"/>
      <c r="X22" s="2">
        <f t="shared" si="2"/>
        <v>14.95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"4025", " - ", "TAXABLE SALES-TEST FORMS")</f>
        <v xml:space="preserve">          4025 - TAXABLE SALES-TEST FORMS</v>
      </c>
      <c r="C23" s="11"/>
      <c r="D23" s="2">
        <f>--4066.24</f>
        <v>4066.24</v>
      </c>
      <c r="E23" s="2"/>
      <c r="F23" s="21"/>
      <c r="G23" s="2"/>
      <c r="H23" s="2"/>
      <c r="I23" s="2"/>
      <c r="J23" s="21"/>
      <c r="K23" s="2"/>
      <c r="L23" s="2">
        <f t="shared" si="0"/>
        <v>4066.24</v>
      </c>
      <c r="M23" s="2"/>
      <c r="N23" s="21">
        <f t="shared" si="1"/>
        <v>0</v>
      </c>
      <c r="O23" s="11"/>
      <c r="P23" s="2">
        <f>--4458.53</f>
        <v>4458.53</v>
      </c>
      <c r="Q23" s="2"/>
      <c r="R23" s="21"/>
      <c r="S23" s="2"/>
      <c r="T23" s="2"/>
      <c r="U23" s="2"/>
      <c r="V23" s="21"/>
      <c r="W23" s="2"/>
      <c r="X23" s="2">
        <f t="shared" si="2"/>
        <v>4458.53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--10841.03</f>
        <v>10841.03</v>
      </c>
      <c r="E24" s="2"/>
      <c r="F24" s="21"/>
      <c r="G24" s="2"/>
      <c r="H24" s="2"/>
      <c r="I24" s="2"/>
      <c r="J24" s="21"/>
      <c r="K24" s="2"/>
      <c r="L24" s="2">
        <f t="shared" si="0"/>
        <v>10841.03</v>
      </c>
      <c r="M24" s="2"/>
      <c r="N24" s="21">
        <f t="shared" si="1"/>
        <v>0</v>
      </c>
      <c r="O24" s="11"/>
      <c r="P24" s="2">
        <f>--12776.54</f>
        <v>12776.54</v>
      </c>
      <c r="Q24" s="2"/>
      <c r="R24" s="21"/>
      <c r="S24" s="2"/>
      <c r="T24" s="2"/>
      <c r="U24" s="2"/>
      <c r="V24" s="21"/>
      <c r="W24" s="2"/>
      <c r="X24" s="2">
        <f t="shared" si="2"/>
        <v>12776.54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--65949.25</f>
        <v>65949.25</v>
      </c>
      <c r="E25" s="2"/>
      <c r="F25" s="21"/>
      <c r="G25" s="2"/>
      <c r="H25" s="2"/>
      <c r="I25" s="2"/>
      <c r="J25" s="21"/>
      <c r="K25" s="2"/>
      <c r="L25" s="2">
        <f t="shared" si="0"/>
        <v>65949.25</v>
      </c>
      <c r="M25" s="2"/>
      <c r="N25" s="21">
        <f t="shared" si="1"/>
        <v>0</v>
      </c>
      <c r="O25" s="11"/>
      <c r="P25" s="2">
        <f>--79099.25</f>
        <v>79099.25</v>
      </c>
      <c r="Q25" s="2"/>
      <c r="R25" s="21"/>
      <c r="S25" s="2"/>
      <c r="T25" s="2"/>
      <c r="U25" s="2"/>
      <c r="V25" s="21"/>
      <c r="W25" s="2"/>
      <c r="X25" s="2">
        <f t="shared" si="2"/>
        <v>79099.25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"4028", " - ", "TAXABLE SALES-ART/TECH")</f>
        <v xml:space="preserve">          4028 - TAXABLE SALES-ART/TECH</v>
      </c>
      <c r="C26" s="11"/>
      <c r="D26" s="2">
        <f>--46631.39</f>
        <v>46631.39</v>
      </c>
      <c r="E26" s="2"/>
      <c r="F26" s="21"/>
      <c r="G26" s="2"/>
      <c r="H26" s="2"/>
      <c r="I26" s="2"/>
      <c r="J26" s="21"/>
      <c r="K26" s="2"/>
      <c r="L26" s="2">
        <f t="shared" si="0"/>
        <v>46631.39</v>
      </c>
      <c r="M26" s="2"/>
      <c r="N26" s="21">
        <f t="shared" si="1"/>
        <v>0</v>
      </c>
      <c r="O26" s="11"/>
      <c r="P26" s="2">
        <f>--48915.55</f>
        <v>48915.55</v>
      </c>
      <c r="Q26" s="2"/>
      <c r="R26" s="21"/>
      <c r="S26" s="2"/>
      <c r="T26" s="2"/>
      <c r="U26" s="2"/>
      <c r="V26" s="21"/>
      <c r="W26" s="2"/>
      <c r="X26" s="2">
        <f t="shared" si="2"/>
        <v>48915.55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"4031", " - ", "TAXABLE SALES-FOOD")</f>
        <v xml:space="preserve">          4031 - TAXABLE SALES-FOOD</v>
      </c>
      <c r="C27" s="11"/>
      <c r="D27" s="2">
        <f>--30.82</f>
        <v>30.82</v>
      </c>
      <c r="E27" s="2"/>
      <c r="F27" s="21"/>
      <c r="G27" s="2"/>
      <c r="H27" s="2"/>
      <c r="I27" s="2"/>
      <c r="J27" s="21"/>
      <c r="K27" s="2"/>
      <c r="L27" s="2">
        <f t="shared" si="0"/>
        <v>30.82</v>
      </c>
      <c r="M27" s="2"/>
      <c r="N27" s="21">
        <f t="shared" si="1"/>
        <v>0</v>
      </c>
      <c r="O27" s="11"/>
      <c r="P27" s="2">
        <f>--32.34</f>
        <v>32.340000000000003</v>
      </c>
      <c r="Q27" s="2"/>
      <c r="R27" s="21"/>
      <c r="S27" s="2"/>
      <c r="T27" s="2"/>
      <c r="U27" s="2"/>
      <c r="V27" s="21"/>
      <c r="W27" s="2"/>
      <c r="X27" s="2">
        <f t="shared" si="2"/>
        <v>32.340000000000003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"4032", " - ", "TAXABLE SALES-JUICE")</f>
        <v xml:space="preserve">          4032 - TAXABLE SALES-JUICE</v>
      </c>
      <c r="C28" s="11"/>
      <c r="D28" s="2">
        <f>--17871.46</f>
        <v>17871.46</v>
      </c>
      <c r="E28" s="2"/>
      <c r="F28" s="21"/>
      <c r="G28" s="2"/>
      <c r="H28" s="2"/>
      <c r="I28" s="2"/>
      <c r="J28" s="21"/>
      <c r="K28" s="2"/>
      <c r="L28" s="2">
        <f t="shared" si="0"/>
        <v>17871.46</v>
      </c>
      <c r="M28" s="2"/>
      <c r="N28" s="21">
        <f t="shared" si="1"/>
        <v>0</v>
      </c>
      <c r="O28" s="11"/>
      <c r="P28" s="2">
        <f>--24753.19</f>
        <v>24753.19</v>
      </c>
      <c r="Q28" s="2"/>
      <c r="R28" s="21"/>
      <c r="S28" s="2"/>
      <c r="T28" s="2"/>
      <c r="U28" s="2"/>
      <c r="V28" s="21"/>
      <c r="W28" s="2"/>
      <c r="X28" s="2">
        <f t="shared" si="2"/>
        <v>24753.19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"4033", " - ", "TAXABLE SALES-CANDY")</f>
        <v xml:space="preserve">          4033 - TAXABLE SALES-CANDY</v>
      </c>
      <c r="C29" s="11"/>
      <c r="D29" s="2">
        <f>--9.83</f>
        <v>9.83</v>
      </c>
      <c r="E29" s="2"/>
      <c r="F29" s="21"/>
      <c r="G29" s="2"/>
      <c r="H29" s="2"/>
      <c r="I29" s="2"/>
      <c r="J29" s="21"/>
      <c r="K29" s="2"/>
      <c r="L29" s="2">
        <f t="shared" si="0"/>
        <v>9.83</v>
      </c>
      <c r="M29" s="2"/>
      <c r="N29" s="21">
        <f t="shared" si="1"/>
        <v>0</v>
      </c>
      <c r="O29" s="11"/>
      <c r="P29" s="2">
        <f>--13</f>
        <v>13</v>
      </c>
      <c r="Q29" s="2"/>
      <c r="R29" s="21"/>
      <c r="S29" s="2"/>
      <c r="T29" s="2"/>
      <c r="U29" s="2"/>
      <c r="V29" s="21"/>
      <c r="W29" s="2"/>
      <c r="X29" s="2">
        <f t="shared" si="2"/>
        <v>13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"4034", " - ", "TAXABLE SALES-SODA")</f>
        <v xml:space="preserve">          4034 - TAXABLE SALES-SODA</v>
      </c>
      <c r="C30" s="11"/>
      <c r="D30" s="2">
        <f>--638.45</f>
        <v>638.45000000000005</v>
      </c>
      <c r="E30" s="2"/>
      <c r="F30" s="21"/>
      <c r="G30" s="2"/>
      <c r="H30" s="2"/>
      <c r="I30" s="2"/>
      <c r="J30" s="21"/>
      <c r="K30" s="2"/>
      <c r="L30" s="2">
        <f t="shared" si="0"/>
        <v>638.45000000000005</v>
      </c>
      <c r="M30" s="2"/>
      <c r="N30" s="21">
        <f t="shared" si="1"/>
        <v>0</v>
      </c>
      <c r="O30" s="11"/>
      <c r="P30" s="2">
        <f>--961.94</f>
        <v>961.94</v>
      </c>
      <c r="Q30" s="2"/>
      <c r="R30" s="21"/>
      <c r="S30" s="2"/>
      <c r="T30" s="2"/>
      <c r="U30" s="2"/>
      <c r="V30" s="21"/>
      <c r="W30" s="2"/>
      <c r="X30" s="2">
        <f t="shared" si="2"/>
        <v>961.94</v>
      </c>
      <c r="Y30" s="2"/>
      <c r="Z30" s="21">
        <f t="shared" si="3"/>
        <v>0</v>
      </c>
    </row>
    <row r="31" spans="1:26" s="24" customFormat="1" hidden="1" outlineLevel="1" x14ac:dyDescent="0.25">
      <c r="A31" s="46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--92.48</f>
        <v>92.48</v>
      </c>
      <c r="E31" s="2"/>
      <c r="F31" s="21"/>
      <c r="G31" s="2"/>
      <c r="H31" s="2"/>
      <c r="I31" s="2"/>
      <c r="J31" s="21"/>
      <c r="K31" s="2"/>
      <c r="L31" s="2">
        <f t="shared" si="0"/>
        <v>92.48</v>
      </c>
      <c r="M31" s="2"/>
      <c r="N31" s="21">
        <f t="shared" si="1"/>
        <v>0</v>
      </c>
      <c r="O31" s="11"/>
      <c r="P31" s="2">
        <f>--98.45</f>
        <v>98.45</v>
      </c>
      <c r="Q31" s="2"/>
      <c r="R31" s="21"/>
      <c r="S31" s="2"/>
      <c r="T31" s="2"/>
      <c r="U31" s="2"/>
      <c r="V31" s="21"/>
      <c r="W31" s="2"/>
      <c r="X31" s="2">
        <f t="shared" si="2"/>
        <v>98.45</v>
      </c>
      <c r="Y31" s="2"/>
      <c r="Z31" s="21">
        <f t="shared" si="3"/>
        <v>0</v>
      </c>
    </row>
    <row r="32" spans="1:26" s="24" customFormat="1" hidden="1" outlineLevel="1" x14ac:dyDescent="0.25">
      <c r="A32" s="46"/>
      <c r="B32" s="11" t="str">
        <f>CONCATENATE("          ", "4037", " - ", "TAXABLE SALES-WATER")</f>
        <v xml:space="preserve">          4037 - TAXABLE SALES-WATER</v>
      </c>
      <c r="C32" s="11"/>
      <c r="D32" s="2">
        <f>--36.88</f>
        <v>36.880000000000003</v>
      </c>
      <c r="E32" s="2"/>
      <c r="F32" s="21"/>
      <c r="G32" s="2"/>
      <c r="H32" s="2"/>
      <c r="I32" s="2"/>
      <c r="J32" s="21"/>
      <c r="K32" s="2"/>
      <c r="L32" s="2">
        <f t="shared" si="0"/>
        <v>36.880000000000003</v>
      </c>
      <c r="M32" s="2"/>
      <c r="N32" s="21">
        <f t="shared" si="1"/>
        <v>0</v>
      </c>
      <c r="O32" s="11"/>
      <c r="P32" s="2">
        <f>--42.17</f>
        <v>42.17</v>
      </c>
      <c r="Q32" s="2"/>
      <c r="R32" s="21"/>
      <c r="S32" s="2"/>
      <c r="T32" s="2"/>
      <c r="U32" s="2"/>
      <c r="V32" s="21"/>
      <c r="W32" s="2"/>
      <c r="X32" s="2">
        <f t="shared" si="2"/>
        <v>42.17</v>
      </c>
      <c r="Y32" s="2"/>
      <c r="Z32" s="21">
        <f t="shared" si="3"/>
        <v>0</v>
      </c>
    </row>
    <row r="33" spans="1:26" s="24" customFormat="1" hidden="1" outlineLevel="1" x14ac:dyDescent="0.25">
      <c r="A33" s="46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--219441.66</f>
        <v>219441.66</v>
      </c>
      <c r="E33" s="2"/>
      <c r="F33" s="21"/>
      <c r="G33" s="2"/>
      <c r="H33" s="2"/>
      <c r="I33" s="2"/>
      <c r="J33" s="21"/>
      <c r="K33" s="2"/>
      <c r="L33" s="2">
        <f t="shared" si="0"/>
        <v>219441.66</v>
      </c>
      <c r="M33" s="2"/>
      <c r="N33" s="21">
        <f t="shared" si="1"/>
        <v>0</v>
      </c>
      <c r="O33" s="11"/>
      <c r="P33" s="2">
        <f>--389753.68</f>
        <v>389753.68</v>
      </c>
      <c r="Q33" s="2"/>
      <c r="R33" s="21"/>
      <c r="S33" s="2"/>
      <c r="T33" s="2"/>
      <c r="U33" s="2"/>
      <c r="V33" s="21"/>
      <c r="W33" s="2"/>
      <c r="X33" s="2">
        <f t="shared" si="2"/>
        <v>389753.68</v>
      </c>
      <c r="Y33" s="2"/>
      <c r="Z33" s="21">
        <f t="shared" si="3"/>
        <v>0</v>
      </c>
    </row>
    <row r="34" spans="1:26" s="24" customFormat="1" hidden="1" outlineLevel="1" x14ac:dyDescent="0.25">
      <c r="A34" s="46"/>
      <c r="B34" s="11" t="str">
        <f>CONCATENATE("          ", "4041", " - ", "TAXABLE SALES-LOGO GIFTS")</f>
        <v xml:space="preserve">          4041 - TAXABLE SALES-LOGO GIFTS</v>
      </c>
      <c r="C34" s="11"/>
      <c r="D34" s="2">
        <f>--120650.82</f>
        <v>120650.82</v>
      </c>
      <c r="E34" s="2"/>
      <c r="F34" s="21"/>
      <c r="G34" s="2"/>
      <c r="H34" s="2"/>
      <c r="I34" s="2"/>
      <c r="J34" s="21"/>
      <c r="K34" s="2"/>
      <c r="L34" s="2">
        <f t="shared" si="0"/>
        <v>120650.82</v>
      </c>
      <c r="M34" s="2"/>
      <c r="N34" s="21">
        <f t="shared" si="1"/>
        <v>0</v>
      </c>
      <c r="O34" s="11"/>
      <c r="P34" s="2">
        <f>--151692.41</f>
        <v>151692.41</v>
      </c>
      <c r="Q34" s="2"/>
      <c r="R34" s="21"/>
      <c r="S34" s="2"/>
      <c r="T34" s="2"/>
      <c r="U34" s="2"/>
      <c r="V34" s="21"/>
      <c r="W34" s="2"/>
      <c r="X34" s="2">
        <f t="shared" si="2"/>
        <v>151692.41</v>
      </c>
      <c r="Y34" s="2"/>
      <c r="Z34" s="21">
        <f t="shared" si="3"/>
        <v>0</v>
      </c>
    </row>
    <row r="35" spans="1:26" s="24" customFormat="1" hidden="1" outlineLevel="1" x14ac:dyDescent="0.25">
      <c r="A35" s="46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--44445.92</f>
        <v>44445.919999999998</v>
      </c>
      <c r="E35" s="2"/>
      <c r="F35" s="21"/>
      <c r="G35" s="2"/>
      <c r="H35" s="2"/>
      <c r="I35" s="2"/>
      <c r="J35" s="21"/>
      <c r="K35" s="2"/>
      <c r="L35" s="2">
        <f t="shared" si="0"/>
        <v>44445.919999999998</v>
      </c>
      <c r="M35" s="2"/>
      <c r="N35" s="21">
        <f t="shared" si="1"/>
        <v>0</v>
      </c>
      <c r="O35" s="11"/>
      <c r="P35" s="2">
        <f>--60038.97</f>
        <v>60038.97</v>
      </c>
      <c r="Q35" s="2"/>
      <c r="R35" s="21"/>
      <c r="S35" s="2"/>
      <c r="T35" s="2"/>
      <c r="U35" s="2"/>
      <c r="V35" s="21"/>
      <c r="W35" s="2"/>
      <c r="X35" s="2">
        <f t="shared" si="2"/>
        <v>60038.97</v>
      </c>
      <c r="Y35" s="2"/>
      <c r="Z35" s="21">
        <f t="shared" si="3"/>
        <v>0</v>
      </c>
    </row>
    <row r="36" spans="1:26" s="24" customFormat="1" hidden="1" outlineLevel="1" x14ac:dyDescent="0.25">
      <c r="A36" s="46"/>
      <c r="B36" s="11" t="str">
        <f>CONCATENATE("          ", "4043", " - ", "TAXABLE SALES-CARDS")</f>
        <v xml:space="preserve">          4043 - TAXABLE SALES-CARDS</v>
      </c>
      <c r="C36" s="11"/>
      <c r="D36" s="2">
        <f>--129.05</f>
        <v>129.05000000000001</v>
      </c>
      <c r="E36" s="2"/>
      <c r="F36" s="21"/>
      <c r="G36" s="2"/>
      <c r="H36" s="2"/>
      <c r="I36" s="2"/>
      <c r="J36" s="21"/>
      <c r="K36" s="2"/>
      <c r="L36" s="2">
        <f t="shared" si="0"/>
        <v>129.05000000000001</v>
      </c>
      <c r="M36" s="2"/>
      <c r="N36" s="21">
        <f t="shared" si="1"/>
        <v>0</v>
      </c>
      <c r="O36" s="11"/>
      <c r="P36" s="2">
        <f>--185.45</f>
        <v>185.45</v>
      </c>
      <c r="Q36" s="2"/>
      <c r="R36" s="21"/>
      <c r="S36" s="2"/>
      <c r="T36" s="2"/>
      <c r="U36" s="2"/>
      <c r="V36" s="21"/>
      <c r="W36" s="2"/>
      <c r="X36" s="2">
        <f t="shared" si="2"/>
        <v>185.45</v>
      </c>
      <c r="Y36" s="2"/>
      <c r="Z36" s="21">
        <f t="shared" si="3"/>
        <v>0</v>
      </c>
    </row>
    <row r="37" spans="1:26" s="24" customFormat="1" hidden="1" outlineLevel="1" x14ac:dyDescent="0.25">
      <c r="A37" s="46"/>
      <c r="B37" s="11" t="str">
        <f>CONCATENATE("          ", "4044", " - ", "TAXABLE SALES-ACCESSORIES")</f>
        <v xml:space="preserve">          4044 - TAXABLE SALES-ACCESSORIES</v>
      </c>
      <c r="C37" s="11"/>
      <c r="D37" s="2">
        <f>--19434.42</f>
        <v>19434.419999999998</v>
      </c>
      <c r="E37" s="2"/>
      <c r="F37" s="21"/>
      <c r="G37" s="2"/>
      <c r="H37" s="2"/>
      <c r="I37" s="2"/>
      <c r="J37" s="21"/>
      <c r="K37" s="2"/>
      <c r="L37" s="2">
        <f t="shared" si="0"/>
        <v>19434.419999999998</v>
      </c>
      <c r="M37" s="2"/>
      <c r="N37" s="21">
        <f t="shared" si="1"/>
        <v>0</v>
      </c>
      <c r="O37" s="11"/>
      <c r="P37" s="2">
        <f>--21777.07</f>
        <v>21777.07</v>
      </c>
      <c r="Q37" s="2"/>
      <c r="R37" s="21"/>
      <c r="S37" s="2"/>
      <c r="T37" s="2"/>
      <c r="U37" s="2"/>
      <c r="V37" s="21"/>
      <c r="W37" s="2"/>
      <c r="X37" s="2">
        <f t="shared" si="2"/>
        <v>21777.07</v>
      </c>
      <c r="Y37" s="2"/>
      <c r="Z37" s="21">
        <f t="shared" si="3"/>
        <v>0</v>
      </c>
    </row>
    <row r="38" spans="1:26" s="24" customFormat="1" hidden="1" outlineLevel="1" x14ac:dyDescent="0.25">
      <c r="A38" s="46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--6103.32</f>
        <v>6103.32</v>
      </c>
      <c r="E38" s="2"/>
      <c r="F38" s="21"/>
      <c r="G38" s="2"/>
      <c r="H38" s="2"/>
      <c r="I38" s="2"/>
      <c r="J38" s="21"/>
      <c r="K38" s="2"/>
      <c r="L38" s="2">
        <f t="shared" si="0"/>
        <v>6103.32</v>
      </c>
      <c r="M38" s="2"/>
      <c r="N38" s="21">
        <f t="shared" si="1"/>
        <v>0</v>
      </c>
      <c r="O38" s="11"/>
      <c r="P38" s="2">
        <f>--25524.04</f>
        <v>25524.04</v>
      </c>
      <c r="Q38" s="2"/>
      <c r="R38" s="21"/>
      <c r="S38" s="2"/>
      <c r="T38" s="2"/>
      <c r="U38" s="2"/>
      <c r="V38" s="21"/>
      <c r="W38" s="2"/>
      <c r="X38" s="2">
        <f t="shared" si="2"/>
        <v>25524.04</v>
      </c>
      <c r="Y38" s="2"/>
      <c r="Z38" s="21">
        <f t="shared" si="3"/>
        <v>0</v>
      </c>
    </row>
    <row r="39" spans="1:26" s="24" customFormat="1" hidden="1" outlineLevel="1" x14ac:dyDescent="0.25">
      <c r="A39" s="46"/>
      <c r="B39" s="11" t="str">
        <f>CONCATENATE("          ", "4047", " - ", "TAXABLE SALES-MISC")</f>
        <v xml:space="preserve">          4047 - TAXABLE SALES-MISC</v>
      </c>
      <c r="C39" s="11"/>
      <c r="D39" s="2">
        <f>--442.38</f>
        <v>442.38</v>
      </c>
      <c r="E39" s="2"/>
      <c r="F39" s="21"/>
      <c r="G39" s="2"/>
      <c r="H39" s="2"/>
      <c r="I39" s="2"/>
      <c r="J39" s="21"/>
      <c r="K39" s="2"/>
      <c r="L39" s="2">
        <f t="shared" si="0"/>
        <v>442.38</v>
      </c>
      <c r="M39" s="2"/>
      <c r="N39" s="21">
        <f t="shared" si="1"/>
        <v>0</v>
      </c>
      <c r="O39" s="11"/>
      <c r="P39" s="2">
        <f>--482.38</f>
        <v>482.38</v>
      </c>
      <c r="Q39" s="2"/>
      <c r="R39" s="21"/>
      <c r="S39" s="2"/>
      <c r="T39" s="2"/>
      <c r="U39" s="2"/>
      <c r="V39" s="21"/>
      <c r="W39" s="2"/>
      <c r="X39" s="2">
        <f t="shared" si="2"/>
        <v>482.38</v>
      </c>
      <c r="Y39" s="2"/>
      <c r="Z39" s="21">
        <f t="shared" si="3"/>
        <v>0</v>
      </c>
    </row>
    <row r="40" spans="1:26" s="24" customFormat="1" hidden="1" outlineLevel="1" x14ac:dyDescent="0.25">
      <c r="A40" s="46"/>
      <c r="B40" s="11" t="str">
        <f>CONCATENATE("          ", "4051", " - ", "TAXABLE SALES-FOOD")</f>
        <v xml:space="preserve">          4051 - TAXABLE SALES-FOOD</v>
      </c>
      <c r="C40" s="11"/>
      <c r="D40" s="2">
        <f>--41756.26</f>
        <v>41756.26</v>
      </c>
      <c r="E40" s="2"/>
      <c r="F40" s="21"/>
      <c r="G40" s="2"/>
      <c r="H40" s="2"/>
      <c r="I40" s="2"/>
      <c r="J40" s="21"/>
      <c r="K40" s="2"/>
      <c r="L40" s="2">
        <f t="shared" si="0"/>
        <v>41756.26</v>
      </c>
      <c r="M40" s="2"/>
      <c r="N40" s="21">
        <f t="shared" si="1"/>
        <v>0</v>
      </c>
      <c r="O40" s="11"/>
      <c r="P40" s="2">
        <f>--64362.63</f>
        <v>64362.63</v>
      </c>
      <c r="Q40" s="2"/>
      <c r="R40" s="21"/>
      <c r="S40" s="2"/>
      <c r="T40" s="2"/>
      <c r="U40" s="2"/>
      <c r="V40" s="21"/>
      <c r="W40" s="2"/>
      <c r="X40" s="2">
        <f t="shared" si="2"/>
        <v>64362.63</v>
      </c>
      <c r="Y40" s="2"/>
      <c r="Z40" s="21">
        <f t="shared" si="3"/>
        <v>0</v>
      </c>
    </row>
    <row r="41" spans="1:26" s="24" customFormat="1" hidden="1" outlineLevel="1" x14ac:dyDescent="0.25">
      <c r="A41" s="46"/>
      <c r="B41" s="11" t="str">
        <f>CONCATENATE("          ", "4052", " - ", "TAXABLE SALES-FOOD")</f>
        <v xml:space="preserve">          4052 - TAXABLE SALES-FOOD</v>
      </c>
      <c r="C41" s="11"/>
      <c r="D41" s="2">
        <f>--95751.36</f>
        <v>95751.360000000001</v>
      </c>
      <c r="E41" s="2"/>
      <c r="F41" s="21"/>
      <c r="G41" s="2"/>
      <c r="H41" s="2"/>
      <c r="I41" s="2"/>
      <c r="J41" s="21"/>
      <c r="K41" s="2"/>
      <c r="L41" s="2">
        <f t="shared" si="0"/>
        <v>95751.360000000001</v>
      </c>
      <c r="M41" s="2"/>
      <c r="N41" s="21">
        <f t="shared" si="1"/>
        <v>0</v>
      </c>
      <c r="O41" s="11"/>
      <c r="P41" s="2">
        <f>--139530.2</f>
        <v>139530.20000000001</v>
      </c>
      <c r="Q41" s="2"/>
      <c r="R41" s="21"/>
      <c r="S41" s="2"/>
      <c r="T41" s="2"/>
      <c r="U41" s="2"/>
      <c r="V41" s="21"/>
      <c r="W41" s="2"/>
      <c r="X41" s="2">
        <f t="shared" si="2"/>
        <v>139530.20000000001</v>
      </c>
      <c r="Y41" s="2"/>
      <c r="Z41" s="21">
        <f t="shared" si="3"/>
        <v>0</v>
      </c>
    </row>
    <row r="42" spans="1:26" s="24" customFormat="1" hidden="1" outlineLevel="1" x14ac:dyDescent="0.25">
      <c r="A42" s="46"/>
      <c r="B42" s="11" t="str">
        <f>CONCATENATE("          ", "4053", " - ", "TAXABLE SALES-FOOD")</f>
        <v xml:space="preserve">          4053 - TAXABLE SALES-FOOD</v>
      </c>
      <c r="C42" s="11"/>
      <c r="D42" s="2">
        <f>--20205.92</f>
        <v>20205.919999999998</v>
      </c>
      <c r="E42" s="2"/>
      <c r="F42" s="21"/>
      <c r="G42" s="2"/>
      <c r="H42" s="2"/>
      <c r="I42" s="2"/>
      <c r="J42" s="21"/>
      <c r="K42" s="2"/>
      <c r="L42" s="2">
        <f t="shared" si="0"/>
        <v>20205.919999999998</v>
      </c>
      <c r="M42" s="2"/>
      <c r="N42" s="21">
        <f t="shared" si="1"/>
        <v>0</v>
      </c>
      <c r="O42" s="11"/>
      <c r="P42" s="2">
        <f>--46281.13</f>
        <v>46281.13</v>
      </c>
      <c r="Q42" s="2"/>
      <c r="R42" s="21"/>
      <c r="S42" s="2"/>
      <c r="T42" s="2"/>
      <c r="U42" s="2"/>
      <c r="V42" s="21"/>
      <c r="W42" s="2"/>
      <c r="X42" s="2">
        <f t="shared" si="2"/>
        <v>46281.13</v>
      </c>
      <c r="Y42" s="2"/>
      <c r="Z42" s="21">
        <f t="shared" si="3"/>
        <v>0</v>
      </c>
    </row>
    <row r="43" spans="1:26" s="24" customFormat="1" hidden="1" outlineLevel="1" x14ac:dyDescent="0.25">
      <c r="A43" s="46"/>
      <c r="B43" s="11" t="str">
        <f>CONCATENATE("          ", "4055", " - ", "TAXABLE SALES-FOOD")</f>
        <v xml:space="preserve">          4055 - TAXABLE SALES-FOOD</v>
      </c>
      <c r="C43" s="11"/>
      <c r="D43" s="2">
        <f>--29739.09</f>
        <v>29739.09</v>
      </c>
      <c r="E43" s="2"/>
      <c r="F43" s="21"/>
      <c r="G43" s="2"/>
      <c r="H43" s="2"/>
      <c r="I43" s="2"/>
      <c r="J43" s="21"/>
      <c r="K43" s="2"/>
      <c r="L43" s="2">
        <f t="shared" si="0"/>
        <v>29739.09</v>
      </c>
      <c r="M43" s="2"/>
      <c r="N43" s="21">
        <f t="shared" si="1"/>
        <v>0</v>
      </c>
      <c r="O43" s="11"/>
      <c r="P43" s="2">
        <f>--43982.72</f>
        <v>43982.720000000001</v>
      </c>
      <c r="Q43" s="2"/>
      <c r="R43" s="21"/>
      <c r="S43" s="2"/>
      <c r="T43" s="2"/>
      <c r="U43" s="2"/>
      <c r="V43" s="21"/>
      <c r="W43" s="2"/>
      <c r="X43" s="2">
        <f t="shared" si="2"/>
        <v>43982.720000000001</v>
      </c>
      <c r="Y43" s="2"/>
      <c r="Z43" s="21">
        <f t="shared" si="3"/>
        <v>0</v>
      </c>
    </row>
    <row r="44" spans="1:26" s="24" customFormat="1" hidden="1" outlineLevel="1" x14ac:dyDescent="0.25">
      <c r="A44" s="46"/>
      <c r="B44" s="11" t="str">
        <f>CONCATENATE("          ", "4058", " - ", "TAXABLE SALES-FOOD")</f>
        <v xml:space="preserve">          4058 - TAXABLE SALES-FOOD</v>
      </c>
      <c r="C44" s="11"/>
      <c r="D44" s="2">
        <f>--9436.48</f>
        <v>9436.48</v>
      </c>
      <c r="E44" s="2"/>
      <c r="F44" s="21"/>
      <c r="G44" s="2"/>
      <c r="H44" s="2"/>
      <c r="I44" s="2"/>
      <c r="J44" s="21"/>
      <c r="K44" s="2"/>
      <c r="L44" s="2">
        <f t="shared" si="0"/>
        <v>9436.48</v>
      </c>
      <c r="M44" s="2"/>
      <c r="N44" s="21">
        <f t="shared" si="1"/>
        <v>0</v>
      </c>
      <c r="O44" s="11"/>
      <c r="P44" s="2">
        <f>--17838.14</f>
        <v>17838.14</v>
      </c>
      <c r="Q44" s="2"/>
      <c r="R44" s="21"/>
      <c r="S44" s="2"/>
      <c r="T44" s="2"/>
      <c r="U44" s="2"/>
      <c r="V44" s="21"/>
      <c r="W44" s="2"/>
      <c r="X44" s="2">
        <f t="shared" si="2"/>
        <v>17838.14</v>
      </c>
      <c r="Y44" s="2"/>
      <c r="Z44" s="21">
        <f t="shared" si="3"/>
        <v>0</v>
      </c>
    </row>
    <row r="45" spans="1:26" s="24" customFormat="1" hidden="1" outlineLevel="1" x14ac:dyDescent="0.25">
      <c r="A45" s="46"/>
      <c r="B45" s="11" t="str">
        <f>CONCATENATE("          ", "4081", " - ", "TAXABLE SALES-ELECTRONICS")</f>
        <v xml:space="preserve">          4081 - TAXABLE SALES-ELECTRONICS</v>
      </c>
      <c r="C45" s="11"/>
      <c r="D45" s="2">
        <f>--88736.22</f>
        <v>88736.22</v>
      </c>
      <c r="E45" s="2"/>
      <c r="F45" s="21"/>
      <c r="G45" s="2"/>
      <c r="H45" s="2"/>
      <c r="I45" s="2"/>
      <c r="J45" s="21"/>
      <c r="K45" s="2"/>
      <c r="L45" s="2">
        <f t="shared" si="0"/>
        <v>88736.22</v>
      </c>
      <c r="M45" s="2"/>
      <c r="N45" s="21">
        <f t="shared" si="1"/>
        <v>0</v>
      </c>
      <c r="O45" s="11"/>
      <c r="P45" s="2">
        <f>--109688.79</f>
        <v>109688.79</v>
      </c>
      <c r="Q45" s="2"/>
      <c r="R45" s="21"/>
      <c r="S45" s="2"/>
      <c r="T45" s="2"/>
      <c r="U45" s="2"/>
      <c r="V45" s="21"/>
      <c r="W45" s="2"/>
      <c r="X45" s="2">
        <f t="shared" si="2"/>
        <v>109688.79</v>
      </c>
      <c r="Y45" s="2"/>
      <c r="Z45" s="21">
        <f t="shared" si="3"/>
        <v>0</v>
      </c>
    </row>
    <row r="46" spans="1:26" s="24" customFormat="1" hidden="1" outlineLevel="1" x14ac:dyDescent="0.25">
      <c r="A46" s="46"/>
      <c r="B46" s="11" t="str">
        <f>CONCATENATE("          ", "4082", " - ", "TAXABLE SALES-COMPUTER HARDWAR")</f>
        <v xml:space="preserve">          4082 - TAXABLE SALES-COMPUTER HARDWAR</v>
      </c>
      <c r="C46" s="11"/>
      <c r="D46" s="2">
        <f>--414784.04</f>
        <v>414784.04</v>
      </c>
      <c r="E46" s="2"/>
      <c r="F46" s="21"/>
      <c r="G46" s="2"/>
      <c r="H46" s="2"/>
      <c r="I46" s="2"/>
      <c r="J46" s="21"/>
      <c r="K46" s="2"/>
      <c r="L46" s="2">
        <f t="shared" si="0"/>
        <v>414784.04</v>
      </c>
      <c r="M46" s="2"/>
      <c r="N46" s="21">
        <f t="shared" si="1"/>
        <v>0</v>
      </c>
      <c r="O46" s="11"/>
      <c r="P46" s="2">
        <f>--813572.78</f>
        <v>813572.78</v>
      </c>
      <c r="Q46" s="2"/>
      <c r="R46" s="21"/>
      <c r="S46" s="2"/>
      <c r="T46" s="2"/>
      <c r="U46" s="2"/>
      <c r="V46" s="21"/>
      <c r="W46" s="2"/>
      <c r="X46" s="2">
        <f t="shared" si="2"/>
        <v>813572.78</v>
      </c>
      <c r="Y46" s="2"/>
      <c r="Z46" s="21">
        <f t="shared" si="3"/>
        <v>0</v>
      </c>
    </row>
    <row r="47" spans="1:26" s="24" customFormat="1" hidden="1" outlineLevel="1" x14ac:dyDescent="0.25">
      <c r="A47" s="46"/>
      <c r="B47" s="11" t="str">
        <f>CONCATENATE("          ", "4083", " - ", "TAXABLE SALES-COMPUTER EQUIPME")</f>
        <v xml:space="preserve">          4083 - TAXABLE SALES-COMPUTER EQUIPME</v>
      </c>
      <c r="C47" s="11"/>
      <c r="D47" s="2">
        <f>--15701.67</f>
        <v>15701.67</v>
      </c>
      <c r="E47" s="2"/>
      <c r="F47" s="21"/>
      <c r="G47" s="2"/>
      <c r="H47" s="2"/>
      <c r="I47" s="2"/>
      <c r="J47" s="21"/>
      <c r="K47" s="2"/>
      <c r="L47" s="2">
        <f t="shared" si="0"/>
        <v>15701.67</v>
      </c>
      <c r="M47" s="2"/>
      <c r="N47" s="21">
        <f t="shared" si="1"/>
        <v>0</v>
      </c>
      <c r="O47" s="11"/>
      <c r="P47" s="2">
        <f>--23607.77</f>
        <v>23607.77</v>
      </c>
      <c r="Q47" s="2"/>
      <c r="R47" s="21"/>
      <c r="S47" s="2"/>
      <c r="T47" s="2"/>
      <c r="U47" s="2"/>
      <c r="V47" s="21"/>
      <c r="W47" s="2"/>
      <c r="X47" s="2">
        <f t="shared" si="2"/>
        <v>23607.77</v>
      </c>
      <c r="Y47" s="2"/>
      <c r="Z47" s="21">
        <f t="shared" si="3"/>
        <v>0</v>
      </c>
    </row>
    <row r="48" spans="1:26" s="24" customFormat="1" hidden="1" outlineLevel="1" x14ac:dyDescent="0.25">
      <c r="A48" s="46"/>
      <c r="B48" s="11" t="str">
        <f>CONCATENATE("          ", "4084", " - ", "TAXABLE SALES-SOFTWARE LICENSE")</f>
        <v xml:space="preserve">          4084 - TAXABLE SALES-SOFTWARE LICENSE</v>
      </c>
      <c r="C48" s="11"/>
      <c r="D48" s="2">
        <f t="shared" ref="D48:D49" si="4">0</f>
        <v>0</v>
      </c>
      <c r="E48" s="2"/>
      <c r="F48" s="21"/>
      <c r="G48" s="2"/>
      <c r="H48" s="2"/>
      <c r="I48" s="2"/>
      <c r="J48" s="21"/>
      <c r="K48" s="2"/>
      <c r="L48" s="2">
        <f t="shared" si="0"/>
        <v>0</v>
      </c>
      <c r="M48" s="2"/>
      <c r="N48" s="21">
        <f t="shared" si="1"/>
        <v>0</v>
      </c>
      <c r="O48" s="11"/>
      <c r="P48" s="2">
        <f>--129</f>
        <v>129</v>
      </c>
      <c r="Q48" s="2"/>
      <c r="R48" s="21"/>
      <c r="S48" s="2"/>
      <c r="T48" s="2"/>
      <c r="U48" s="2"/>
      <c r="V48" s="21"/>
      <c r="W48" s="2"/>
      <c r="X48" s="2">
        <f t="shared" si="2"/>
        <v>129</v>
      </c>
      <c r="Y48" s="2"/>
      <c r="Z48" s="21">
        <f t="shared" si="3"/>
        <v>0</v>
      </c>
    </row>
    <row r="49" spans="1:26" s="24" customFormat="1" hidden="1" outlineLevel="1" x14ac:dyDescent="0.25">
      <c r="A49" s="46"/>
      <c r="B49" s="11" t="str">
        <f>CONCATENATE("          ", "4085", " - ", "TAXABLE SALES-SOFTWARE")</f>
        <v xml:space="preserve">          4085 - TAXABLE SALES-SOFTWARE</v>
      </c>
      <c r="C49" s="11"/>
      <c r="D49" s="2">
        <f t="shared" si="4"/>
        <v>0</v>
      </c>
      <c r="E49" s="2"/>
      <c r="F49" s="21"/>
      <c r="G49" s="2"/>
      <c r="H49" s="2"/>
      <c r="I49" s="2"/>
      <c r="J49" s="21"/>
      <c r="K49" s="2"/>
      <c r="L49" s="2">
        <f t="shared" si="0"/>
        <v>0</v>
      </c>
      <c r="M49" s="2"/>
      <c r="N49" s="21">
        <f t="shared" si="1"/>
        <v>0</v>
      </c>
      <c r="O49" s="11"/>
      <c r="P49" s="2">
        <f>--493.95</f>
        <v>493.95</v>
      </c>
      <c r="Q49" s="2"/>
      <c r="R49" s="21"/>
      <c r="S49" s="2"/>
      <c r="T49" s="2"/>
      <c r="U49" s="2"/>
      <c r="V49" s="21"/>
      <c r="W49" s="2"/>
      <c r="X49" s="2">
        <f t="shared" si="2"/>
        <v>493.95</v>
      </c>
      <c r="Y49" s="2"/>
      <c r="Z49" s="21">
        <f t="shared" si="3"/>
        <v>0</v>
      </c>
    </row>
    <row r="50" spans="1:26" s="24" customFormat="1" hidden="1" outlineLevel="1" x14ac:dyDescent="0.25">
      <c r="A50" s="46"/>
      <c r="B50" s="11" t="str">
        <f>CONCATENATE("          ", "4086", " - ", "TAXABLE SALES-COMPUTER SUPPLIE")</f>
        <v xml:space="preserve">          4086 - TAXABLE SALES-COMPUTER SUPPLIE</v>
      </c>
      <c r="C50" s="11"/>
      <c r="D50" s="2">
        <f>--7672.23</f>
        <v>7672.23</v>
      </c>
      <c r="E50" s="2"/>
      <c r="F50" s="21"/>
      <c r="G50" s="2"/>
      <c r="H50" s="2"/>
      <c r="I50" s="2"/>
      <c r="J50" s="21"/>
      <c r="K50" s="2"/>
      <c r="L50" s="2">
        <f t="shared" si="0"/>
        <v>7672.23</v>
      </c>
      <c r="M50" s="2"/>
      <c r="N50" s="21">
        <f t="shared" si="1"/>
        <v>0</v>
      </c>
      <c r="O50" s="11"/>
      <c r="P50" s="2">
        <f>--9667.55</f>
        <v>9667.5499999999993</v>
      </c>
      <c r="Q50" s="2"/>
      <c r="R50" s="21"/>
      <c r="S50" s="2"/>
      <c r="T50" s="2"/>
      <c r="U50" s="2"/>
      <c r="V50" s="21"/>
      <c r="W50" s="2"/>
      <c r="X50" s="2">
        <f t="shared" si="2"/>
        <v>9667.5499999999993</v>
      </c>
      <c r="Y50" s="2"/>
      <c r="Z50" s="21">
        <f t="shared" si="3"/>
        <v>0</v>
      </c>
    </row>
    <row r="51" spans="1:26" s="24" customFormat="1" hidden="1" outlineLevel="1" x14ac:dyDescent="0.25">
      <c r="A51" s="46"/>
      <c r="B51" s="11" t="str">
        <f>CONCATENATE("          ", "4088", " - ", "TAXABLE SALES-MUSIC")</f>
        <v xml:space="preserve">          4088 - TAXABLE SALES-MUSIC</v>
      </c>
      <c r="C51" s="11"/>
      <c r="D51" s="2">
        <f>--259.98</f>
        <v>259.98</v>
      </c>
      <c r="E51" s="2"/>
      <c r="F51" s="21"/>
      <c r="G51" s="2"/>
      <c r="H51" s="2"/>
      <c r="I51" s="2"/>
      <c r="J51" s="21"/>
      <c r="K51" s="2"/>
      <c r="L51" s="2">
        <f t="shared" si="0"/>
        <v>259.98</v>
      </c>
      <c r="M51" s="2"/>
      <c r="N51" s="21">
        <f t="shared" si="1"/>
        <v>0</v>
      </c>
      <c r="O51" s="11"/>
      <c r="P51" s="2">
        <f>--518.97</f>
        <v>518.97</v>
      </c>
      <c r="Q51" s="2"/>
      <c r="R51" s="21"/>
      <c r="S51" s="2"/>
      <c r="T51" s="2"/>
      <c r="U51" s="2"/>
      <c r="V51" s="21"/>
      <c r="W51" s="2"/>
      <c r="X51" s="2">
        <f t="shared" si="2"/>
        <v>518.97</v>
      </c>
      <c r="Y51" s="2"/>
      <c r="Z51" s="21">
        <f t="shared" si="3"/>
        <v>0</v>
      </c>
    </row>
    <row r="52" spans="1:26" s="24" customFormat="1" hidden="1" outlineLevel="1" x14ac:dyDescent="0.25">
      <c r="A52" s="46"/>
      <c r="B52" s="11" t="str">
        <f>CONCATENATE("          ", "4092", " - ", "TAXABLE SALES-GRAD MERCH")</f>
        <v xml:space="preserve">          4092 - TAXABLE SALES-GRAD MERCH</v>
      </c>
      <c r="C52" s="11"/>
      <c r="D52" s="2">
        <f>--1694.1</f>
        <v>1694.1</v>
      </c>
      <c r="E52" s="2"/>
      <c r="F52" s="21"/>
      <c r="G52" s="2"/>
      <c r="H52" s="2"/>
      <c r="I52" s="2"/>
      <c r="J52" s="21"/>
      <c r="K52" s="2"/>
      <c r="L52" s="2">
        <f t="shared" si="0"/>
        <v>1694.1</v>
      </c>
      <c r="M52" s="2"/>
      <c r="N52" s="21">
        <f t="shared" si="1"/>
        <v>0</v>
      </c>
      <c r="O52" s="11"/>
      <c r="P52" s="2">
        <f>--3822.73</f>
        <v>3822.73</v>
      </c>
      <c r="Q52" s="2"/>
      <c r="R52" s="21"/>
      <c r="S52" s="2"/>
      <c r="T52" s="2"/>
      <c r="U52" s="2"/>
      <c r="V52" s="21"/>
      <c r="W52" s="2"/>
      <c r="X52" s="2">
        <f t="shared" si="2"/>
        <v>3822.73</v>
      </c>
      <c r="Y52" s="2"/>
      <c r="Z52" s="21">
        <f t="shared" si="3"/>
        <v>0</v>
      </c>
    </row>
    <row r="53" spans="1:26" s="24" customFormat="1" hidden="1" outlineLevel="1" x14ac:dyDescent="0.25">
      <c r="A53" s="46"/>
      <c r="B53" s="11" t="str">
        <f>CONCATENATE("          ", "4095", " - ", "TAXABLE SALES-CUSTOMER SERVICE")</f>
        <v xml:space="preserve">          4095 - TAXABLE SALES-CUSTOMER SERVICE</v>
      </c>
      <c r="C53" s="11"/>
      <c r="D53" s="2">
        <f>--127.49</f>
        <v>127.49</v>
      </c>
      <c r="E53" s="2"/>
      <c r="F53" s="21"/>
      <c r="G53" s="2"/>
      <c r="H53" s="2"/>
      <c r="I53" s="2"/>
      <c r="J53" s="21"/>
      <c r="K53" s="2"/>
      <c r="L53" s="2">
        <f t="shared" si="0"/>
        <v>127.49</v>
      </c>
      <c r="M53" s="2"/>
      <c r="N53" s="21">
        <f t="shared" si="1"/>
        <v>0</v>
      </c>
      <c r="O53" s="11"/>
      <c r="P53" s="2">
        <f>--174.02</f>
        <v>174.02</v>
      </c>
      <c r="Q53" s="2"/>
      <c r="R53" s="21"/>
      <c r="S53" s="2"/>
      <c r="T53" s="2"/>
      <c r="U53" s="2"/>
      <c r="V53" s="21"/>
      <c r="W53" s="2"/>
      <c r="X53" s="2">
        <f t="shared" si="2"/>
        <v>174.02</v>
      </c>
      <c r="Y53" s="2"/>
      <c r="Z53" s="21">
        <f t="shared" si="3"/>
        <v>0</v>
      </c>
    </row>
    <row r="54" spans="1:26" s="24" customFormat="1" hidden="1" outlineLevel="1" x14ac:dyDescent="0.25">
      <c r="A54" s="46"/>
      <c r="B54" s="11" t="str">
        <f>CONCATENATE("          ", "4100", " - ", "NON-TAXABLE SALES")</f>
        <v xml:space="preserve">          4100 - NON-TAXABLE SALES</v>
      </c>
      <c r="C54" s="11"/>
      <c r="D54" s="2">
        <f>--292227.23</f>
        <v>292227.23</v>
      </c>
      <c r="E54" s="2"/>
      <c r="F54" s="21"/>
      <c r="G54" s="2"/>
      <c r="H54" s="2">
        <v>3338396</v>
      </c>
      <c r="I54" s="2"/>
      <c r="J54" s="21"/>
      <c r="K54" s="2"/>
      <c r="L54" s="2">
        <f t="shared" si="0"/>
        <v>-3046168.77</v>
      </c>
      <c r="M54" s="2"/>
      <c r="N54" s="21">
        <f t="shared" si="1"/>
        <v>-0.91246477949290616</v>
      </c>
      <c r="O54" s="11"/>
      <c r="P54" s="2">
        <f>--333400.43</f>
        <v>333400.43</v>
      </c>
      <c r="Q54" s="2"/>
      <c r="R54" s="21"/>
      <c r="S54" s="2"/>
      <c r="T54" s="2">
        <v>4187884.9999999995</v>
      </c>
      <c r="U54" s="2"/>
      <c r="V54" s="21"/>
      <c r="W54" s="2"/>
      <c r="X54" s="2">
        <f t="shared" si="2"/>
        <v>-3854484.5699999994</v>
      </c>
      <c r="Y54" s="2"/>
      <c r="Z54" s="21">
        <f t="shared" si="3"/>
        <v>-0.92038930629661508</v>
      </c>
    </row>
    <row r="55" spans="1:26" s="24" customFormat="1" hidden="1" outlineLevel="1" x14ac:dyDescent="0.25">
      <c r="A55" s="46"/>
      <c r="B55" s="11" t="str">
        <f>CONCATENATE("          ", "4101", " - ", "NON-TAXABLE SALES-NEW TEXT")</f>
        <v xml:space="preserve">          4101 - NON-TAXABLE SALES-NEW TEXT</v>
      </c>
      <c r="C55" s="11"/>
      <c r="D55" s="2">
        <f>--48156.44</f>
        <v>48156.44</v>
      </c>
      <c r="E55" s="2"/>
      <c r="F55" s="21"/>
      <c r="G55" s="2"/>
      <c r="H55" s="2"/>
      <c r="I55" s="2"/>
      <c r="J55" s="21"/>
      <c r="K55" s="2"/>
      <c r="L55" s="2">
        <f t="shared" si="0"/>
        <v>48156.44</v>
      </c>
      <c r="M55" s="2"/>
      <c r="N55" s="21">
        <f t="shared" si="1"/>
        <v>0</v>
      </c>
      <c r="O55" s="11"/>
      <c r="P55" s="2">
        <f>--55893.02</f>
        <v>55893.02</v>
      </c>
      <c r="Q55" s="2"/>
      <c r="R55" s="21"/>
      <c r="S55" s="2"/>
      <c r="T55" s="2"/>
      <c r="U55" s="2"/>
      <c r="V55" s="21"/>
      <c r="W55" s="2"/>
      <c r="X55" s="2">
        <f t="shared" si="2"/>
        <v>55893.02</v>
      </c>
      <c r="Y55" s="2"/>
      <c r="Z55" s="21">
        <f t="shared" si="3"/>
        <v>0</v>
      </c>
    </row>
    <row r="56" spans="1:26" s="24" customFormat="1" hidden="1" outlineLevel="1" x14ac:dyDescent="0.25">
      <c r="A56" s="46"/>
      <c r="B56" s="11" t="str">
        <f>CONCATENATE("          ", "4102", " - ", "NON-TAXABLE SALES-USED TEXT")</f>
        <v xml:space="preserve">          4102 - NON-TAXABLE SALES-USED TEXT</v>
      </c>
      <c r="C56" s="11"/>
      <c r="D56" s="2">
        <f>--27115.09</f>
        <v>27115.09</v>
      </c>
      <c r="E56" s="2"/>
      <c r="F56" s="21"/>
      <c r="G56" s="2"/>
      <c r="H56" s="2"/>
      <c r="I56" s="2"/>
      <c r="J56" s="21"/>
      <c r="K56" s="2"/>
      <c r="L56" s="2">
        <f t="shared" si="0"/>
        <v>27115.09</v>
      </c>
      <c r="M56" s="2"/>
      <c r="N56" s="21">
        <f t="shared" si="1"/>
        <v>0</v>
      </c>
      <c r="O56" s="11"/>
      <c r="P56" s="2">
        <f>--32474.33</f>
        <v>32474.33</v>
      </c>
      <c r="Q56" s="2"/>
      <c r="R56" s="21"/>
      <c r="S56" s="2"/>
      <c r="T56" s="2"/>
      <c r="U56" s="2"/>
      <c r="V56" s="21"/>
      <c r="W56" s="2"/>
      <c r="X56" s="2">
        <f t="shared" si="2"/>
        <v>32474.33</v>
      </c>
      <c r="Y56" s="2"/>
      <c r="Z56" s="21">
        <f t="shared" si="3"/>
        <v>0</v>
      </c>
    </row>
    <row r="57" spans="1:26" s="24" customFormat="1" hidden="1" outlineLevel="1" x14ac:dyDescent="0.25">
      <c r="A57" s="46"/>
      <c r="B57" s="11" t="str">
        <f>CONCATENATE("          ", "4103", " - ", "NON-TAXABLE SALES-RENTAL TEXT")</f>
        <v xml:space="preserve">          4103 - NON-TAXABLE SALES-RENTAL TEXT</v>
      </c>
      <c r="C57" s="11"/>
      <c r="D57" s="2">
        <f>--474.97</f>
        <v>474.97</v>
      </c>
      <c r="E57" s="2"/>
      <c r="F57" s="21"/>
      <c r="G57" s="2"/>
      <c r="H57" s="2"/>
      <c r="I57" s="2"/>
      <c r="J57" s="21"/>
      <c r="K57" s="2"/>
      <c r="L57" s="2">
        <f t="shared" si="0"/>
        <v>474.97</v>
      </c>
      <c r="M57" s="2"/>
      <c r="N57" s="21">
        <f t="shared" si="1"/>
        <v>0</v>
      </c>
      <c r="O57" s="11"/>
      <c r="P57" s="2">
        <f>--474.97</f>
        <v>474.97</v>
      </c>
      <c r="Q57" s="2"/>
      <c r="R57" s="21"/>
      <c r="S57" s="2"/>
      <c r="T57" s="2"/>
      <c r="U57" s="2"/>
      <c r="V57" s="21"/>
      <c r="W57" s="2"/>
      <c r="X57" s="2">
        <f t="shared" si="2"/>
        <v>474.97</v>
      </c>
      <c r="Y57" s="2"/>
      <c r="Z57" s="21">
        <f t="shared" si="3"/>
        <v>0</v>
      </c>
    </row>
    <row r="58" spans="1:26" s="24" customFormat="1" hidden="1" outlineLevel="1" x14ac:dyDescent="0.25">
      <c r="A58" s="46"/>
      <c r="B58" s="11" t="str">
        <f>CONCATENATE("          ", "4104", " - ", "NON-TAXABLE SALES-DIGITAL TEXT")</f>
        <v xml:space="preserve">          4104 - NON-TAXABLE SALES-DIGITAL TEXT</v>
      </c>
      <c r="C58" s="11"/>
      <c r="D58" s="2">
        <f>--246443.9</f>
        <v>246443.9</v>
      </c>
      <c r="E58" s="2"/>
      <c r="F58" s="21"/>
      <c r="G58" s="2"/>
      <c r="H58" s="2"/>
      <c r="I58" s="2"/>
      <c r="J58" s="21"/>
      <c r="K58" s="2"/>
      <c r="L58" s="2">
        <f t="shared" si="0"/>
        <v>246443.9</v>
      </c>
      <c r="M58" s="2"/>
      <c r="N58" s="21">
        <f t="shared" si="1"/>
        <v>0</v>
      </c>
      <c r="O58" s="11"/>
      <c r="P58" s="2">
        <f>--259868.07</f>
        <v>259868.07</v>
      </c>
      <c r="Q58" s="2"/>
      <c r="R58" s="21"/>
      <c r="S58" s="2"/>
      <c r="T58" s="2"/>
      <c r="U58" s="2"/>
      <c r="V58" s="21"/>
      <c r="W58" s="2"/>
      <c r="X58" s="2">
        <f t="shared" si="2"/>
        <v>259868.07</v>
      </c>
      <c r="Y58" s="2"/>
      <c r="Z58" s="21">
        <f t="shared" si="3"/>
        <v>0</v>
      </c>
    </row>
    <row r="59" spans="1:26" s="24" customFormat="1" hidden="1" outlineLevel="1" x14ac:dyDescent="0.25">
      <c r="A59" s="46"/>
      <c r="B59" s="11" t="str">
        <f>CONCATENATE("          ", "4111", " - ", "NON-TAXABLE SALES-NO VALUE TEX")</f>
        <v xml:space="preserve">          4111 - NON-TAXABLE SALES-NO VALUE TEX</v>
      </c>
      <c r="C59" s="11"/>
      <c r="D59" s="2">
        <f>--3067.16</f>
        <v>3067.16</v>
      </c>
      <c r="E59" s="2"/>
      <c r="F59" s="21"/>
      <c r="G59" s="2"/>
      <c r="H59" s="2"/>
      <c r="I59" s="2"/>
      <c r="J59" s="21"/>
      <c r="K59" s="2"/>
      <c r="L59" s="2">
        <f t="shared" si="0"/>
        <v>3067.16</v>
      </c>
      <c r="M59" s="2"/>
      <c r="N59" s="21">
        <f t="shared" si="1"/>
        <v>0</v>
      </c>
      <c r="O59" s="11"/>
      <c r="P59" s="2">
        <f>--5748.11</f>
        <v>5748.11</v>
      </c>
      <c r="Q59" s="2"/>
      <c r="R59" s="21"/>
      <c r="S59" s="2"/>
      <c r="T59" s="2"/>
      <c r="U59" s="2"/>
      <c r="V59" s="21"/>
      <c r="W59" s="2"/>
      <c r="X59" s="2">
        <f t="shared" si="2"/>
        <v>5748.11</v>
      </c>
      <c r="Y59" s="2"/>
      <c r="Z59" s="21">
        <f t="shared" si="3"/>
        <v>0</v>
      </c>
    </row>
    <row r="60" spans="1:26" s="24" customFormat="1" hidden="1" outlineLevel="1" x14ac:dyDescent="0.25">
      <c r="A60" s="46"/>
      <c r="B60" s="11" t="str">
        <f>CONCATENATE("          ", "4113", " - ", "NON-TAXABLE SALES-TRADE BOOKS")</f>
        <v xml:space="preserve">          4113 - NON-TAXABLE SALES-TRADE BOOKS</v>
      </c>
      <c r="C60" s="11"/>
      <c r="D60" s="2">
        <f>--12.72</f>
        <v>12.72</v>
      </c>
      <c r="E60" s="2"/>
      <c r="F60" s="21"/>
      <c r="G60" s="2"/>
      <c r="H60" s="2"/>
      <c r="I60" s="2"/>
      <c r="J60" s="21"/>
      <c r="K60" s="2"/>
      <c r="L60" s="2">
        <f t="shared" si="0"/>
        <v>12.72</v>
      </c>
      <c r="M60" s="2"/>
      <c r="N60" s="21">
        <f t="shared" si="1"/>
        <v>0</v>
      </c>
      <c r="O60" s="11"/>
      <c r="P60" s="2">
        <f>--1146.72</f>
        <v>1146.72</v>
      </c>
      <c r="Q60" s="2"/>
      <c r="R60" s="21"/>
      <c r="S60" s="2"/>
      <c r="T60" s="2"/>
      <c r="U60" s="2"/>
      <c r="V60" s="21"/>
      <c r="W60" s="2"/>
      <c r="X60" s="2">
        <f t="shared" si="2"/>
        <v>1146.72</v>
      </c>
      <c r="Y60" s="2"/>
      <c r="Z60" s="21">
        <f t="shared" si="3"/>
        <v>0</v>
      </c>
    </row>
    <row r="61" spans="1:26" s="24" customFormat="1" hidden="1" outlineLevel="1" x14ac:dyDescent="0.25">
      <c r="A61" s="46"/>
      <c r="B61" s="11" t="str">
        <f>CONCATENATE("          ", "4118", " - ", "NON-TAXABLE SALES-STUDY GUIDES")</f>
        <v xml:space="preserve">          4118 - NON-TAXABLE SALES-STUDY GUIDES</v>
      </c>
      <c r="C61" s="11"/>
      <c r="D61" s="2">
        <f>--7.02</f>
        <v>7.02</v>
      </c>
      <c r="E61" s="2"/>
      <c r="F61" s="21"/>
      <c r="G61" s="2"/>
      <c r="H61" s="2"/>
      <c r="I61" s="2"/>
      <c r="J61" s="21"/>
      <c r="K61" s="2"/>
      <c r="L61" s="2">
        <f t="shared" si="0"/>
        <v>7.02</v>
      </c>
      <c r="M61" s="2"/>
      <c r="N61" s="21">
        <f t="shared" si="1"/>
        <v>0</v>
      </c>
      <c r="O61" s="11"/>
      <c r="P61" s="2">
        <f>--13.97</f>
        <v>13.97</v>
      </c>
      <c r="Q61" s="2"/>
      <c r="R61" s="21"/>
      <c r="S61" s="2"/>
      <c r="T61" s="2"/>
      <c r="U61" s="2"/>
      <c r="V61" s="21"/>
      <c r="W61" s="2"/>
      <c r="X61" s="2">
        <f t="shared" si="2"/>
        <v>13.97</v>
      </c>
      <c r="Y61" s="2"/>
      <c r="Z61" s="21">
        <f t="shared" si="3"/>
        <v>0</v>
      </c>
    </row>
    <row r="62" spans="1:26" s="24" customFormat="1" hidden="1" outlineLevel="1" x14ac:dyDescent="0.25">
      <c r="A62" s="46"/>
      <c r="B62" s="11" t="str">
        <f>CONCATENATE("          ", "4125", " - ", "NON-TAXABLE SALES-TEST FORMS")</f>
        <v xml:space="preserve">          4125 - NON-TAXABLE SALES-TEST FORMS</v>
      </c>
      <c r="C62" s="11"/>
      <c r="D62" s="2">
        <f>--77.17</f>
        <v>77.17</v>
      </c>
      <c r="E62" s="2"/>
      <c r="F62" s="21"/>
      <c r="G62" s="2"/>
      <c r="H62" s="2"/>
      <c r="I62" s="2"/>
      <c r="J62" s="21"/>
      <c r="K62" s="2"/>
      <c r="L62" s="2">
        <f t="shared" si="0"/>
        <v>77.17</v>
      </c>
      <c r="M62" s="2"/>
      <c r="N62" s="21">
        <f t="shared" si="1"/>
        <v>0</v>
      </c>
      <c r="O62" s="11"/>
      <c r="P62" s="2">
        <f>--82.15</f>
        <v>82.15</v>
      </c>
      <c r="Q62" s="2"/>
      <c r="R62" s="21"/>
      <c r="S62" s="2"/>
      <c r="T62" s="2"/>
      <c r="U62" s="2"/>
      <c r="V62" s="21"/>
      <c r="W62" s="2"/>
      <c r="X62" s="2">
        <f t="shared" si="2"/>
        <v>82.15</v>
      </c>
      <c r="Y62" s="2"/>
      <c r="Z62" s="21">
        <f t="shared" si="3"/>
        <v>0</v>
      </c>
    </row>
    <row r="63" spans="1:26" s="24" customFormat="1" hidden="1" outlineLevel="1" x14ac:dyDescent="0.25">
      <c r="A63" s="46"/>
      <c r="B63" s="11" t="str">
        <f>CONCATENATE("          ", "4126", " - ", "NON-TAXABLE SALES-WRITING INST")</f>
        <v xml:space="preserve">          4126 - NON-TAXABLE SALES-WRITING INST</v>
      </c>
      <c r="C63" s="11"/>
      <c r="D63" s="2">
        <f>--844.09</f>
        <v>844.09</v>
      </c>
      <c r="E63" s="2"/>
      <c r="F63" s="21"/>
      <c r="G63" s="2"/>
      <c r="H63" s="2"/>
      <c r="I63" s="2"/>
      <c r="J63" s="21"/>
      <c r="K63" s="2"/>
      <c r="L63" s="2">
        <f t="shared" si="0"/>
        <v>844.09</v>
      </c>
      <c r="M63" s="2"/>
      <c r="N63" s="21">
        <f t="shared" si="1"/>
        <v>0</v>
      </c>
      <c r="O63" s="11"/>
      <c r="P63" s="2">
        <f>--1011.12</f>
        <v>1011.12</v>
      </c>
      <c r="Q63" s="2"/>
      <c r="R63" s="21"/>
      <c r="S63" s="2"/>
      <c r="T63" s="2"/>
      <c r="U63" s="2"/>
      <c r="V63" s="21"/>
      <c r="W63" s="2"/>
      <c r="X63" s="2">
        <f t="shared" si="2"/>
        <v>1011.12</v>
      </c>
      <c r="Y63" s="2"/>
      <c r="Z63" s="21">
        <f t="shared" si="3"/>
        <v>0</v>
      </c>
    </row>
    <row r="64" spans="1:26" s="24" customFormat="1" hidden="1" outlineLevel="1" x14ac:dyDescent="0.25">
      <c r="A64" s="46"/>
      <c r="B64" s="11" t="str">
        <f>CONCATENATE("          ", "4127", " - ", "NON-TAXABLE SALES-SCHOOL SUPPL")</f>
        <v xml:space="preserve">          4127 - NON-TAXABLE SALES-SCHOOL SUPPL</v>
      </c>
      <c r="C64" s="11"/>
      <c r="D64" s="2">
        <f>--1692.39</f>
        <v>1692.39</v>
      </c>
      <c r="E64" s="2"/>
      <c r="F64" s="21"/>
      <c r="G64" s="2"/>
      <c r="H64" s="2"/>
      <c r="I64" s="2"/>
      <c r="J64" s="21"/>
      <c r="K64" s="2"/>
      <c r="L64" s="2">
        <f t="shared" si="0"/>
        <v>1692.39</v>
      </c>
      <c r="M64" s="2"/>
      <c r="N64" s="21">
        <f t="shared" si="1"/>
        <v>0</v>
      </c>
      <c r="O64" s="11"/>
      <c r="P64" s="2">
        <f>--1870.28</f>
        <v>1870.28</v>
      </c>
      <c r="Q64" s="2"/>
      <c r="R64" s="21"/>
      <c r="S64" s="2"/>
      <c r="T64" s="2"/>
      <c r="U64" s="2"/>
      <c r="V64" s="21"/>
      <c r="W64" s="2"/>
      <c r="X64" s="2">
        <f t="shared" si="2"/>
        <v>1870.28</v>
      </c>
      <c r="Y64" s="2"/>
      <c r="Z64" s="21">
        <f t="shared" si="3"/>
        <v>0</v>
      </c>
    </row>
    <row r="65" spans="1:26" s="24" customFormat="1" hidden="1" outlineLevel="1" x14ac:dyDescent="0.25">
      <c r="A65" s="46"/>
      <c r="B65" s="11" t="str">
        <f>CONCATENATE("          ", "4128", " - ", "NON-TAXABLE SALES-ART/TECH")</f>
        <v xml:space="preserve">          4128 - NON-TAXABLE SALES-ART/TECH</v>
      </c>
      <c r="C65" s="11"/>
      <c r="D65" s="2">
        <f>--128.61</f>
        <v>128.61000000000001</v>
      </c>
      <c r="E65" s="2"/>
      <c r="F65" s="21"/>
      <c r="G65" s="2"/>
      <c r="H65" s="2"/>
      <c r="I65" s="2"/>
      <c r="J65" s="21"/>
      <c r="K65" s="2"/>
      <c r="L65" s="2">
        <f t="shared" si="0"/>
        <v>128.61000000000001</v>
      </c>
      <c r="M65" s="2"/>
      <c r="N65" s="21">
        <f t="shared" si="1"/>
        <v>0</v>
      </c>
      <c r="O65" s="11"/>
      <c r="P65" s="2">
        <f>--130.1</f>
        <v>130.1</v>
      </c>
      <c r="Q65" s="2"/>
      <c r="R65" s="21"/>
      <c r="S65" s="2"/>
      <c r="T65" s="2"/>
      <c r="U65" s="2"/>
      <c r="V65" s="21"/>
      <c r="W65" s="2"/>
      <c r="X65" s="2">
        <f t="shared" si="2"/>
        <v>130.1</v>
      </c>
      <c r="Y65" s="2"/>
      <c r="Z65" s="21">
        <f t="shared" si="3"/>
        <v>0</v>
      </c>
    </row>
    <row r="66" spans="1:26" s="24" customFormat="1" hidden="1" outlineLevel="1" x14ac:dyDescent="0.25">
      <c r="A66" s="46"/>
      <c r="B66" s="11" t="str">
        <f>CONCATENATE("          ", "4131", " - ", "NON-TAXABLE SALES-FOOD")</f>
        <v xml:space="preserve">          4131 - NON-TAXABLE SALES-FOOD</v>
      </c>
      <c r="C66" s="11"/>
      <c r="D66" s="2">
        <f>--2447.58</f>
        <v>2447.58</v>
      </c>
      <c r="E66" s="2"/>
      <c r="F66" s="21"/>
      <c r="G66" s="2"/>
      <c r="H66" s="2"/>
      <c r="I66" s="2"/>
      <c r="J66" s="21"/>
      <c r="K66" s="2"/>
      <c r="L66" s="2">
        <f t="shared" si="0"/>
        <v>2447.58</v>
      </c>
      <c r="M66" s="2"/>
      <c r="N66" s="21">
        <f t="shared" si="1"/>
        <v>0</v>
      </c>
      <c r="O66" s="11"/>
      <c r="P66" s="2">
        <f>--2717.2</f>
        <v>2717.2</v>
      </c>
      <c r="Q66" s="2"/>
      <c r="R66" s="21"/>
      <c r="S66" s="2"/>
      <c r="T66" s="2"/>
      <c r="U66" s="2"/>
      <c r="V66" s="21"/>
      <c r="W66" s="2"/>
      <c r="X66" s="2">
        <f t="shared" si="2"/>
        <v>2717.2</v>
      </c>
      <c r="Y66" s="2"/>
      <c r="Z66" s="21">
        <f t="shared" si="3"/>
        <v>0</v>
      </c>
    </row>
    <row r="67" spans="1:26" s="24" customFormat="1" hidden="1" outlineLevel="1" x14ac:dyDescent="0.25">
      <c r="A67" s="46"/>
      <c r="B67" s="11" t="str">
        <f>CONCATENATE("          ", "4132", " - ", "NON-TAXABLE SALES-JUICE")</f>
        <v xml:space="preserve">          4132 - NON-TAXABLE SALES-JUICE</v>
      </c>
      <c r="C67" s="11"/>
      <c r="D67" s="2">
        <f>--62624.81</f>
        <v>62624.81</v>
      </c>
      <c r="E67" s="2"/>
      <c r="F67" s="21"/>
      <c r="G67" s="2"/>
      <c r="H67" s="2"/>
      <c r="I67" s="2"/>
      <c r="J67" s="21"/>
      <c r="K67" s="2"/>
      <c r="L67" s="2">
        <f t="shared" si="0"/>
        <v>62624.81</v>
      </c>
      <c r="M67" s="2"/>
      <c r="N67" s="21">
        <f t="shared" si="1"/>
        <v>0</v>
      </c>
      <c r="O67" s="11"/>
      <c r="P67" s="2">
        <f>--94757.75</f>
        <v>94757.75</v>
      </c>
      <c r="Q67" s="2"/>
      <c r="R67" s="21"/>
      <c r="S67" s="2"/>
      <c r="T67" s="2"/>
      <c r="U67" s="2"/>
      <c r="V67" s="21"/>
      <c r="W67" s="2"/>
      <c r="X67" s="2">
        <f t="shared" si="2"/>
        <v>94757.75</v>
      </c>
      <c r="Y67" s="2"/>
      <c r="Z67" s="21">
        <f t="shared" si="3"/>
        <v>0</v>
      </c>
    </row>
    <row r="68" spans="1:26" s="24" customFormat="1" hidden="1" outlineLevel="1" x14ac:dyDescent="0.25">
      <c r="A68" s="46"/>
      <c r="B68" s="11" t="str">
        <f>CONCATENATE("          ", "4133", " - ", "NON-TAXABLE SALES-CANDY")</f>
        <v xml:space="preserve">          4133 - NON-TAXABLE SALES-CANDY</v>
      </c>
      <c r="C68" s="11"/>
      <c r="D68" s="2">
        <f>--900.13</f>
        <v>900.13</v>
      </c>
      <c r="E68" s="2"/>
      <c r="F68" s="21"/>
      <c r="G68" s="2"/>
      <c r="H68" s="2"/>
      <c r="I68" s="2"/>
      <c r="J68" s="21"/>
      <c r="K68" s="2"/>
      <c r="L68" s="2">
        <f t="shared" si="0"/>
        <v>900.13</v>
      </c>
      <c r="M68" s="2"/>
      <c r="N68" s="21">
        <f t="shared" si="1"/>
        <v>0</v>
      </c>
      <c r="O68" s="11"/>
      <c r="P68" s="2">
        <f>--1372.35</f>
        <v>1372.35</v>
      </c>
      <c r="Q68" s="2"/>
      <c r="R68" s="21"/>
      <c r="S68" s="2"/>
      <c r="T68" s="2"/>
      <c r="U68" s="2"/>
      <c r="V68" s="21"/>
      <c r="W68" s="2"/>
      <c r="X68" s="2">
        <f t="shared" si="2"/>
        <v>1372.35</v>
      </c>
      <c r="Y68" s="2"/>
      <c r="Z68" s="21">
        <f t="shared" si="3"/>
        <v>0</v>
      </c>
    </row>
    <row r="69" spans="1:26" s="24" customFormat="1" hidden="1" outlineLevel="1" x14ac:dyDescent="0.25">
      <c r="A69" s="46"/>
      <c r="B69" s="11" t="str">
        <f>CONCATENATE("          ", "4134", " - ", "NON-TAXABLE SALES-SODA")</f>
        <v xml:space="preserve">          4134 - NON-TAXABLE SALES-SODA</v>
      </c>
      <c r="C69" s="11"/>
      <c r="D69" s="2">
        <f>0</f>
        <v>0</v>
      </c>
      <c r="E69" s="2"/>
      <c r="F69" s="21"/>
      <c r="G69" s="2"/>
      <c r="H69" s="2"/>
      <c r="I69" s="2"/>
      <c r="J69" s="21"/>
      <c r="K69" s="2"/>
      <c r="L69" s="2">
        <f t="shared" si="0"/>
        <v>0</v>
      </c>
      <c r="M69" s="2"/>
      <c r="N69" s="21">
        <f t="shared" si="1"/>
        <v>0</v>
      </c>
      <c r="O69" s="11"/>
      <c r="P69" s="2">
        <f>-3.39</f>
        <v>-3.39</v>
      </c>
      <c r="Q69" s="2"/>
      <c r="R69" s="21"/>
      <c r="S69" s="2"/>
      <c r="T69" s="2"/>
      <c r="U69" s="2"/>
      <c r="V69" s="21"/>
      <c r="W69" s="2"/>
      <c r="X69" s="2">
        <f t="shared" si="2"/>
        <v>-3.39</v>
      </c>
      <c r="Y69" s="2"/>
      <c r="Z69" s="21">
        <f t="shared" si="3"/>
        <v>0</v>
      </c>
    </row>
    <row r="70" spans="1:26" s="24" customFormat="1" hidden="1" outlineLevel="1" x14ac:dyDescent="0.25">
      <c r="A70" s="46"/>
      <c r="B70" s="11" t="str">
        <f>CONCATENATE("          ", "4135", " - ", "NON-TAXABLE SALES")</f>
        <v xml:space="preserve">          4135 - NON-TAXABLE SALES</v>
      </c>
      <c r="C70" s="11"/>
      <c r="D70" s="2">
        <f>--32.21</f>
        <v>32.21</v>
      </c>
      <c r="E70" s="2"/>
      <c r="F70" s="21"/>
      <c r="G70" s="2"/>
      <c r="H70" s="2"/>
      <c r="I70" s="2"/>
      <c r="J70" s="21"/>
      <c r="K70" s="2"/>
      <c r="L70" s="2">
        <f t="shared" si="0"/>
        <v>32.21</v>
      </c>
      <c r="M70" s="2"/>
      <c r="N70" s="21">
        <f t="shared" si="1"/>
        <v>0</v>
      </c>
      <c r="O70" s="11"/>
      <c r="P70" s="2">
        <f>--53.75</f>
        <v>53.75</v>
      </c>
      <c r="Q70" s="2"/>
      <c r="R70" s="21"/>
      <c r="S70" s="2"/>
      <c r="T70" s="2"/>
      <c r="U70" s="2"/>
      <c r="V70" s="21"/>
      <c r="W70" s="2"/>
      <c r="X70" s="2">
        <f t="shared" si="2"/>
        <v>53.75</v>
      </c>
      <c r="Y70" s="2"/>
      <c r="Z70" s="21">
        <f t="shared" si="3"/>
        <v>0</v>
      </c>
    </row>
    <row r="71" spans="1:26" s="24" customFormat="1" hidden="1" outlineLevel="1" x14ac:dyDescent="0.25">
      <c r="A71" s="46"/>
      <c r="B71" s="11" t="str">
        <f>CONCATENATE("          ", "4137", " - ", "NON-TAXABLE SALES-WATER")</f>
        <v xml:space="preserve">          4137 - NON-TAXABLE SALES-WATER</v>
      </c>
      <c r="C71" s="11"/>
      <c r="D71" s="2">
        <f>--726.72</f>
        <v>726.72</v>
      </c>
      <c r="E71" s="2"/>
      <c r="F71" s="21"/>
      <c r="G71" s="2"/>
      <c r="H71" s="2"/>
      <c r="I71" s="2"/>
      <c r="J71" s="21"/>
      <c r="K71" s="2"/>
      <c r="L71" s="2">
        <f t="shared" si="0"/>
        <v>726.72</v>
      </c>
      <c r="M71" s="2"/>
      <c r="N71" s="21">
        <f t="shared" si="1"/>
        <v>0</v>
      </c>
      <c r="O71" s="11"/>
      <c r="P71" s="2">
        <f>--990.24</f>
        <v>990.24</v>
      </c>
      <c r="Q71" s="2"/>
      <c r="R71" s="21"/>
      <c r="S71" s="2"/>
      <c r="T71" s="2"/>
      <c r="U71" s="2"/>
      <c r="V71" s="21"/>
      <c r="W71" s="2"/>
      <c r="X71" s="2">
        <f t="shared" si="2"/>
        <v>990.24</v>
      </c>
      <c r="Y71" s="2"/>
      <c r="Z71" s="21">
        <f t="shared" si="3"/>
        <v>0</v>
      </c>
    </row>
    <row r="72" spans="1:26" s="24" customFormat="1" hidden="1" outlineLevel="1" x14ac:dyDescent="0.25">
      <c r="A72" s="46"/>
      <c r="B72" s="11" t="str">
        <f>CONCATENATE("          ", "4140", " - ", "NON-TAXABLE SALES-LOGO CLOTHIN")</f>
        <v xml:space="preserve">          4140 - NON-TAXABLE SALES-LOGO CLOTHIN</v>
      </c>
      <c r="C72" s="11"/>
      <c r="D72" s="2">
        <f>--1979.29</f>
        <v>1979.29</v>
      </c>
      <c r="E72" s="2"/>
      <c r="F72" s="21"/>
      <c r="G72" s="2"/>
      <c r="H72" s="2"/>
      <c r="I72" s="2"/>
      <c r="J72" s="21"/>
      <c r="K72" s="2"/>
      <c r="L72" s="2">
        <f t="shared" si="0"/>
        <v>1979.29</v>
      </c>
      <c r="M72" s="2"/>
      <c r="N72" s="21">
        <f t="shared" si="1"/>
        <v>0</v>
      </c>
      <c r="O72" s="11"/>
      <c r="P72" s="2">
        <f>--5142.96</f>
        <v>5142.96</v>
      </c>
      <c r="Q72" s="2"/>
      <c r="R72" s="21"/>
      <c r="S72" s="2"/>
      <c r="T72" s="2"/>
      <c r="U72" s="2"/>
      <c r="V72" s="21"/>
      <c r="W72" s="2"/>
      <c r="X72" s="2">
        <f t="shared" si="2"/>
        <v>5142.96</v>
      </c>
      <c r="Y72" s="2"/>
      <c r="Z72" s="21">
        <f t="shared" si="3"/>
        <v>0</v>
      </c>
    </row>
    <row r="73" spans="1:26" s="24" customFormat="1" hidden="1" outlineLevel="1" x14ac:dyDescent="0.25">
      <c r="A73" s="46"/>
      <c r="B73" s="11" t="str">
        <f>CONCATENATE("          ", "4141", " - ", "NON-TAXABLE SALES-LOGO GIFTS")</f>
        <v xml:space="preserve">          4141 - NON-TAXABLE SALES-LOGO GIFTS</v>
      </c>
      <c r="C73" s="11"/>
      <c r="D73" s="2">
        <f>--432.15</f>
        <v>432.15</v>
      </c>
      <c r="E73" s="2"/>
      <c r="F73" s="21"/>
      <c r="G73" s="2"/>
      <c r="H73" s="2"/>
      <c r="I73" s="2"/>
      <c r="J73" s="21"/>
      <c r="K73" s="2"/>
      <c r="L73" s="2">
        <f t="shared" si="0"/>
        <v>432.15</v>
      </c>
      <c r="M73" s="2"/>
      <c r="N73" s="21">
        <f t="shared" si="1"/>
        <v>0</v>
      </c>
      <c r="O73" s="11"/>
      <c r="P73" s="2">
        <f>--694.3</f>
        <v>694.3</v>
      </c>
      <c r="Q73" s="2"/>
      <c r="R73" s="21"/>
      <c r="S73" s="2"/>
      <c r="T73" s="2"/>
      <c r="U73" s="2"/>
      <c r="V73" s="21"/>
      <c r="W73" s="2"/>
      <c r="X73" s="2">
        <f t="shared" si="2"/>
        <v>694.3</v>
      </c>
      <c r="Y73" s="2"/>
      <c r="Z73" s="21">
        <f t="shared" si="3"/>
        <v>0</v>
      </c>
    </row>
    <row r="74" spans="1:26" s="24" customFormat="1" hidden="1" outlineLevel="1" x14ac:dyDescent="0.25">
      <c r="A74" s="46"/>
      <c r="B74" s="11" t="str">
        <f>CONCATENATE("          ", "4142", " - ", "NON-TAXABLE SALES-EVERYDAY GIF")</f>
        <v xml:space="preserve">          4142 - NON-TAXABLE SALES-EVERYDAY GIF</v>
      </c>
      <c r="C74" s="11"/>
      <c r="D74" s="2">
        <f>--577.66</f>
        <v>577.66</v>
      </c>
      <c r="E74" s="2"/>
      <c r="F74" s="21"/>
      <c r="G74" s="2"/>
      <c r="H74" s="2"/>
      <c r="I74" s="2"/>
      <c r="J74" s="21"/>
      <c r="K74" s="2"/>
      <c r="L74" s="2">
        <f t="shared" si="0"/>
        <v>577.66</v>
      </c>
      <c r="M74" s="2"/>
      <c r="N74" s="21">
        <f t="shared" si="1"/>
        <v>0</v>
      </c>
      <c r="O74" s="11"/>
      <c r="P74" s="2">
        <f>--920.1</f>
        <v>920.1</v>
      </c>
      <c r="Q74" s="2"/>
      <c r="R74" s="21"/>
      <c r="S74" s="2"/>
      <c r="T74" s="2"/>
      <c r="U74" s="2"/>
      <c r="V74" s="21"/>
      <c r="W74" s="2"/>
      <c r="X74" s="2">
        <f t="shared" si="2"/>
        <v>920.1</v>
      </c>
      <c r="Y74" s="2"/>
      <c r="Z74" s="21">
        <f t="shared" si="3"/>
        <v>0</v>
      </c>
    </row>
    <row r="75" spans="1:26" s="24" customFormat="1" hidden="1" outlineLevel="1" x14ac:dyDescent="0.25">
      <c r="A75" s="46"/>
      <c r="B75" s="11" t="str">
        <f>CONCATENATE("          ", "4144", " - ", "NON-TAXABLE SALES-ACCESSORIES")</f>
        <v xml:space="preserve">          4144 - NON-TAXABLE SALES-ACCESSORIES</v>
      </c>
      <c r="C75" s="11"/>
      <c r="D75" s="2">
        <f>--117.86</f>
        <v>117.86</v>
      </c>
      <c r="E75" s="2"/>
      <c r="F75" s="21"/>
      <c r="G75" s="2"/>
      <c r="H75" s="2"/>
      <c r="I75" s="2"/>
      <c r="J75" s="21"/>
      <c r="K75" s="2"/>
      <c r="L75" s="2">
        <f t="shared" si="0"/>
        <v>117.86</v>
      </c>
      <c r="M75" s="2"/>
      <c r="N75" s="21">
        <f t="shared" si="1"/>
        <v>0</v>
      </c>
      <c r="O75" s="11"/>
      <c r="P75" s="2">
        <f>--139.76</f>
        <v>139.76</v>
      </c>
      <c r="Q75" s="2"/>
      <c r="R75" s="21"/>
      <c r="S75" s="2"/>
      <c r="T75" s="2"/>
      <c r="U75" s="2"/>
      <c r="V75" s="21"/>
      <c r="W75" s="2"/>
      <c r="X75" s="2">
        <f t="shared" si="2"/>
        <v>139.76</v>
      </c>
      <c r="Y75" s="2"/>
      <c r="Z75" s="21">
        <f t="shared" si="3"/>
        <v>0</v>
      </c>
    </row>
    <row r="76" spans="1:26" s="24" customFormat="1" hidden="1" outlineLevel="1" x14ac:dyDescent="0.25">
      <c r="A76" s="46"/>
      <c r="B76" s="11" t="str">
        <f>CONCATENATE("          ", "4145", " - ", "NON-TAXABLE SALES-SPECIAL ORDE")</f>
        <v xml:space="preserve">          4145 - NON-TAXABLE SALES-SPECIAL ORDE</v>
      </c>
      <c r="C76" s="11"/>
      <c r="D76" s="2">
        <f>--90</f>
        <v>90</v>
      </c>
      <c r="E76" s="2"/>
      <c r="F76" s="21"/>
      <c r="G76" s="2"/>
      <c r="H76" s="2"/>
      <c r="I76" s="2"/>
      <c r="J76" s="21"/>
      <c r="K76" s="2"/>
      <c r="L76" s="2">
        <f t="shared" si="0"/>
        <v>90</v>
      </c>
      <c r="M76" s="2"/>
      <c r="N76" s="21">
        <f t="shared" si="1"/>
        <v>0</v>
      </c>
      <c r="O76" s="11"/>
      <c r="P76" s="2">
        <f>--90</f>
        <v>90</v>
      </c>
      <c r="Q76" s="2"/>
      <c r="R76" s="21"/>
      <c r="S76" s="2"/>
      <c r="T76" s="2"/>
      <c r="U76" s="2"/>
      <c r="V76" s="21"/>
      <c r="W76" s="2"/>
      <c r="X76" s="2">
        <f t="shared" si="2"/>
        <v>90</v>
      </c>
      <c r="Y76" s="2"/>
      <c r="Z76" s="21">
        <f t="shared" si="3"/>
        <v>0</v>
      </c>
    </row>
    <row r="77" spans="1:26" s="24" customFormat="1" hidden="1" outlineLevel="1" x14ac:dyDescent="0.25">
      <c r="A77" s="46"/>
      <c r="B77" s="11" t="str">
        <f>CONCATENATE("          ", "4146", " - ", "NON-TAXABLE SALES-COIN OP MACH")</f>
        <v xml:space="preserve">          4146 - NON-TAXABLE SALES-COIN OP MACH</v>
      </c>
      <c r="C77" s="11"/>
      <c r="D77" s="2">
        <f>--13281.65</f>
        <v>13281.65</v>
      </c>
      <c r="E77" s="2"/>
      <c r="F77" s="21"/>
      <c r="G77" s="2"/>
      <c r="H77" s="2"/>
      <c r="I77" s="2"/>
      <c r="J77" s="21"/>
      <c r="K77" s="2"/>
      <c r="L77" s="2">
        <f t="shared" si="0"/>
        <v>13281.65</v>
      </c>
      <c r="M77" s="2"/>
      <c r="N77" s="21">
        <f t="shared" si="1"/>
        <v>0</v>
      </c>
      <c r="O77" s="11"/>
      <c r="P77" s="2">
        <f>--15348.75</f>
        <v>15348.75</v>
      </c>
      <c r="Q77" s="2"/>
      <c r="R77" s="21"/>
      <c r="S77" s="2"/>
      <c r="T77" s="2"/>
      <c r="U77" s="2"/>
      <c r="V77" s="21"/>
      <c r="W77" s="2"/>
      <c r="X77" s="2">
        <f t="shared" si="2"/>
        <v>15348.75</v>
      </c>
      <c r="Y77" s="2"/>
      <c r="Z77" s="21">
        <f t="shared" si="3"/>
        <v>0</v>
      </c>
    </row>
    <row r="78" spans="1:26" s="24" customFormat="1" hidden="1" outlineLevel="1" x14ac:dyDescent="0.25">
      <c r="A78" s="46"/>
      <c r="B78" s="11" t="str">
        <f>CONCATENATE("          ", "4147", " - ", "NON-TAXABLE SALES-MISC")</f>
        <v xml:space="preserve">          4147 - NON-TAXABLE SALES-MISC</v>
      </c>
      <c r="C78" s="11"/>
      <c r="D78" s="2">
        <f>--53.9</f>
        <v>53.9</v>
      </c>
      <c r="E78" s="2"/>
      <c r="F78" s="21"/>
      <c r="G78" s="2"/>
      <c r="H78" s="2"/>
      <c r="I78" s="2"/>
      <c r="J78" s="21"/>
      <c r="K78" s="2"/>
      <c r="L78" s="2">
        <f t="shared" si="0"/>
        <v>53.9</v>
      </c>
      <c r="M78" s="2"/>
      <c r="N78" s="21">
        <f t="shared" si="1"/>
        <v>0</v>
      </c>
      <c r="O78" s="11"/>
      <c r="P78" s="2">
        <f>--70.4</f>
        <v>70.400000000000006</v>
      </c>
      <c r="Q78" s="2"/>
      <c r="R78" s="21"/>
      <c r="S78" s="2"/>
      <c r="T78" s="2"/>
      <c r="U78" s="2"/>
      <c r="V78" s="21"/>
      <c r="W78" s="2"/>
      <c r="X78" s="2">
        <f t="shared" si="2"/>
        <v>70.400000000000006</v>
      </c>
      <c r="Y78" s="2"/>
      <c r="Z78" s="21">
        <f t="shared" si="3"/>
        <v>0</v>
      </c>
    </row>
    <row r="79" spans="1:26" s="24" customFormat="1" hidden="1" outlineLevel="1" x14ac:dyDescent="0.25">
      <c r="A79" s="46"/>
      <c r="B79" s="11" t="str">
        <f>CONCATENATE("          ", "4151", " - ", "NON-TAXABLE SALES-FOOD")</f>
        <v xml:space="preserve">          4151 - NON-TAXABLE SALES-FOOD</v>
      </c>
      <c r="C79" s="11"/>
      <c r="D79" s="2">
        <f>--524471.91</f>
        <v>524471.91</v>
      </c>
      <c r="E79" s="2"/>
      <c r="F79" s="21"/>
      <c r="G79" s="2"/>
      <c r="H79" s="2"/>
      <c r="I79" s="2"/>
      <c r="J79" s="21"/>
      <c r="K79" s="2"/>
      <c r="L79" s="2">
        <f t="shared" si="0"/>
        <v>524471.91</v>
      </c>
      <c r="M79" s="2"/>
      <c r="N79" s="21">
        <f t="shared" si="1"/>
        <v>0</v>
      </c>
      <c r="O79" s="11"/>
      <c r="P79" s="2">
        <f>--1059514.93</f>
        <v>1059514.93</v>
      </c>
      <c r="Q79" s="2"/>
      <c r="R79" s="21"/>
      <c r="S79" s="2"/>
      <c r="T79" s="2"/>
      <c r="U79" s="2"/>
      <c r="V79" s="21"/>
      <c r="W79" s="2"/>
      <c r="X79" s="2">
        <f t="shared" si="2"/>
        <v>1059514.93</v>
      </c>
      <c r="Y79" s="2"/>
      <c r="Z79" s="21">
        <f t="shared" si="3"/>
        <v>0</v>
      </c>
    </row>
    <row r="80" spans="1:26" s="24" customFormat="1" hidden="1" outlineLevel="1" x14ac:dyDescent="0.25">
      <c r="A80" s="46"/>
      <c r="B80" s="11" t="str">
        <f>CONCATENATE("          ", "4152", " - ", "NON-TAXABLE SALES-FOOD")</f>
        <v xml:space="preserve">          4152 - NON-TAXABLE SALES-FOOD</v>
      </c>
      <c r="C80" s="11"/>
      <c r="D80" s="2">
        <f>--3990.43</f>
        <v>3990.43</v>
      </c>
      <c r="E80" s="2"/>
      <c r="F80" s="21"/>
      <c r="G80" s="2"/>
      <c r="H80" s="2"/>
      <c r="I80" s="2"/>
      <c r="J80" s="21"/>
      <c r="K80" s="2"/>
      <c r="L80" s="2">
        <f t="shared" si="0"/>
        <v>3990.43</v>
      </c>
      <c r="M80" s="2"/>
      <c r="N80" s="21">
        <f t="shared" si="1"/>
        <v>0</v>
      </c>
      <c r="O80" s="11"/>
      <c r="P80" s="2">
        <f>--7657.52</f>
        <v>7657.52</v>
      </c>
      <c r="Q80" s="2"/>
      <c r="R80" s="21"/>
      <c r="S80" s="2"/>
      <c r="T80" s="2"/>
      <c r="U80" s="2"/>
      <c r="V80" s="21"/>
      <c r="W80" s="2"/>
      <c r="X80" s="2">
        <f t="shared" si="2"/>
        <v>7657.52</v>
      </c>
      <c r="Y80" s="2"/>
      <c r="Z80" s="21">
        <f t="shared" si="3"/>
        <v>0</v>
      </c>
    </row>
    <row r="81" spans="1:26" s="24" customFormat="1" hidden="1" outlineLevel="1" x14ac:dyDescent="0.25">
      <c r="A81" s="46"/>
      <c r="B81" s="11" t="str">
        <f>CONCATENATE("          ", "4153", " - ", "NON-TAXABLE SALES-FOOD")</f>
        <v xml:space="preserve">          4153 - NON-TAXABLE SALES-FOOD</v>
      </c>
      <c r="C81" s="11"/>
      <c r="D81" s="2">
        <f>--100967.71</f>
        <v>100967.71</v>
      </c>
      <c r="E81" s="2"/>
      <c r="F81" s="21"/>
      <c r="G81" s="2"/>
      <c r="H81" s="2"/>
      <c r="I81" s="2"/>
      <c r="J81" s="21"/>
      <c r="K81" s="2"/>
      <c r="L81" s="2">
        <f t="shared" si="0"/>
        <v>100967.71</v>
      </c>
      <c r="M81" s="2"/>
      <c r="N81" s="21">
        <f t="shared" si="1"/>
        <v>0</v>
      </c>
      <c r="O81" s="11"/>
      <c r="P81" s="2">
        <f>--120216.42</f>
        <v>120216.42</v>
      </c>
      <c r="Q81" s="2"/>
      <c r="R81" s="21"/>
      <c r="S81" s="2"/>
      <c r="T81" s="2"/>
      <c r="U81" s="2"/>
      <c r="V81" s="21"/>
      <c r="W81" s="2"/>
      <c r="X81" s="2">
        <f t="shared" si="2"/>
        <v>120216.42</v>
      </c>
      <c r="Y81" s="2"/>
      <c r="Z81" s="21">
        <f t="shared" si="3"/>
        <v>0</v>
      </c>
    </row>
    <row r="82" spans="1:26" s="24" customFormat="1" hidden="1" outlineLevel="1" x14ac:dyDescent="0.25">
      <c r="A82" s="46"/>
      <c r="B82" s="11" t="str">
        <f>CONCATENATE("          ", "4155", " - ", "NON-TAXABLE SALES-FOOD")</f>
        <v xml:space="preserve">          4155 - NON-TAXABLE SALES-FOOD</v>
      </c>
      <c r="C82" s="11"/>
      <c r="D82" s="2">
        <f>--45359.38</f>
        <v>45359.38</v>
      </c>
      <c r="E82" s="2"/>
      <c r="F82" s="21"/>
      <c r="G82" s="2"/>
      <c r="H82" s="2"/>
      <c r="I82" s="2"/>
      <c r="J82" s="21"/>
      <c r="K82" s="2"/>
      <c r="L82" s="2">
        <f t="shared" si="0"/>
        <v>45359.38</v>
      </c>
      <c r="M82" s="2"/>
      <c r="N82" s="21">
        <f t="shared" si="1"/>
        <v>0</v>
      </c>
      <c r="O82" s="11"/>
      <c r="P82" s="2">
        <f>--70996.04</f>
        <v>70996.039999999994</v>
      </c>
      <c r="Q82" s="2"/>
      <c r="R82" s="21"/>
      <c r="S82" s="2"/>
      <c r="T82" s="2"/>
      <c r="U82" s="2"/>
      <c r="V82" s="21"/>
      <c r="W82" s="2"/>
      <c r="X82" s="2">
        <f t="shared" si="2"/>
        <v>70996.039999999994</v>
      </c>
      <c r="Y82" s="2"/>
      <c r="Z82" s="21">
        <f t="shared" si="3"/>
        <v>0</v>
      </c>
    </row>
    <row r="83" spans="1:26" s="24" customFormat="1" hidden="1" outlineLevel="1" x14ac:dyDescent="0.25">
      <c r="A83" s="46"/>
      <c r="B83" s="11" t="str">
        <f>CONCATENATE("          ", "4158", " - ", "NON-TAXABLE SALES-FOOD")</f>
        <v xml:space="preserve">          4158 - NON-TAXABLE SALES-FOOD</v>
      </c>
      <c r="C83" s="11"/>
      <c r="D83" s="2">
        <f>--30810.22</f>
        <v>30810.22</v>
      </c>
      <c r="E83" s="2"/>
      <c r="F83" s="21"/>
      <c r="G83" s="2"/>
      <c r="H83" s="2"/>
      <c r="I83" s="2"/>
      <c r="J83" s="21"/>
      <c r="K83" s="2"/>
      <c r="L83" s="2">
        <f t="shared" si="0"/>
        <v>30810.22</v>
      </c>
      <c r="M83" s="2"/>
      <c r="N83" s="21">
        <f t="shared" si="1"/>
        <v>0</v>
      </c>
      <c r="O83" s="11"/>
      <c r="P83" s="2">
        <f>--40369.91</f>
        <v>40369.910000000003</v>
      </c>
      <c r="Q83" s="2"/>
      <c r="R83" s="21"/>
      <c r="S83" s="2"/>
      <c r="T83" s="2"/>
      <c r="U83" s="2"/>
      <c r="V83" s="21"/>
      <c r="W83" s="2"/>
      <c r="X83" s="2">
        <f t="shared" si="2"/>
        <v>40369.910000000003</v>
      </c>
      <c r="Y83" s="2"/>
      <c r="Z83" s="21">
        <f t="shared" si="3"/>
        <v>0</v>
      </c>
    </row>
    <row r="84" spans="1:26" s="24" customFormat="1" hidden="1" outlineLevel="1" x14ac:dyDescent="0.25">
      <c r="A84" s="46"/>
      <c r="B84" s="11" t="str">
        <f>CONCATENATE("          ", "4181", " - ", "NON-TAXABLE SALES-ELECTRONICS")</f>
        <v xml:space="preserve">          4181 - NON-TAXABLE SALES-ELECTRONICS</v>
      </c>
      <c r="C84" s="11"/>
      <c r="D84" s="2">
        <f>--87.95</f>
        <v>87.95</v>
      </c>
      <c r="E84" s="2"/>
      <c r="F84" s="21"/>
      <c r="G84" s="2"/>
      <c r="H84" s="2"/>
      <c r="I84" s="2"/>
      <c r="J84" s="21"/>
      <c r="K84" s="2"/>
      <c r="L84" s="2">
        <f t="shared" si="0"/>
        <v>87.95</v>
      </c>
      <c r="M84" s="2"/>
      <c r="N84" s="21">
        <f t="shared" si="1"/>
        <v>0</v>
      </c>
      <c r="O84" s="11"/>
      <c r="P84" s="2">
        <f>--1390.56</f>
        <v>1390.56</v>
      </c>
      <c r="Q84" s="2"/>
      <c r="R84" s="21"/>
      <c r="S84" s="2"/>
      <c r="T84" s="2"/>
      <c r="U84" s="2"/>
      <c r="V84" s="21"/>
      <c r="W84" s="2"/>
      <c r="X84" s="2">
        <f t="shared" si="2"/>
        <v>1390.56</v>
      </c>
      <c r="Y84" s="2"/>
      <c r="Z84" s="21">
        <f t="shared" si="3"/>
        <v>0</v>
      </c>
    </row>
    <row r="85" spans="1:26" s="24" customFormat="1" hidden="1" outlineLevel="1" x14ac:dyDescent="0.25">
      <c r="A85" s="46"/>
      <c r="B85" s="11" t="str">
        <f>CONCATENATE("          ", "4182", " - ", "NON-TAXABLE SALES-COMPUTER HAR")</f>
        <v xml:space="preserve">          4182 - NON-TAXABLE SALES-COMPUTER HAR</v>
      </c>
      <c r="C85" s="11"/>
      <c r="D85" s="2">
        <f>--19953</f>
        <v>19953</v>
      </c>
      <c r="E85" s="2"/>
      <c r="F85" s="21"/>
      <c r="G85" s="2"/>
      <c r="H85" s="2"/>
      <c r="I85" s="2"/>
      <c r="J85" s="21"/>
      <c r="K85" s="2"/>
      <c r="L85" s="2">
        <f t="shared" si="0"/>
        <v>19953</v>
      </c>
      <c r="M85" s="2"/>
      <c r="N85" s="21">
        <f t="shared" si="1"/>
        <v>0</v>
      </c>
      <c r="O85" s="11"/>
      <c r="P85" s="2">
        <f>--30571</f>
        <v>30571</v>
      </c>
      <c r="Q85" s="2"/>
      <c r="R85" s="21"/>
      <c r="S85" s="2"/>
      <c r="T85" s="2"/>
      <c r="U85" s="2"/>
      <c r="V85" s="21"/>
      <c r="W85" s="2"/>
      <c r="X85" s="2">
        <f t="shared" si="2"/>
        <v>30571</v>
      </c>
      <c r="Y85" s="2"/>
      <c r="Z85" s="21">
        <f t="shared" si="3"/>
        <v>0</v>
      </c>
    </row>
    <row r="86" spans="1:26" s="24" customFormat="1" hidden="1" outlineLevel="1" x14ac:dyDescent="0.25">
      <c r="A86" s="46"/>
      <c r="B86" s="11" t="str">
        <f>CONCATENATE("          ", "4183", " - ", "NON-TAXABLE SALES-COMPUTER EQU")</f>
        <v xml:space="preserve">          4183 - NON-TAXABLE SALES-COMPUTER EQU</v>
      </c>
      <c r="C86" s="11"/>
      <c r="D86" s="2">
        <f>--974.39</f>
        <v>974.39</v>
      </c>
      <c r="E86" s="2"/>
      <c r="F86" s="21"/>
      <c r="G86" s="2"/>
      <c r="H86" s="2"/>
      <c r="I86" s="2"/>
      <c r="J86" s="21"/>
      <c r="K86" s="2"/>
      <c r="L86" s="2">
        <f t="shared" si="0"/>
        <v>974.39</v>
      </c>
      <c r="M86" s="2"/>
      <c r="N86" s="21">
        <f t="shared" si="1"/>
        <v>0</v>
      </c>
      <c r="O86" s="11"/>
      <c r="P86" s="2">
        <f>--1156.29</f>
        <v>1156.29</v>
      </c>
      <c r="Q86" s="2"/>
      <c r="R86" s="21"/>
      <c r="S86" s="2"/>
      <c r="T86" s="2"/>
      <c r="U86" s="2"/>
      <c r="V86" s="21"/>
      <c r="W86" s="2"/>
      <c r="X86" s="2">
        <f t="shared" si="2"/>
        <v>1156.29</v>
      </c>
      <c r="Y86" s="2"/>
      <c r="Z86" s="21">
        <f t="shared" si="3"/>
        <v>0</v>
      </c>
    </row>
    <row r="87" spans="1:26" s="24" customFormat="1" hidden="1" outlineLevel="1" x14ac:dyDescent="0.25">
      <c r="A87" s="46"/>
      <c r="B87" s="11" t="str">
        <f>CONCATENATE("          ", "4184", " - ", "NON-TAXABLE SALES-SOFTWARE LIC")</f>
        <v xml:space="preserve">          4184 - NON-TAXABLE SALES-SOFTWARE LIC</v>
      </c>
      <c r="C87" s="11"/>
      <c r="D87" s="2">
        <f>--1522</f>
        <v>1522</v>
      </c>
      <c r="E87" s="2"/>
      <c r="F87" s="21"/>
      <c r="G87" s="2"/>
      <c r="H87" s="2"/>
      <c r="I87" s="2"/>
      <c r="J87" s="21"/>
      <c r="K87" s="2"/>
      <c r="L87" s="2">
        <f t="shared" si="0"/>
        <v>1522</v>
      </c>
      <c r="M87" s="2"/>
      <c r="N87" s="21">
        <f t="shared" si="1"/>
        <v>0</v>
      </c>
      <c r="O87" s="11"/>
      <c r="P87" s="2">
        <f>--1522</f>
        <v>1522</v>
      </c>
      <c r="Q87" s="2"/>
      <c r="R87" s="21"/>
      <c r="S87" s="2"/>
      <c r="T87" s="2"/>
      <c r="U87" s="2"/>
      <c r="V87" s="21"/>
      <c r="W87" s="2"/>
      <c r="X87" s="2">
        <f t="shared" si="2"/>
        <v>1522</v>
      </c>
      <c r="Y87" s="2"/>
      <c r="Z87" s="21">
        <f t="shared" si="3"/>
        <v>0</v>
      </c>
    </row>
    <row r="88" spans="1:26" s="24" customFormat="1" hidden="1" outlineLevel="1" x14ac:dyDescent="0.25">
      <c r="A88" s="46"/>
      <c r="B88" s="11" t="str">
        <f>CONCATENATE("          ", "4185", " - ", "NON-TAXABLE SALES-SOFTWARE")</f>
        <v xml:space="preserve">          4185 - NON-TAXABLE SALES-SOFTWARE</v>
      </c>
      <c r="C88" s="11"/>
      <c r="D88" s="2">
        <f>--3770</f>
        <v>3770</v>
      </c>
      <c r="E88" s="2"/>
      <c r="F88" s="21"/>
      <c r="G88" s="2"/>
      <c r="H88" s="2"/>
      <c r="I88" s="2"/>
      <c r="J88" s="21"/>
      <c r="K88" s="2"/>
      <c r="L88" s="2">
        <f t="shared" si="0"/>
        <v>3770</v>
      </c>
      <c r="M88" s="2"/>
      <c r="N88" s="21">
        <f t="shared" si="1"/>
        <v>0</v>
      </c>
      <c r="O88" s="11"/>
      <c r="P88" s="2">
        <f>--4522</f>
        <v>4522</v>
      </c>
      <c r="Q88" s="2"/>
      <c r="R88" s="21"/>
      <c r="S88" s="2"/>
      <c r="T88" s="2"/>
      <c r="U88" s="2"/>
      <c r="V88" s="21"/>
      <c r="W88" s="2"/>
      <c r="X88" s="2">
        <f t="shared" si="2"/>
        <v>4522</v>
      </c>
      <c r="Y88" s="2"/>
      <c r="Z88" s="21">
        <f t="shared" si="3"/>
        <v>0</v>
      </c>
    </row>
    <row r="89" spans="1:26" s="24" customFormat="1" hidden="1" outlineLevel="1" x14ac:dyDescent="0.25">
      <c r="A89" s="46"/>
      <c r="B89" s="11" t="str">
        <f>CONCATENATE("          ", "4186", " - ", "NON-TAXABLE SALES-COMPUTER SUP")</f>
        <v xml:space="preserve">          4186 - NON-TAXABLE SALES-COMPUTER SUP</v>
      </c>
      <c r="C89" s="11"/>
      <c r="D89" s="2">
        <f>--194.93</f>
        <v>194.93</v>
      </c>
      <c r="E89" s="2"/>
      <c r="F89" s="21"/>
      <c r="G89" s="2"/>
      <c r="H89" s="2"/>
      <c r="I89" s="2"/>
      <c r="J89" s="21"/>
      <c r="K89" s="2"/>
      <c r="L89" s="2">
        <f t="shared" si="0"/>
        <v>194.93</v>
      </c>
      <c r="M89" s="2"/>
      <c r="N89" s="21">
        <f t="shared" si="1"/>
        <v>0</v>
      </c>
      <c r="O89" s="11"/>
      <c r="P89" s="2">
        <f>--274.9</f>
        <v>274.89999999999998</v>
      </c>
      <c r="Q89" s="2"/>
      <c r="R89" s="21"/>
      <c r="S89" s="2"/>
      <c r="T89" s="2"/>
      <c r="U89" s="2"/>
      <c r="V89" s="21"/>
      <c r="W89" s="2"/>
      <c r="X89" s="2">
        <f t="shared" si="2"/>
        <v>274.89999999999998</v>
      </c>
      <c r="Y89" s="2"/>
      <c r="Z89" s="21">
        <f t="shared" si="3"/>
        <v>0</v>
      </c>
    </row>
    <row r="90" spans="1:26" s="24" customFormat="1" hidden="1" outlineLevel="1" x14ac:dyDescent="0.25">
      <c r="A90" s="46"/>
      <c r="B90" s="11" t="str">
        <f>CONCATENATE("          ", "4188", " - ", "NON-TAXABLE SALES-MUSIC")</f>
        <v xml:space="preserve">          4188 - NON-TAXABLE SALES-MUSIC</v>
      </c>
      <c r="C90" s="11"/>
      <c r="D90" s="2">
        <f>0</f>
        <v>0</v>
      </c>
      <c r="E90" s="2"/>
      <c r="F90" s="21"/>
      <c r="G90" s="2"/>
      <c r="H90" s="2"/>
      <c r="I90" s="2"/>
      <c r="J90" s="21"/>
      <c r="K90" s="2"/>
      <c r="L90" s="2">
        <f t="shared" si="0"/>
        <v>0</v>
      </c>
      <c r="M90" s="2"/>
      <c r="N90" s="21">
        <f t="shared" si="1"/>
        <v>0</v>
      </c>
      <c r="O90" s="11"/>
      <c r="P90" s="2">
        <f>--99.98</f>
        <v>99.98</v>
      </c>
      <c r="Q90" s="2"/>
      <c r="R90" s="21"/>
      <c r="S90" s="2"/>
      <c r="T90" s="2"/>
      <c r="U90" s="2"/>
      <c r="V90" s="21"/>
      <c r="W90" s="2"/>
      <c r="X90" s="2">
        <f t="shared" si="2"/>
        <v>99.98</v>
      </c>
      <c r="Y90" s="2"/>
      <c r="Z90" s="21">
        <f t="shared" si="3"/>
        <v>0</v>
      </c>
    </row>
    <row r="91" spans="1:26" s="24" customFormat="1" hidden="1" outlineLevel="1" x14ac:dyDescent="0.25">
      <c r="A91" s="46"/>
      <c r="B91" s="11" t="str">
        <f>CONCATENATE("          ", "4201", " - ", "SALES RETURN TAXABLE-NEW TEXT")</f>
        <v xml:space="preserve">          4201 - SALES RETURN TAXABLE-NEW TEXT</v>
      </c>
      <c r="C91" s="11"/>
      <c r="D91" s="2">
        <f>-58563.26</f>
        <v>-58563.26</v>
      </c>
      <c r="E91" s="2"/>
      <c r="F91" s="21"/>
      <c r="G91" s="2"/>
      <c r="H91" s="2"/>
      <c r="I91" s="2"/>
      <c r="J91" s="21"/>
      <c r="K91" s="2"/>
      <c r="L91" s="2">
        <f t="shared" si="0"/>
        <v>-58563.26</v>
      </c>
      <c r="M91" s="2"/>
      <c r="N91" s="21">
        <f t="shared" si="1"/>
        <v>0</v>
      </c>
      <c r="O91" s="11"/>
      <c r="P91" s="2">
        <f>-59170.41</f>
        <v>-59170.41</v>
      </c>
      <c r="Q91" s="2"/>
      <c r="R91" s="21"/>
      <c r="S91" s="2"/>
      <c r="T91" s="2"/>
      <c r="U91" s="2"/>
      <c r="V91" s="21"/>
      <c r="W91" s="2"/>
      <c r="X91" s="2">
        <f t="shared" si="2"/>
        <v>-59170.41</v>
      </c>
      <c r="Y91" s="2"/>
      <c r="Z91" s="21">
        <f t="shared" si="3"/>
        <v>0</v>
      </c>
    </row>
    <row r="92" spans="1:26" s="24" customFormat="1" hidden="1" outlineLevel="1" x14ac:dyDescent="0.25">
      <c r="A92" s="46"/>
      <c r="B92" s="11" t="str">
        <f>CONCATENATE("          ", "4202", " - ", "SALES RETURN TAXABLE-USED TEXT")</f>
        <v xml:space="preserve">          4202 - SALES RETURN TAXABLE-USED TEXT</v>
      </c>
      <c r="C92" s="11"/>
      <c r="D92" s="2">
        <f>-20533</f>
        <v>-20533</v>
      </c>
      <c r="E92" s="2"/>
      <c r="F92" s="21"/>
      <c r="G92" s="2"/>
      <c r="H92" s="2"/>
      <c r="I92" s="2"/>
      <c r="J92" s="21"/>
      <c r="K92" s="2"/>
      <c r="L92" s="2">
        <f t="shared" si="0"/>
        <v>-20533</v>
      </c>
      <c r="M92" s="2"/>
      <c r="N92" s="21">
        <f t="shared" si="1"/>
        <v>0</v>
      </c>
      <c r="O92" s="11"/>
      <c r="P92" s="2">
        <f>-21254.45</f>
        <v>-21254.45</v>
      </c>
      <c r="Q92" s="2"/>
      <c r="R92" s="21"/>
      <c r="S92" s="2"/>
      <c r="T92" s="2"/>
      <c r="U92" s="2"/>
      <c r="V92" s="21"/>
      <c r="W92" s="2"/>
      <c r="X92" s="2">
        <f t="shared" si="2"/>
        <v>-21254.45</v>
      </c>
      <c r="Y92" s="2"/>
      <c r="Z92" s="21">
        <f t="shared" si="3"/>
        <v>0</v>
      </c>
    </row>
    <row r="93" spans="1:26" s="24" customFormat="1" hidden="1" outlineLevel="1" x14ac:dyDescent="0.25">
      <c r="A93" s="46"/>
      <c r="B93" s="11" t="str">
        <f>CONCATENATE("          ", "4204", " - ", "SALES RETURN TAXABLE-DIGITAL T")</f>
        <v xml:space="preserve">          4204 - SALES RETURN TAXABLE-DIGITAL T</v>
      </c>
      <c r="C93" s="11"/>
      <c r="D93" s="2">
        <f>-6848.37</f>
        <v>-6848.37</v>
      </c>
      <c r="E93" s="2"/>
      <c r="F93" s="21"/>
      <c r="G93" s="2"/>
      <c r="H93" s="2"/>
      <c r="I93" s="2"/>
      <c r="J93" s="21"/>
      <c r="K93" s="2"/>
      <c r="L93" s="2">
        <f t="shared" si="0"/>
        <v>-6848.37</v>
      </c>
      <c r="M93" s="2"/>
      <c r="N93" s="21">
        <f t="shared" si="1"/>
        <v>0</v>
      </c>
      <c r="O93" s="11"/>
      <c r="P93" s="2">
        <f>-6848.37</f>
        <v>-6848.37</v>
      </c>
      <c r="Q93" s="2"/>
      <c r="R93" s="21"/>
      <c r="S93" s="2"/>
      <c r="T93" s="2"/>
      <c r="U93" s="2"/>
      <c r="V93" s="21"/>
      <c r="W93" s="2"/>
      <c r="X93" s="2">
        <f t="shared" si="2"/>
        <v>-6848.37</v>
      </c>
      <c r="Y93" s="2"/>
      <c r="Z93" s="21">
        <f t="shared" si="3"/>
        <v>0</v>
      </c>
    </row>
    <row r="94" spans="1:26" s="24" customFormat="1" hidden="1" outlineLevel="1" x14ac:dyDescent="0.25">
      <c r="A94" s="46"/>
      <c r="B94" s="11" t="str">
        <f>CONCATENATE("          ", "4218", " - ", "SALES RETURN TAXABLE-STUDY GUI")</f>
        <v xml:space="preserve">          4218 - SALES RETURN TAXABLE-STUDY GUI</v>
      </c>
      <c r="C94" s="11"/>
      <c r="D94" s="2">
        <f>-26.8</f>
        <v>-26.8</v>
      </c>
      <c r="E94" s="2"/>
      <c r="F94" s="21"/>
      <c r="G94" s="2"/>
      <c r="H94" s="2"/>
      <c r="I94" s="2"/>
      <c r="J94" s="21"/>
      <c r="K94" s="2"/>
      <c r="L94" s="2">
        <f t="shared" si="0"/>
        <v>-26.8</v>
      </c>
      <c r="M94" s="2"/>
      <c r="N94" s="21">
        <f t="shared" si="1"/>
        <v>0</v>
      </c>
      <c r="O94" s="11"/>
      <c r="P94" s="2">
        <f>-26.8</f>
        <v>-26.8</v>
      </c>
      <c r="Q94" s="2"/>
      <c r="R94" s="21"/>
      <c r="S94" s="2"/>
      <c r="T94" s="2"/>
      <c r="U94" s="2"/>
      <c r="V94" s="21"/>
      <c r="W94" s="2"/>
      <c r="X94" s="2">
        <f t="shared" si="2"/>
        <v>-26.8</v>
      </c>
      <c r="Y94" s="2"/>
      <c r="Z94" s="21">
        <f t="shared" si="3"/>
        <v>0</v>
      </c>
    </row>
    <row r="95" spans="1:26" s="24" customFormat="1" hidden="1" outlineLevel="1" x14ac:dyDescent="0.25">
      <c r="A95" s="46"/>
      <c r="B95" s="11" t="str">
        <f>CONCATENATE("          ", "4225", " - ", "SALES RETURN TAXABLE-TEST FORM")</f>
        <v xml:space="preserve">          4225 - SALES RETURN TAXABLE-TEST FORM</v>
      </c>
      <c r="C95" s="11"/>
      <c r="D95" s="2">
        <f>-8.61</f>
        <v>-8.61</v>
      </c>
      <c r="E95" s="2"/>
      <c r="F95" s="21"/>
      <c r="G95" s="2"/>
      <c r="H95" s="2"/>
      <c r="I95" s="2"/>
      <c r="J95" s="21"/>
      <c r="K95" s="2"/>
      <c r="L95" s="2">
        <f t="shared" si="0"/>
        <v>-8.61</v>
      </c>
      <c r="M95" s="2"/>
      <c r="N95" s="21">
        <f t="shared" si="1"/>
        <v>0</v>
      </c>
      <c r="O95" s="11"/>
      <c r="P95" s="2">
        <f>-12.69</f>
        <v>-12.69</v>
      </c>
      <c r="Q95" s="2"/>
      <c r="R95" s="21"/>
      <c r="S95" s="2"/>
      <c r="T95" s="2"/>
      <c r="U95" s="2"/>
      <c r="V95" s="21"/>
      <c r="W95" s="2"/>
      <c r="X95" s="2">
        <f t="shared" si="2"/>
        <v>-12.69</v>
      </c>
      <c r="Y95" s="2"/>
      <c r="Z95" s="21">
        <f t="shared" si="3"/>
        <v>0</v>
      </c>
    </row>
    <row r="96" spans="1:26" s="24" customFormat="1" hidden="1" outlineLevel="1" x14ac:dyDescent="0.25">
      <c r="A96" s="46"/>
      <c r="B96" s="11" t="str">
        <f>CONCATENATE("          ", "4226", " - ", "SALES RETURN TAXABLE-WRITING I")</f>
        <v xml:space="preserve">          4226 - SALES RETURN TAXABLE-WRITING I</v>
      </c>
      <c r="C96" s="11"/>
      <c r="D96" s="2">
        <f>-60.28</f>
        <v>-60.28</v>
      </c>
      <c r="E96" s="2"/>
      <c r="F96" s="21"/>
      <c r="G96" s="2"/>
      <c r="H96" s="2"/>
      <c r="I96" s="2"/>
      <c r="J96" s="21"/>
      <c r="K96" s="2"/>
      <c r="L96" s="2">
        <f t="shared" si="0"/>
        <v>-60.28</v>
      </c>
      <c r="M96" s="2"/>
      <c r="N96" s="21">
        <f t="shared" si="1"/>
        <v>0</v>
      </c>
      <c r="O96" s="11"/>
      <c r="P96" s="2">
        <f>-124.21</f>
        <v>-124.21</v>
      </c>
      <c r="Q96" s="2"/>
      <c r="R96" s="21"/>
      <c r="S96" s="2"/>
      <c r="T96" s="2"/>
      <c r="U96" s="2"/>
      <c r="V96" s="21"/>
      <c r="W96" s="2"/>
      <c r="X96" s="2">
        <f t="shared" si="2"/>
        <v>-124.21</v>
      </c>
      <c r="Y96" s="2"/>
      <c r="Z96" s="21">
        <f t="shared" si="3"/>
        <v>0</v>
      </c>
    </row>
    <row r="97" spans="1:26" s="24" customFormat="1" hidden="1" outlineLevel="1" x14ac:dyDescent="0.25">
      <c r="A97" s="46"/>
      <c r="B97" s="11" t="str">
        <f>CONCATENATE("          ", "4227", " - ", "SALES RETURN TAXABLE-SCHOOL SU")</f>
        <v xml:space="preserve">          4227 - SALES RETURN TAXABLE-SCHOOL SU</v>
      </c>
      <c r="C97" s="11"/>
      <c r="D97" s="2">
        <f>-1531.15</f>
        <v>-1531.15</v>
      </c>
      <c r="E97" s="2"/>
      <c r="F97" s="21"/>
      <c r="G97" s="2"/>
      <c r="H97" s="2"/>
      <c r="I97" s="2"/>
      <c r="J97" s="21"/>
      <c r="K97" s="2"/>
      <c r="L97" s="2">
        <f t="shared" si="0"/>
        <v>-1531.15</v>
      </c>
      <c r="M97" s="2"/>
      <c r="N97" s="21">
        <f t="shared" si="1"/>
        <v>0</v>
      </c>
      <c r="O97" s="11"/>
      <c r="P97" s="2">
        <f>-1696.59</f>
        <v>-1696.59</v>
      </c>
      <c r="Q97" s="2"/>
      <c r="R97" s="21"/>
      <c r="S97" s="2"/>
      <c r="T97" s="2"/>
      <c r="U97" s="2"/>
      <c r="V97" s="21"/>
      <c r="W97" s="2"/>
      <c r="X97" s="2">
        <f t="shared" si="2"/>
        <v>-1696.59</v>
      </c>
      <c r="Y97" s="2"/>
      <c r="Z97" s="21">
        <f t="shared" si="3"/>
        <v>0</v>
      </c>
    </row>
    <row r="98" spans="1:26" s="24" customFormat="1" hidden="1" outlineLevel="1" x14ac:dyDescent="0.25">
      <c r="A98" s="46"/>
      <c r="B98" s="11" t="str">
        <f>CONCATENATE("          ", "4228", " - ", "SALES RETURN TAXABLE-ART/TECH")</f>
        <v xml:space="preserve">          4228 - SALES RETURN TAXABLE-ART/TECH</v>
      </c>
      <c r="C98" s="11"/>
      <c r="D98" s="2">
        <f>-858.36</f>
        <v>-858.36</v>
      </c>
      <c r="E98" s="2"/>
      <c r="F98" s="21"/>
      <c r="G98" s="2"/>
      <c r="H98" s="2"/>
      <c r="I98" s="2"/>
      <c r="J98" s="21"/>
      <c r="K98" s="2"/>
      <c r="L98" s="2">
        <f t="shared" si="0"/>
        <v>-858.36</v>
      </c>
      <c r="M98" s="2"/>
      <c r="N98" s="21">
        <f t="shared" si="1"/>
        <v>0</v>
      </c>
      <c r="O98" s="11"/>
      <c r="P98" s="2">
        <f>-868.73</f>
        <v>-868.73</v>
      </c>
      <c r="Q98" s="2"/>
      <c r="R98" s="21"/>
      <c r="S98" s="2"/>
      <c r="T98" s="2"/>
      <c r="U98" s="2"/>
      <c r="V98" s="21"/>
      <c r="W98" s="2"/>
      <c r="X98" s="2">
        <f t="shared" si="2"/>
        <v>-868.73</v>
      </c>
      <c r="Y98" s="2"/>
      <c r="Z98" s="21">
        <f t="shared" si="3"/>
        <v>0</v>
      </c>
    </row>
    <row r="99" spans="1:26" s="24" customFormat="1" hidden="1" outlineLevel="1" x14ac:dyDescent="0.25">
      <c r="A99" s="46"/>
      <c r="B99" s="11" t="str">
        <f>CONCATENATE("          ", "4240", " - ", "SALES RETURN TAXABLE-LOGO CLOT")</f>
        <v xml:space="preserve">          4240 - SALES RETURN TAXABLE-LOGO CLOT</v>
      </c>
      <c r="C99" s="11"/>
      <c r="D99" s="2">
        <f>-6807.65</f>
        <v>-6807.65</v>
      </c>
      <c r="E99" s="2"/>
      <c r="F99" s="21"/>
      <c r="G99" s="2"/>
      <c r="H99" s="2"/>
      <c r="I99" s="2"/>
      <c r="J99" s="21"/>
      <c r="K99" s="2"/>
      <c r="L99" s="2">
        <f t="shared" si="0"/>
        <v>-6807.65</v>
      </c>
      <c r="M99" s="2"/>
      <c r="N99" s="21">
        <f t="shared" si="1"/>
        <v>0</v>
      </c>
      <c r="O99" s="11"/>
      <c r="P99" s="2">
        <f>-11254.49</f>
        <v>-11254.49</v>
      </c>
      <c r="Q99" s="2"/>
      <c r="R99" s="21"/>
      <c r="S99" s="2"/>
      <c r="T99" s="2"/>
      <c r="U99" s="2"/>
      <c r="V99" s="21"/>
      <c r="W99" s="2"/>
      <c r="X99" s="2">
        <f t="shared" si="2"/>
        <v>-11254.49</v>
      </c>
      <c r="Y99" s="2"/>
      <c r="Z99" s="21">
        <f t="shared" si="3"/>
        <v>0</v>
      </c>
    </row>
    <row r="100" spans="1:26" s="24" customFormat="1" hidden="1" outlineLevel="1" x14ac:dyDescent="0.25">
      <c r="A100" s="46"/>
      <c r="B100" s="11" t="str">
        <f>CONCATENATE("          ", "4241", " - ", "SALES RETURN TAXABLE-LOGO GIFT")</f>
        <v xml:space="preserve">          4241 - SALES RETURN TAXABLE-LOGO GIFT</v>
      </c>
      <c r="C100" s="11"/>
      <c r="D100" s="2">
        <f>-971.11</f>
        <v>-971.11</v>
      </c>
      <c r="E100" s="2"/>
      <c r="F100" s="21"/>
      <c r="G100" s="2"/>
      <c r="H100" s="2"/>
      <c r="I100" s="2"/>
      <c r="J100" s="21"/>
      <c r="K100" s="2"/>
      <c r="L100" s="2">
        <f t="shared" si="0"/>
        <v>-971.11</v>
      </c>
      <c r="M100" s="2"/>
      <c r="N100" s="21">
        <f t="shared" si="1"/>
        <v>0</v>
      </c>
      <c r="O100" s="11"/>
      <c r="P100" s="2">
        <f>-1690.01</f>
        <v>-1690.01</v>
      </c>
      <c r="Q100" s="2"/>
      <c r="R100" s="21"/>
      <c r="S100" s="2"/>
      <c r="T100" s="2"/>
      <c r="U100" s="2"/>
      <c r="V100" s="21"/>
      <c r="W100" s="2"/>
      <c r="X100" s="2">
        <f t="shared" si="2"/>
        <v>-1690.01</v>
      </c>
      <c r="Y100" s="2"/>
      <c r="Z100" s="21">
        <f t="shared" si="3"/>
        <v>0</v>
      </c>
    </row>
    <row r="101" spans="1:26" s="24" customFormat="1" hidden="1" outlineLevel="1" x14ac:dyDescent="0.25">
      <c r="A101" s="46"/>
      <c r="B101" s="11" t="str">
        <f>CONCATENATE("          ", "4242", " - ", "SALES RETURN TAXABLE-EVERYDAY")</f>
        <v xml:space="preserve">          4242 - SALES RETURN TAXABLE-EVERYDAY</v>
      </c>
      <c r="C101" s="11"/>
      <c r="D101" s="2">
        <f>-450.83</f>
        <v>-450.83</v>
      </c>
      <c r="E101" s="2"/>
      <c r="F101" s="21"/>
      <c r="G101" s="2"/>
      <c r="H101" s="2"/>
      <c r="I101" s="2"/>
      <c r="J101" s="21"/>
      <c r="K101" s="2"/>
      <c r="L101" s="2">
        <f t="shared" si="0"/>
        <v>-450.83</v>
      </c>
      <c r="M101" s="2"/>
      <c r="N101" s="21">
        <f t="shared" si="1"/>
        <v>0</v>
      </c>
      <c r="O101" s="11"/>
      <c r="P101" s="2">
        <f>-824.81</f>
        <v>-824.81</v>
      </c>
      <c r="Q101" s="2"/>
      <c r="R101" s="21"/>
      <c r="S101" s="2"/>
      <c r="T101" s="2"/>
      <c r="U101" s="2"/>
      <c r="V101" s="21"/>
      <c r="W101" s="2"/>
      <c r="X101" s="2">
        <f t="shared" si="2"/>
        <v>-824.81</v>
      </c>
      <c r="Y101" s="2"/>
      <c r="Z101" s="21">
        <f t="shared" si="3"/>
        <v>0</v>
      </c>
    </row>
    <row r="102" spans="1:26" s="24" customFormat="1" hidden="1" outlineLevel="1" x14ac:dyDescent="0.25">
      <c r="A102" s="46"/>
      <c r="B102" s="11" t="str">
        <f>CONCATENATE("          ", "4244", " - ", "SALES RETURN TAXABLE-ACCESSORI")</f>
        <v xml:space="preserve">          4244 - SALES RETURN TAXABLE-ACCESSORI</v>
      </c>
      <c r="C102" s="11"/>
      <c r="D102" s="2">
        <f>-443.68</f>
        <v>-443.68</v>
      </c>
      <c r="E102" s="2"/>
      <c r="F102" s="21"/>
      <c r="G102" s="2"/>
      <c r="H102" s="2"/>
      <c r="I102" s="2"/>
      <c r="J102" s="21"/>
      <c r="K102" s="2"/>
      <c r="L102" s="2">
        <f t="shared" si="0"/>
        <v>-443.68</v>
      </c>
      <c r="M102" s="2"/>
      <c r="N102" s="21">
        <f t="shared" si="1"/>
        <v>0</v>
      </c>
      <c r="O102" s="11"/>
      <c r="P102" s="2">
        <f>-550.47</f>
        <v>-550.47</v>
      </c>
      <c r="Q102" s="2"/>
      <c r="R102" s="21"/>
      <c r="S102" s="2"/>
      <c r="T102" s="2"/>
      <c r="U102" s="2"/>
      <c r="V102" s="21"/>
      <c r="W102" s="2"/>
      <c r="X102" s="2">
        <f t="shared" si="2"/>
        <v>-550.47</v>
      </c>
      <c r="Y102" s="2"/>
      <c r="Z102" s="21">
        <f t="shared" si="3"/>
        <v>0</v>
      </c>
    </row>
    <row r="103" spans="1:26" s="24" customFormat="1" hidden="1" outlineLevel="1" x14ac:dyDescent="0.25">
      <c r="A103" s="46"/>
      <c r="B103" s="11" t="str">
        <f>CONCATENATE("          ", "4245", " - ", "SALES RETURN TAXABLE-SPECIAL O")</f>
        <v xml:space="preserve">          4245 - SALES RETURN TAXABLE-SPECIAL O</v>
      </c>
      <c r="C103" s="11"/>
      <c r="D103" s="2">
        <f>-19.98</f>
        <v>-19.98</v>
      </c>
      <c r="E103" s="2"/>
      <c r="F103" s="21"/>
      <c r="G103" s="2"/>
      <c r="H103" s="2"/>
      <c r="I103" s="2"/>
      <c r="J103" s="21"/>
      <c r="K103" s="2"/>
      <c r="L103" s="2">
        <f t="shared" si="0"/>
        <v>-19.98</v>
      </c>
      <c r="M103" s="2"/>
      <c r="N103" s="21">
        <f t="shared" si="1"/>
        <v>0</v>
      </c>
      <c r="O103" s="11"/>
      <c r="P103" s="2">
        <f>-19.98</f>
        <v>-19.98</v>
      </c>
      <c r="Q103" s="2"/>
      <c r="R103" s="21"/>
      <c r="S103" s="2"/>
      <c r="T103" s="2"/>
      <c r="U103" s="2"/>
      <c r="V103" s="21"/>
      <c r="W103" s="2"/>
      <c r="X103" s="2">
        <f t="shared" si="2"/>
        <v>-19.98</v>
      </c>
      <c r="Y103" s="2"/>
      <c r="Z103" s="21">
        <f t="shared" si="3"/>
        <v>0</v>
      </c>
    </row>
    <row r="104" spans="1:26" s="24" customFormat="1" hidden="1" outlineLevel="1" x14ac:dyDescent="0.25">
      <c r="A104" s="46"/>
      <c r="B104" s="11" t="str">
        <f>CONCATENATE("          ", "4281", " - ", "SALES RETURN TAXABLE-ELECTRONI")</f>
        <v xml:space="preserve">          4281 - SALES RETURN TAXABLE-ELECTRONI</v>
      </c>
      <c r="C104" s="11"/>
      <c r="D104" s="2">
        <f>-575.76</f>
        <v>-575.76</v>
      </c>
      <c r="E104" s="2"/>
      <c r="F104" s="21"/>
      <c r="G104" s="2"/>
      <c r="H104" s="2"/>
      <c r="I104" s="2"/>
      <c r="J104" s="21"/>
      <c r="K104" s="2"/>
      <c r="L104" s="2">
        <f t="shared" si="0"/>
        <v>-575.76</v>
      </c>
      <c r="M104" s="2"/>
      <c r="N104" s="21">
        <f t="shared" si="1"/>
        <v>0</v>
      </c>
      <c r="O104" s="11"/>
      <c r="P104" s="2">
        <f>-2234.75</f>
        <v>-2234.75</v>
      </c>
      <c r="Q104" s="2"/>
      <c r="R104" s="21"/>
      <c r="S104" s="2"/>
      <c r="T104" s="2"/>
      <c r="U104" s="2"/>
      <c r="V104" s="21"/>
      <c r="W104" s="2"/>
      <c r="X104" s="2">
        <f t="shared" si="2"/>
        <v>-2234.75</v>
      </c>
      <c r="Y104" s="2"/>
      <c r="Z104" s="21">
        <f t="shared" si="3"/>
        <v>0</v>
      </c>
    </row>
    <row r="105" spans="1:26" s="24" customFormat="1" hidden="1" outlineLevel="1" x14ac:dyDescent="0.25">
      <c r="A105" s="46"/>
      <c r="B105" s="11" t="str">
        <f>CONCATENATE("          ", "4282", " - ", "SALES RETURN TAXABLE-COMPUTER")</f>
        <v xml:space="preserve">          4282 - SALES RETURN TAXABLE-COMPUTER</v>
      </c>
      <c r="C105" s="11"/>
      <c r="D105" s="2">
        <f>-49848.66</f>
        <v>-49848.66</v>
      </c>
      <c r="E105" s="2"/>
      <c r="F105" s="21"/>
      <c r="G105" s="2"/>
      <c r="H105" s="2"/>
      <c r="I105" s="2"/>
      <c r="J105" s="21"/>
      <c r="K105" s="2"/>
      <c r="L105" s="2">
        <f t="shared" si="0"/>
        <v>-49848.66</v>
      </c>
      <c r="M105" s="2"/>
      <c r="N105" s="21">
        <f t="shared" si="1"/>
        <v>0</v>
      </c>
      <c r="O105" s="11"/>
      <c r="P105" s="2">
        <f>-120189.72</f>
        <v>-120189.72</v>
      </c>
      <c r="Q105" s="2"/>
      <c r="R105" s="21"/>
      <c r="S105" s="2"/>
      <c r="T105" s="2"/>
      <c r="U105" s="2"/>
      <c r="V105" s="21"/>
      <c r="W105" s="2"/>
      <c r="X105" s="2">
        <f t="shared" si="2"/>
        <v>-120189.72</v>
      </c>
      <c r="Y105" s="2"/>
      <c r="Z105" s="21">
        <f t="shared" si="3"/>
        <v>0</v>
      </c>
    </row>
    <row r="106" spans="1:26" s="24" customFormat="1" hidden="1" outlineLevel="1" x14ac:dyDescent="0.25">
      <c r="A106" s="46"/>
      <c r="B106" s="11" t="str">
        <f>CONCATENATE("          ", "4283", " - ", "SALES RETURN TAXABLE-COMPUTER")</f>
        <v xml:space="preserve">          4283 - SALES RETURN TAXABLE-COMPUTER</v>
      </c>
      <c r="C106" s="11"/>
      <c r="D106" s="2">
        <f>-503.89</f>
        <v>-503.89</v>
      </c>
      <c r="E106" s="2"/>
      <c r="F106" s="21"/>
      <c r="G106" s="2"/>
      <c r="H106" s="2"/>
      <c r="I106" s="2"/>
      <c r="J106" s="21"/>
      <c r="K106" s="2"/>
      <c r="L106" s="2">
        <f t="shared" si="0"/>
        <v>-503.89</v>
      </c>
      <c r="M106" s="2"/>
      <c r="N106" s="21">
        <f t="shared" si="1"/>
        <v>0</v>
      </c>
      <c r="O106" s="11"/>
      <c r="P106" s="2">
        <f>-730.69</f>
        <v>-730.69</v>
      </c>
      <c r="Q106" s="2"/>
      <c r="R106" s="21"/>
      <c r="S106" s="2"/>
      <c r="T106" s="2"/>
      <c r="U106" s="2"/>
      <c r="V106" s="21"/>
      <c r="W106" s="2"/>
      <c r="X106" s="2">
        <f t="shared" si="2"/>
        <v>-730.69</v>
      </c>
      <c r="Y106" s="2"/>
      <c r="Z106" s="21">
        <f t="shared" si="3"/>
        <v>0</v>
      </c>
    </row>
    <row r="107" spans="1:26" s="24" customFormat="1" hidden="1" outlineLevel="1" x14ac:dyDescent="0.25">
      <c r="A107" s="46"/>
      <c r="B107" s="11" t="str">
        <f>CONCATENATE("          ", "4284", " - ", "SALES RETURN TAXABLE-SOFTWARE")</f>
        <v xml:space="preserve">          4284 - SALES RETURN TAXABLE-SOFTWARE</v>
      </c>
      <c r="C107" s="11"/>
      <c r="D107" s="2">
        <f>-129</f>
        <v>-129</v>
      </c>
      <c r="E107" s="2"/>
      <c r="F107" s="21"/>
      <c r="G107" s="2"/>
      <c r="H107" s="2"/>
      <c r="I107" s="2"/>
      <c r="J107" s="21"/>
      <c r="K107" s="2"/>
      <c r="L107" s="2">
        <f t="shared" si="0"/>
        <v>-129</v>
      </c>
      <c r="M107" s="2"/>
      <c r="N107" s="21">
        <f t="shared" si="1"/>
        <v>0</v>
      </c>
      <c r="O107" s="11"/>
      <c r="P107" s="2">
        <f>-129</f>
        <v>-129</v>
      </c>
      <c r="Q107" s="2"/>
      <c r="R107" s="21"/>
      <c r="S107" s="2"/>
      <c r="T107" s="2"/>
      <c r="U107" s="2"/>
      <c r="V107" s="21"/>
      <c r="W107" s="2"/>
      <c r="X107" s="2">
        <f t="shared" si="2"/>
        <v>-129</v>
      </c>
      <c r="Y107" s="2"/>
      <c r="Z107" s="21">
        <f t="shared" si="3"/>
        <v>0</v>
      </c>
    </row>
    <row r="108" spans="1:26" s="24" customFormat="1" hidden="1" outlineLevel="1" x14ac:dyDescent="0.25">
      <c r="A108" s="46"/>
      <c r="B108" s="11" t="str">
        <f>CONCATENATE("          ", "4285", " - ", "SALES RETURN TAXABLE-SOFTWARE")</f>
        <v xml:space="preserve">          4285 - SALES RETURN TAXABLE-SOFTWARE</v>
      </c>
      <c r="C108" s="11"/>
      <c r="D108" s="2">
        <f>0</f>
        <v>0</v>
      </c>
      <c r="E108" s="2"/>
      <c r="F108" s="21"/>
      <c r="G108" s="2"/>
      <c r="H108" s="2"/>
      <c r="I108" s="2"/>
      <c r="J108" s="21"/>
      <c r="K108" s="2"/>
      <c r="L108" s="2">
        <f t="shared" si="0"/>
        <v>0</v>
      </c>
      <c r="M108" s="2"/>
      <c r="N108" s="21">
        <f t="shared" si="1"/>
        <v>0</v>
      </c>
      <c r="O108" s="11"/>
      <c r="P108" s="2">
        <f>-406.99</f>
        <v>-406.99</v>
      </c>
      <c r="Q108" s="2"/>
      <c r="R108" s="21"/>
      <c r="S108" s="2"/>
      <c r="T108" s="2"/>
      <c r="U108" s="2"/>
      <c r="V108" s="21"/>
      <c r="W108" s="2"/>
      <c r="X108" s="2">
        <f t="shared" si="2"/>
        <v>-406.99</v>
      </c>
      <c r="Y108" s="2"/>
      <c r="Z108" s="21">
        <f t="shared" si="3"/>
        <v>0</v>
      </c>
    </row>
    <row r="109" spans="1:26" s="24" customFormat="1" hidden="1" outlineLevel="1" x14ac:dyDescent="0.25">
      <c r="A109" s="46"/>
      <c r="B109" s="11" t="str">
        <f>CONCATENATE("          ", "4286", " - ", "SALES RETURN TAXABLE-COMPUTER")</f>
        <v xml:space="preserve">          4286 - SALES RETURN TAXABLE-COMPUTER</v>
      </c>
      <c r="C109" s="11"/>
      <c r="D109" s="2">
        <f>-635.2</f>
        <v>-635.20000000000005</v>
      </c>
      <c r="E109" s="2"/>
      <c r="F109" s="21"/>
      <c r="G109" s="2"/>
      <c r="H109" s="2"/>
      <c r="I109" s="2"/>
      <c r="J109" s="21"/>
      <c r="K109" s="2"/>
      <c r="L109" s="2">
        <f t="shared" si="0"/>
        <v>-635.20000000000005</v>
      </c>
      <c r="M109" s="2"/>
      <c r="N109" s="21">
        <f t="shared" si="1"/>
        <v>0</v>
      </c>
      <c r="O109" s="11"/>
      <c r="P109" s="2">
        <f>-1181.15</f>
        <v>-1181.1500000000001</v>
      </c>
      <c r="Q109" s="2"/>
      <c r="R109" s="21"/>
      <c r="S109" s="2"/>
      <c r="T109" s="2"/>
      <c r="U109" s="2"/>
      <c r="V109" s="21"/>
      <c r="W109" s="2"/>
      <c r="X109" s="2">
        <f t="shared" si="2"/>
        <v>-1181.1500000000001</v>
      </c>
      <c r="Y109" s="2"/>
      <c r="Z109" s="21">
        <f t="shared" si="3"/>
        <v>0</v>
      </c>
    </row>
    <row r="110" spans="1:26" s="24" customFormat="1" hidden="1" outlineLevel="1" x14ac:dyDescent="0.25">
      <c r="A110" s="46"/>
      <c r="B110" s="11" t="str">
        <f>CONCATENATE("          ", "4292", " - ", "SALES RETURN TAXABLE-GRAD MERC")</f>
        <v xml:space="preserve">          4292 - SALES RETURN TAXABLE-GRAD MERC</v>
      </c>
      <c r="C110" s="11"/>
      <c r="D110" s="2">
        <f>-359.2</f>
        <v>-359.2</v>
      </c>
      <c r="E110" s="2"/>
      <c r="F110" s="21"/>
      <c r="G110" s="2"/>
      <c r="H110" s="2"/>
      <c r="I110" s="2"/>
      <c r="J110" s="21"/>
      <c r="K110" s="2"/>
      <c r="L110" s="2">
        <f t="shared" si="0"/>
        <v>-359.2</v>
      </c>
      <c r="M110" s="2"/>
      <c r="N110" s="21">
        <f t="shared" si="1"/>
        <v>0</v>
      </c>
      <c r="O110" s="11"/>
      <c r="P110" s="2">
        <f>-369.15</f>
        <v>-369.15</v>
      </c>
      <c r="Q110" s="2"/>
      <c r="R110" s="21"/>
      <c r="S110" s="2"/>
      <c r="T110" s="2"/>
      <c r="U110" s="2"/>
      <c r="V110" s="21"/>
      <c r="W110" s="2"/>
      <c r="X110" s="2">
        <f t="shared" si="2"/>
        <v>-369.15</v>
      </c>
      <c r="Y110" s="2"/>
      <c r="Z110" s="21">
        <f t="shared" si="3"/>
        <v>0</v>
      </c>
    </row>
    <row r="111" spans="1:26" s="24" customFormat="1" hidden="1" outlineLevel="1" x14ac:dyDescent="0.25">
      <c r="A111" s="46"/>
      <c r="B111" s="11" t="str">
        <f>CONCATENATE("          ", "4295", " - ", "SALES RETURN TAXABLE-CUSTOMER")</f>
        <v xml:space="preserve">          4295 - SALES RETURN TAXABLE-CUSTOMER</v>
      </c>
      <c r="C111" s="11"/>
      <c r="D111" s="2">
        <f>--0.99</f>
        <v>0.99</v>
      </c>
      <c r="E111" s="2"/>
      <c r="F111" s="21"/>
      <c r="G111" s="2"/>
      <c r="H111" s="2"/>
      <c r="I111" s="2"/>
      <c r="J111" s="21"/>
      <c r="K111" s="2"/>
      <c r="L111" s="2">
        <f t="shared" si="0"/>
        <v>0.99</v>
      </c>
      <c r="M111" s="2"/>
      <c r="N111" s="21">
        <f t="shared" si="1"/>
        <v>0</v>
      </c>
      <c r="O111" s="11"/>
      <c r="P111" s="2">
        <f>--0.99</f>
        <v>0.99</v>
      </c>
      <c r="Q111" s="2"/>
      <c r="R111" s="21"/>
      <c r="S111" s="2"/>
      <c r="T111" s="2"/>
      <c r="U111" s="2"/>
      <c r="V111" s="21"/>
      <c r="W111" s="2"/>
      <c r="X111" s="2">
        <f t="shared" si="2"/>
        <v>0.99</v>
      </c>
      <c r="Y111" s="2"/>
      <c r="Z111" s="21">
        <f t="shared" si="3"/>
        <v>0</v>
      </c>
    </row>
    <row r="112" spans="1:26" s="24" customFormat="1" hidden="1" outlineLevel="1" x14ac:dyDescent="0.25">
      <c r="A112" s="46"/>
      <c r="B112" s="11" t="str">
        <f>CONCATENATE("          ", "4301", " - ", "SALES RETURN NON TAXABLE-NEW T")</f>
        <v xml:space="preserve">          4301 - SALES RETURN NON TAXABLE-NEW T</v>
      </c>
      <c r="C112" s="11"/>
      <c r="D112" s="2">
        <f>-2665.19</f>
        <v>-2665.19</v>
      </c>
      <c r="E112" s="2"/>
      <c r="F112" s="21"/>
      <c r="G112" s="2"/>
      <c r="H112" s="2"/>
      <c r="I112" s="2"/>
      <c r="J112" s="21"/>
      <c r="K112" s="2"/>
      <c r="L112" s="2">
        <f t="shared" si="0"/>
        <v>-2665.19</v>
      </c>
      <c r="M112" s="2"/>
      <c r="N112" s="21">
        <f t="shared" si="1"/>
        <v>0</v>
      </c>
      <c r="O112" s="11"/>
      <c r="P112" s="2">
        <f>-2919.78</f>
        <v>-2919.78</v>
      </c>
      <c r="Q112" s="2"/>
      <c r="R112" s="21"/>
      <c r="S112" s="2"/>
      <c r="T112" s="2"/>
      <c r="U112" s="2"/>
      <c r="V112" s="21"/>
      <c r="W112" s="2"/>
      <c r="X112" s="2">
        <f t="shared" si="2"/>
        <v>-2919.78</v>
      </c>
      <c r="Y112" s="2"/>
      <c r="Z112" s="21">
        <f t="shared" si="3"/>
        <v>0</v>
      </c>
    </row>
    <row r="113" spans="1:26" s="24" customFormat="1" hidden="1" outlineLevel="1" x14ac:dyDescent="0.25">
      <c r="A113" s="46"/>
      <c r="B113" s="11" t="str">
        <f>CONCATENATE("          ", "4302", " - ", "SALES RETURN NON TAXABLE-TEXT")</f>
        <v xml:space="preserve">          4302 - SALES RETURN NON TAXABLE-TEXT</v>
      </c>
      <c r="C113" s="11"/>
      <c r="D113" s="2">
        <f>-250.25</f>
        <v>-250.25</v>
      </c>
      <c r="E113" s="2"/>
      <c r="F113" s="21"/>
      <c r="G113" s="2"/>
      <c r="H113" s="2"/>
      <c r="I113" s="2"/>
      <c r="J113" s="21"/>
      <c r="K113" s="2"/>
      <c r="L113" s="2">
        <f t="shared" si="0"/>
        <v>-250.25</v>
      </c>
      <c r="M113" s="2"/>
      <c r="N113" s="21">
        <f t="shared" si="1"/>
        <v>0</v>
      </c>
      <c r="O113" s="11"/>
      <c r="P113" s="2">
        <f>-250.25</f>
        <v>-250.25</v>
      </c>
      <c r="Q113" s="2"/>
      <c r="R113" s="21"/>
      <c r="S113" s="2"/>
      <c r="T113" s="2"/>
      <c r="U113" s="2"/>
      <c r="V113" s="21"/>
      <c r="W113" s="2"/>
      <c r="X113" s="2">
        <f t="shared" si="2"/>
        <v>-250.25</v>
      </c>
      <c r="Y113" s="2"/>
      <c r="Z113" s="21">
        <f t="shared" si="3"/>
        <v>0</v>
      </c>
    </row>
    <row r="114" spans="1:26" s="24" customFormat="1" hidden="1" outlineLevel="1" x14ac:dyDescent="0.25">
      <c r="A114" s="46"/>
      <c r="B114" s="11" t="str">
        <f>CONCATENATE("          ", "4304", " - ", "SALES RETURN NON TAXABLE-DIGIT")</f>
        <v xml:space="preserve">          4304 - SALES RETURN NON TAXABLE-DIGIT</v>
      </c>
      <c r="C114" s="11"/>
      <c r="D114" s="2">
        <f>-8466.55</f>
        <v>-8466.5499999999993</v>
      </c>
      <c r="E114" s="2"/>
      <c r="F114" s="21"/>
      <c r="G114" s="2"/>
      <c r="H114" s="2"/>
      <c r="I114" s="2"/>
      <c r="J114" s="21"/>
      <c r="K114" s="2"/>
      <c r="L114" s="2">
        <f t="shared" si="0"/>
        <v>-8466.5499999999993</v>
      </c>
      <c r="M114" s="2"/>
      <c r="N114" s="21">
        <f t="shared" si="1"/>
        <v>0</v>
      </c>
      <c r="O114" s="11"/>
      <c r="P114" s="2">
        <f>-8466.55</f>
        <v>-8466.5499999999993</v>
      </c>
      <c r="Q114" s="2"/>
      <c r="R114" s="21"/>
      <c r="S114" s="2"/>
      <c r="T114" s="2"/>
      <c r="U114" s="2"/>
      <c r="V114" s="21"/>
      <c r="W114" s="2"/>
      <c r="X114" s="2">
        <f t="shared" si="2"/>
        <v>-8466.5499999999993</v>
      </c>
      <c r="Y114" s="2"/>
      <c r="Z114" s="21">
        <f t="shared" si="3"/>
        <v>0</v>
      </c>
    </row>
    <row r="115" spans="1:26" s="24" customFormat="1" hidden="1" outlineLevel="1" x14ac:dyDescent="0.25">
      <c r="A115" s="46"/>
      <c r="B115" s="11" t="str">
        <f>CONCATENATE("          ", "4311", " - ", "SALES RETURN NON TAXABLE-NO VA")</f>
        <v xml:space="preserve">          4311 - SALES RETURN NON TAXABLE-NO VA</v>
      </c>
      <c r="C115" s="11"/>
      <c r="D115" s="2">
        <f>-79.06</f>
        <v>-79.06</v>
      </c>
      <c r="E115" s="2"/>
      <c r="F115" s="21"/>
      <c r="G115" s="2"/>
      <c r="H115" s="2"/>
      <c r="I115" s="2"/>
      <c r="J115" s="21"/>
      <c r="K115" s="2"/>
      <c r="L115" s="2">
        <f t="shared" si="0"/>
        <v>-79.06</v>
      </c>
      <c r="M115" s="2"/>
      <c r="N115" s="21">
        <f t="shared" si="1"/>
        <v>0</v>
      </c>
      <c r="O115" s="11"/>
      <c r="P115" s="2">
        <f>-111.04</f>
        <v>-111.04</v>
      </c>
      <c r="Q115" s="2"/>
      <c r="R115" s="21"/>
      <c r="S115" s="2"/>
      <c r="T115" s="2"/>
      <c r="U115" s="2"/>
      <c r="V115" s="21"/>
      <c r="W115" s="2"/>
      <c r="X115" s="2">
        <f t="shared" si="2"/>
        <v>-111.04</v>
      </c>
      <c r="Y115" s="2"/>
      <c r="Z115" s="21">
        <f t="shared" si="3"/>
        <v>0</v>
      </c>
    </row>
    <row r="116" spans="1:26" s="24" customFormat="1" hidden="1" outlineLevel="1" x14ac:dyDescent="0.25">
      <c r="A116" s="46"/>
      <c r="B116" s="11" t="str">
        <f>CONCATENATE("          ", "4327", " - ", "SALES RETURN NON TAXABLE-SCHOO")</f>
        <v xml:space="preserve">          4327 - SALES RETURN NON TAXABLE-SCHOO</v>
      </c>
      <c r="C116" s="11"/>
      <c r="D116" s="2">
        <f>-13.58</f>
        <v>-13.58</v>
      </c>
      <c r="E116" s="2"/>
      <c r="F116" s="21"/>
      <c r="G116" s="2"/>
      <c r="H116" s="2"/>
      <c r="I116" s="2"/>
      <c r="J116" s="21"/>
      <c r="K116" s="2"/>
      <c r="L116" s="2">
        <f t="shared" si="0"/>
        <v>-13.58</v>
      </c>
      <c r="M116" s="2"/>
      <c r="N116" s="21">
        <f t="shared" si="1"/>
        <v>0</v>
      </c>
      <c r="O116" s="11"/>
      <c r="P116" s="2">
        <f>-13.58</f>
        <v>-13.58</v>
      </c>
      <c r="Q116" s="2"/>
      <c r="R116" s="21"/>
      <c r="S116" s="2"/>
      <c r="T116" s="2"/>
      <c r="U116" s="2"/>
      <c r="V116" s="21"/>
      <c r="W116" s="2"/>
      <c r="X116" s="2">
        <f t="shared" si="2"/>
        <v>-13.58</v>
      </c>
      <c r="Y116" s="2"/>
      <c r="Z116" s="21">
        <f t="shared" si="3"/>
        <v>0</v>
      </c>
    </row>
    <row r="117" spans="1:26" s="24" customFormat="1" hidden="1" outlineLevel="1" x14ac:dyDescent="0.25">
      <c r="A117" s="46"/>
      <c r="B117" s="11" t="str">
        <f>CONCATENATE("          ", "4340", " - ", "SALES RETURN NON TAXABLE-LOGO")</f>
        <v xml:space="preserve">          4340 - SALES RETURN NON TAXABLE-LOGO</v>
      </c>
      <c r="C117" s="11"/>
      <c r="D117" s="2">
        <f>-44.95</f>
        <v>-44.95</v>
      </c>
      <c r="E117" s="2"/>
      <c r="F117" s="21"/>
      <c r="G117" s="2"/>
      <c r="H117" s="2"/>
      <c r="I117" s="2"/>
      <c r="J117" s="21"/>
      <c r="K117" s="2"/>
      <c r="L117" s="2">
        <f t="shared" si="0"/>
        <v>-44.95</v>
      </c>
      <c r="M117" s="2"/>
      <c r="N117" s="21">
        <f t="shared" si="1"/>
        <v>0</v>
      </c>
      <c r="O117" s="11"/>
      <c r="P117" s="2">
        <f>-268.5</f>
        <v>-268.5</v>
      </c>
      <c r="Q117" s="2"/>
      <c r="R117" s="21"/>
      <c r="S117" s="2"/>
      <c r="T117" s="2"/>
      <c r="U117" s="2"/>
      <c r="V117" s="21"/>
      <c r="W117" s="2"/>
      <c r="X117" s="2">
        <f t="shared" si="2"/>
        <v>-268.5</v>
      </c>
      <c r="Y117" s="2"/>
      <c r="Z117" s="21">
        <f t="shared" si="3"/>
        <v>0</v>
      </c>
    </row>
    <row r="118" spans="1:26" s="24" customFormat="1" hidden="1" outlineLevel="1" x14ac:dyDescent="0.25">
      <c r="A118" s="46"/>
      <c r="B118" s="11" t="str">
        <f>CONCATENATE("          ", "4341", " - ", "SALES RETURN NON TAXABLE-LOGO")</f>
        <v xml:space="preserve">          4341 - SALES RETURN NON TAXABLE-LOGO</v>
      </c>
      <c r="C118" s="11"/>
      <c r="D118" s="2">
        <f>-3.95</f>
        <v>-3.95</v>
      </c>
      <c r="E118" s="2"/>
      <c r="F118" s="21"/>
      <c r="G118" s="2"/>
      <c r="H118" s="2"/>
      <c r="I118" s="2"/>
      <c r="J118" s="21"/>
      <c r="K118" s="2"/>
      <c r="L118" s="2">
        <f t="shared" si="0"/>
        <v>-3.95</v>
      </c>
      <c r="M118" s="2"/>
      <c r="N118" s="21">
        <f t="shared" si="1"/>
        <v>0</v>
      </c>
      <c r="O118" s="11"/>
      <c r="P118" s="2">
        <f>-3.95</f>
        <v>-3.95</v>
      </c>
      <c r="Q118" s="2"/>
      <c r="R118" s="21"/>
      <c r="S118" s="2"/>
      <c r="T118" s="2"/>
      <c r="U118" s="2"/>
      <c r="V118" s="21"/>
      <c r="W118" s="2"/>
      <c r="X118" s="2">
        <f t="shared" si="2"/>
        <v>-3.95</v>
      </c>
      <c r="Y118" s="2"/>
      <c r="Z118" s="21">
        <f t="shared" si="3"/>
        <v>0</v>
      </c>
    </row>
    <row r="119" spans="1:26" s="24" customFormat="1" hidden="1" outlineLevel="1" x14ac:dyDescent="0.25">
      <c r="A119" s="46"/>
      <c r="B119" s="11" t="str">
        <f>CONCATENATE("          ", "4346", " - ", "SALES RETURN NON TAXABLE-COIN-")</f>
        <v xml:space="preserve">          4346 - SALES RETURN NON TAXABLE-COIN-</v>
      </c>
      <c r="C119" s="11"/>
      <c r="D119" s="2">
        <f>-8.15</f>
        <v>-8.15</v>
      </c>
      <c r="E119" s="2"/>
      <c r="F119" s="21"/>
      <c r="G119" s="2"/>
      <c r="H119" s="2"/>
      <c r="I119" s="2"/>
      <c r="J119" s="21"/>
      <c r="K119" s="2"/>
      <c r="L119" s="2">
        <f t="shared" si="0"/>
        <v>-8.15</v>
      </c>
      <c r="M119" s="2"/>
      <c r="N119" s="21">
        <f t="shared" si="1"/>
        <v>0</v>
      </c>
      <c r="O119" s="11"/>
      <c r="P119" s="2">
        <f>-8.15</f>
        <v>-8.15</v>
      </c>
      <c r="Q119" s="2"/>
      <c r="R119" s="21"/>
      <c r="S119" s="2"/>
      <c r="T119" s="2"/>
      <c r="U119" s="2"/>
      <c r="V119" s="21"/>
      <c r="W119" s="2"/>
      <c r="X119" s="2">
        <f t="shared" si="2"/>
        <v>-8.15</v>
      </c>
      <c r="Y119" s="2"/>
      <c r="Z119" s="21">
        <f t="shared" si="3"/>
        <v>0</v>
      </c>
    </row>
    <row r="120" spans="1:26" s="24" customFormat="1" hidden="1" outlineLevel="1" x14ac:dyDescent="0.25">
      <c r="A120" s="46"/>
      <c r="B120" s="11" t="str">
        <f>CONCATENATE("          ", "4383", " - ", "SALES RETURN NON TAXABLE-COMPU")</f>
        <v xml:space="preserve">          4383 - SALES RETURN NON TAXABLE-COMPU</v>
      </c>
      <c r="C120" s="11"/>
      <c r="D120" s="2">
        <f>-24.99</f>
        <v>-24.99</v>
      </c>
      <c r="E120" s="2"/>
      <c r="F120" s="21"/>
      <c r="G120" s="2"/>
      <c r="H120" s="2"/>
      <c r="I120" s="2"/>
      <c r="J120" s="21"/>
      <c r="K120" s="2"/>
      <c r="L120" s="2">
        <f t="shared" si="0"/>
        <v>-24.99</v>
      </c>
      <c r="M120" s="2"/>
      <c r="N120" s="21">
        <f t="shared" si="1"/>
        <v>0</v>
      </c>
      <c r="O120" s="11"/>
      <c r="P120" s="2">
        <f>-24.99</f>
        <v>-24.99</v>
      </c>
      <c r="Q120" s="2"/>
      <c r="R120" s="21"/>
      <c r="S120" s="2"/>
      <c r="T120" s="2"/>
      <c r="U120" s="2"/>
      <c r="V120" s="21"/>
      <c r="W120" s="2"/>
      <c r="X120" s="2">
        <f t="shared" si="2"/>
        <v>-24.99</v>
      </c>
      <c r="Y120" s="2"/>
      <c r="Z120" s="21">
        <f t="shared" si="3"/>
        <v>0</v>
      </c>
    </row>
    <row r="121" spans="1:26" s="24" customFormat="1" hidden="1" outlineLevel="1" x14ac:dyDescent="0.25">
      <c r="A121" s="46"/>
      <c r="B121" s="11" t="str">
        <f>CONCATENATE("          ", "4386", " - ", "SALES RETURN NON TAXABLE-COMPU")</f>
        <v xml:space="preserve">          4386 - SALES RETURN NON TAXABLE-COMPU</v>
      </c>
      <c r="C121" s="11"/>
      <c r="D121" s="2">
        <f>-19.99</f>
        <v>-19.989999999999998</v>
      </c>
      <c r="E121" s="2"/>
      <c r="F121" s="21"/>
      <c r="G121" s="2"/>
      <c r="H121" s="2"/>
      <c r="I121" s="2"/>
      <c r="J121" s="21"/>
      <c r="K121" s="2"/>
      <c r="L121" s="2">
        <f t="shared" si="0"/>
        <v>-19.989999999999998</v>
      </c>
      <c r="M121" s="2"/>
      <c r="N121" s="21">
        <f t="shared" si="1"/>
        <v>0</v>
      </c>
      <c r="O121" s="11"/>
      <c r="P121" s="2">
        <f>-19.99</f>
        <v>-19.989999999999998</v>
      </c>
      <c r="Q121" s="2"/>
      <c r="R121" s="21"/>
      <c r="S121" s="2"/>
      <c r="T121" s="2"/>
      <c r="U121" s="2"/>
      <c r="V121" s="21"/>
      <c r="W121" s="2"/>
      <c r="X121" s="2">
        <f t="shared" si="2"/>
        <v>-19.989999999999998</v>
      </c>
      <c r="Y121" s="2"/>
      <c r="Z121" s="21">
        <f t="shared" si="3"/>
        <v>0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collapsed="1" x14ac:dyDescent="0.25">
      <c r="A123" s="10"/>
      <c r="B123" s="28" t="s">
        <v>8</v>
      </c>
      <c r="C123" s="10"/>
      <c r="D123" s="4">
        <f>SUM(OSRRefD16x_0)</f>
        <v>2542832.4300000006</v>
      </c>
      <c r="E123" s="4"/>
      <c r="F123" s="12">
        <f t="shared" ref="F123:F178" si="5">IF(D$12=0,0,D123/D$12)</f>
        <v>0.60281040051828583</v>
      </c>
      <c r="G123" s="4"/>
      <c r="H123" s="4">
        <f>SUM(OSRRefH16x_0)</f>
        <v>2518408.6566400002</v>
      </c>
      <c r="I123" s="4"/>
      <c r="J123" s="12">
        <f t="shared" ref="J123:J178" si="6">IF(H$12=0,0,H123/H$12)</f>
        <v>0.56728274770134246</v>
      </c>
      <c r="K123" s="4"/>
      <c r="L123" s="4">
        <f t="shared" ref="L123:L178" si="7">+D123-H123</f>
        <v>24423.773360000458</v>
      </c>
      <c r="M123" s="4"/>
      <c r="N123" s="12">
        <f t="shared" ref="N123:N178" si="8">IF(H123=0,0,L123/H123)</f>
        <v>9.6980977632859892E-3</v>
      </c>
      <c r="O123" s="10"/>
      <c r="P123" s="4">
        <f>SUM(OSRRefP16x_0)</f>
        <v>3332370.07</v>
      </c>
      <c r="Q123" s="4"/>
      <c r="R123" s="12">
        <f t="shared" ref="R123:R178" si="9">IF(P$12=0,0,P123/P$12)</f>
        <v>0.5820523364034984</v>
      </c>
      <c r="S123" s="4"/>
      <c r="T123" s="4">
        <f>SUM(OSRRefT16x_0)</f>
        <v>3309413.2209600001</v>
      </c>
      <c r="U123" s="4"/>
      <c r="V123" s="12">
        <f t="shared" ref="V123:V178" si="10">IF(T$12=0,0,T123/T$12)</f>
        <v>0.54428823160921047</v>
      </c>
      <c r="W123" s="4"/>
      <c r="X123" s="4">
        <f t="shared" ref="X123:X178" si="11">+P123-T123</f>
        <v>22956.849039999768</v>
      </c>
      <c r="Y123" s="4"/>
      <c r="Z123" s="12">
        <f t="shared" ref="Z123:Z178" si="12">IF(T123=0,0,X123/T123)</f>
        <v>6.9368336642289738E-3</v>
      </c>
    </row>
    <row r="124" spans="1:26" s="24" customFormat="1" hidden="1" outlineLevel="1" x14ac:dyDescent="0.25">
      <c r="A124" s="46"/>
      <c r="B124" s="11" t="str">
        <f>CONCATENATE("          ", "5000", " - ", "PURCHASES @ COST")</f>
        <v xml:space="preserve">          5000 - PURCHASES @ COST</v>
      </c>
      <c r="C124" s="11"/>
      <c r="D124" s="2"/>
      <c r="E124" s="2"/>
      <c r="F124" s="21">
        <f t="shared" si="5"/>
        <v>0</v>
      </c>
      <c r="G124" s="2"/>
      <c r="H124" s="2">
        <v>2518408.6566400002</v>
      </c>
      <c r="I124" s="2"/>
      <c r="J124" s="21">
        <f t="shared" si="6"/>
        <v>0.56728274770134246</v>
      </c>
      <c r="K124" s="2"/>
      <c r="L124" s="2">
        <f t="shared" si="7"/>
        <v>-2518408.6566400002</v>
      </c>
      <c r="M124" s="2"/>
      <c r="N124" s="21">
        <f t="shared" si="8"/>
        <v>-1</v>
      </c>
      <c r="O124" s="11"/>
      <c r="P124" s="2"/>
      <c r="Q124" s="2"/>
      <c r="R124" s="21">
        <f t="shared" si="9"/>
        <v>0</v>
      </c>
      <c r="S124" s="2"/>
      <c r="T124" s="2">
        <v>3309413.2209600001</v>
      </c>
      <c r="U124" s="2"/>
      <c r="V124" s="21">
        <f t="shared" si="10"/>
        <v>0.54428823160921047</v>
      </c>
      <c r="W124" s="2"/>
      <c r="X124" s="2">
        <f t="shared" si="11"/>
        <v>-3309413.2209600001</v>
      </c>
      <c r="Y124" s="2"/>
      <c r="Z124" s="21">
        <f t="shared" si="12"/>
        <v>-1</v>
      </c>
    </row>
    <row r="125" spans="1:26" s="24" customFormat="1" hidden="1" outlineLevel="1" x14ac:dyDescent="0.25">
      <c r="A125" s="46"/>
      <c r="B125" s="11" t="str">
        <f>CONCATENATE("          ", "5001", " - ", "PURCHASES @ COST-NEW TEXT")</f>
        <v xml:space="preserve">          5001 - PURCHASES @ COST-NEW TEXT</v>
      </c>
      <c r="C125" s="11"/>
      <c r="D125" s="2">
        <v>1483764.14</v>
      </c>
      <c r="E125" s="2"/>
      <c r="F125" s="21">
        <f t="shared" si="5"/>
        <v>0.35174494589408306</v>
      </c>
      <c r="G125" s="2"/>
      <c r="H125" s="2"/>
      <c r="I125" s="2"/>
      <c r="J125" s="21">
        <f t="shared" si="6"/>
        <v>0</v>
      </c>
      <c r="K125" s="2"/>
      <c r="L125" s="2">
        <f t="shared" si="7"/>
        <v>1483764.14</v>
      </c>
      <c r="M125" s="2"/>
      <c r="N125" s="21">
        <f t="shared" si="8"/>
        <v>0</v>
      </c>
      <c r="O125" s="11"/>
      <c r="P125" s="2">
        <v>1827758.7</v>
      </c>
      <c r="Q125" s="2"/>
      <c r="R125" s="21">
        <f t="shared" si="9"/>
        <v>0.31924762237371224</v>
      </c>
      <c r="S125" s="2"/>
      <c r="T125" s="2"/>
      <c r="U125" s="2"/>
      <c r="V125" s="21">
        <f t="shared" si="10"/>
        <v>0</v>
      </c>
      <c r="W125" s="2"/>
      <c r="X125" s="2">
        <f t="shared" si="11"/>
        <v>1827758.7</v>
      </c>
      <c r="Y125" s="2"/>
      <c r="Z125" s="21">
        <f t="shared" si="12"/>
        <v>0</v>
      </c>
    </row>
    <row r="126" spans="1:26" s="24" customFormat="1" hidden="1" outlineLevel="1" x14ac:dyDescent="0.25">
      <c r="A126" s="46"/>
      <c r="B126" s="11" t="str">
        <f>CONCATENATE("          ", "5002", " - ", "PURCHASES @ COST-USED TEXT")</f>
        <v xml:space="preserve">          5002 - PURCHASES @ COST-USED TEXT</v>
      </c>
      <c r="C126" s="11"/>
      <c r="D126" s="2">
        <v>224687.41999999998</v>
      </c>
      <c r="E126" s="2"/>
      <c r="F126" s="21">
        <f t="shared" si="5"/>
        <v>5.3264978078646052E-2</v>
      </c>
      <c r="G126" s="2"/>
      <c r="H126" s="2"/>
      <c r="I126" s="2"/>
      <c r="J126" s="21">
        <f t="shared" si="6"/>
        <v>0</v>
      </c>
      <c r="K126" s="2"/>
      <c r="L126" s="2">
        <f t="shared" si="7"/>
        <v>224687.41999999998</v>
      </c>
      <c r="M126" s="2"/>
      <c r="N126" s="21">
        <f t="shared" si="8"/>
        <v>0</v>
      </c>
      <c r="O126" s="11"/>
      <c r="P126" s="2">
        <v>334980.67</v>
      </c>
      <c r="Q126" s="2"/>
      <c r="R126" s="21">
        <f t="shared" si="9"/>
        <v>5.8509792588405198E-2</v>
      </c>
      <c r="S126" s="2"/>
      <c r="T126" s="2"/>
      <c r="U126" s="2"/>
      <c r="V126" s="21">
        <f t="shared" si="10"/>
        <v>0</v>
      </c>
      <c r="W126" s="2"/>
      <c r="X126" s="2">
        <f t="shared" si="11"/>
        <v>334980.67</v>
      </c>
      <c r="Y126" s="2"/>
      <c r="Z126" s="21">
        <f t="shared" si="12"/>
        <v>0</v>
      </c>
    </row>
    <row r="127" spans="1:26" s="24" customFormat="1" hidden="1" outlineLevel="1" x14ac:dyDescent="0.25">
      <c r="A127" s="46"/>
      <c r="B127" s="11" t="str">
        <f>CONCATENATE("          ", "5003", " - ", "PURCHASES @ COST-RENTAL TEXT")</f>
        <v xml:space="preserve">          5003 - PURCHASES @ COST-RENTAL TEXT</v>
      </c>
      <c r="C127" s="11"/>
      <c r="D127" s="2">
        <v>-38374.199999999997</v>
      </c>
      <c r="E127" s="2"/>
      <c r="F127" s="21">
        <f t="shared" si="5"/>
        <v>-9.097086618314364E-3</v>
      </c>
      <c r="G127" s="2"/>
      <c r="H127" s="2"/>
      <c r="I127" s="2"/>
      <c r="J127" s="21">
        <f t="shared" si="6"/>
        <v>0</v>
      </c>
      <c r="K127" s="2"/>
      <c r="L127" s="2">
        <f t="shared" si="7"/>
        <v>-38374.199999999997</v>
      </c>
      <c r="M127" s="2"/>
      <c r="N127" s="21">
        <f t="shared" si="8"/>
        <v>0</v>
      </c>
      <c r="O127" s="11"/>
      <c r="P127" s="2">
        <v>-78.400000000000006</v>
      </c>
      <c r="Q127" s="2"/>
      <c r="R127" s="21">
        <f t="shared" si="9"/>
        <v>-1.3693828180984197E-5</v>
      </c>
      <c r="S127" s="2"/>
      <c r="T127" s="2"/>
      <c r="U127" s="2"/>
      <c r="V127" s="21">
        <f t="shared" si="10"/>
        <v>0</v>
      </c>
      <c r="W127" s="2"/>
      <c r="X127" s="2">
        <f t="shared" si="11"/>
        <v>-78.400000000000006</v>
      </c>
      <c r="Y127" s="2"/>
      <c r="Z127" s="21">
        <f t="shared" si="12"/>
        <v>0</v>
      </c>
    </row>
    <row r="128" spans="1:26" s="24" customFormat="1" hidden="1" outlineLevel="1" x14ac:dyDescent="0.25">
      <c r="A128" s="46"/>
      <c r="B128" s="11" t="str">
        <f>CONCATENATE("          ", "5004", " - ", "PURCHASES @ COST-DIGITAL TEXT")</f>
        <v xml:space="preserve">          5004 - PURCHASES @ COST-DIGITAL TEXT</v>
      </c>
      <c r="C128" s="11"/>
      <c r="D128" s="2">
        <v>169007.92</v>
      </c>
      <c r="E128" s="2"/>
      <c r="F128" s="21">
        <f t="shared" si="5"/>
        <v>4.0065452502492424E-2</v>
      </c>
      <c r="G128" s="2"/>
      <c r="H128" s="2"/>
      <c r="I128" s="2"/>
      <c r="J128" s="21">
        <f t="shared" si="6"/>
        <v>0</v>
      </c>
      <c r="K128" s="2"/>
      <c r="L128" s="2">
        <f t="shared" si="7"/>
        <v>169007.92</v>
      </c>
      <c r="M128" s="2"/>
      <c r="N128" s="21">
        <f t="shared" si="8"/>
        <v>0</v>
      </c>
      <c r="O128" s="11"/>
      <c r="P128" s="2">
        <v>302966.49000000005</v>
      </c>
      <c r="Q128" s="2"/>
      <c r="R128" s="21">
        <f t="shared" si="9"/>
        <v>5.2917998197141165E-2</v>
      </c>
      <c r="S128" s="2"/>
      <c r="T128" s="2"/>
      <c r="U128" s="2"/>
      <c r="V128" s="21">
        <f t="shared" si="10"/>
        <v>0</v>
      </c>
      <c r="W128" s="2"/>
      <c r="X128" s="2">
        <f t="shared" si="11"/>
        <v>302966.49000000005</v>
      </c>
      <c r="Y128" s="2"/>
      <c r="Z128" s="21">
        <f t="shared" si="12"/>
        <v>0</v>
      </c>
    </row>
    <row r="129" spans="1:26" s="24" customFormat="1" hidden="1" outlineLevel="1" x14ac:dyDescent="0.25">
      <c r="A129" s="46"/>
      <c r="B129" s="11" t="str">
        <f>CONCATENATE("          ", "5011", " - ", "PURCHASES @ COST-NO VALUE TEXT")</f>
        <v xml:space="preserve">          5011 - PURCHASES @ COST-NO VALUE TEXT</v>
      </c>
      <c r="C129" s="11"/>
      <c r="D129" s="2">
        <v>369</v>
      </c>
      <c r="E129" s="2"/>
      <c r="F129" s="21">
        <f t="shared" si="5"/>
        <v>8.7476089720645668E-5</v>
      </c>
      <c r="G129" s="2"/>
      <c r="H129" s="2"/>
      <c r="I129" s="2"/>
      <c r="J129" s="21">
        <f t="shared" si="6"/>
        <v>0</v>
      </c>
      <c r="K129" s="2"/>
      <c r="L129" s="2">
        <f t="shared" si="7"/>
        <v>369</v>
      </c>
      <c r="M129" s="2"/>
      <c r="N129" s="21">
        <f t="shared" si="8"/>
        <v>0</v>
      </c>
      <c r="O129" s="11"/>
      <c r="P129" s="2">
        <v>657</v>
      </c>
      <c r="Q129" s="2"/>
      <c r="R129" s="21">
        <f t="shared" si="9"/>
        <v>1.147556774860538E-4</v>
      </c>
      <c r="S129" s="2"/>
      <c r="T129" s="2"/>
      <c r="U129" s="2"/>
      <c r="V129" s="21">
        <f t="shared" si="10"/>
        <v>0</v>
      </c>
      <c r="W129" s="2"/>
      <c r="X129" s="2">
        <f t="shared" si="11"/>
        <v>657</v>
      </c>
      <c r="Y129" s="2"/>
      <c r="Z129" s="21">
        <f t="shared" si="12"/>
        <v>0</v>
      </c>
    </row>
    <row r="130" spans="1:26" s="24" customFormat="1" hidden="1" outlineLevel="1" x14ac:dyDescent="0.25">
      <c r="A130" s="46"/>
      <c r="B130" s="11" t="str">
        <f>CONCATENATE("          ", "5013", " - ", "PURCHASES @ COST-TRADE BOOKS")</f>
        <v xml:space="preserve">          5013 - PURCHASES @ COST-TRADE BOOKS</v>
      </c>
      <c r="C130" s="11"/>
      <c r="D130" s="2"/>
      <c r="E130" s="2"/>
      <c r="F130" s="21">
        <f t="shared" si="5"/>
        <v>0</v>
      </c>
      <c r="G130" s="2"/>
      <c r="H130" s="2"/>
      <c r="I130" s="2"/>
      <c r="J130" s="21">
        <f t="shared" si="6"/>
        <v>0</v>
      </c>
      <c r="K130" s="2"/>
      <c r="L130" s="2">
        <f t="shared" si="7"/>
        <v>0</v>
      </c>
      <c r="M130" s="2"/>
      <c r="N130" s="21">
        <f t="shared" si="8"/>
        <v>0</v>
      </c>
      <c r="O130" s="11"/>
      <c r="P130" s="2">
        <v>204.9</v>
      </c>
      <c r="Q130" s="2"/>
      <c r="R130" s="21">
        <f t="shared" si="9"/>
        <v>3.5789099416883443E-5</v>
      </c>
      <c r="S130" s="2"/>
      <c r="T130" s="2"/>
      <c r="U130" s="2"/>
      <c r="V130" s="21">
        <f t="shared" si="10"/>
        <v>0</v>
      </c>
      <c r="W130" s="2"/>
      <c r="X130" s="2">
        <f t="shared" si="11"/>
        <v>204.9</v>
      </c>
      <c r="Y130" s="2"/>
      <c r="Z130" s="21">
        <f t="shared" si="12"/>
        <v>0</v>
      </c>
    </row>
    <row r="131" spans="1:26" s="24" customFormat="1" hidden="1" outlineLevel="1" x14ac:dyDescent="0.25">
      <c r="A131" s="46"/>
      <c r="B131" s="11" t="str">
        <f>CONCATENATE("          ", "5014", " - ", "PURCHASES @ COST-REMAINDERS")</f>
        <v xml:space="preserve">          5014 - PURCHASES @ COST-REMAINDERS</v>
      </c>
      <c r="C131" s="11"/>
      <c r="D131" s="2">
        <v>133.84</v>
      </c>
      <c r="E131" s="2"/>
      <c r="F131" s="21">
        <f t="shared" si="5"/>
        <v>3.1728454873201129E-5</v>
      </c>
      <c r="G131" s="2"/>
      <c r="H131" s="2"/>
      <c r="I131" s="2"/>
      <c r="J131" s="21">
        <f t="shared" si="6"/>
        <v>0</v>
      </c>
      <c r="K131" s="2"/>
      <c r="L131" s="2">
        <f t="shared" si="7"/>
        <v>133.84</v>
      </c>
      <c r="M131" s="2"/>
      <c r="N131" s="21">
        <f t="shared" si="8"/>
        <v>0</v>
      </c>
      <c r="O131" s="11"/>
      <c r="P131" s="2">
        <v>234.32</v>
      </c>
      <c r="Q131" s="2"/>
      <c r="R131" s="21">
        <f t="shared" si="9"/>
        <v>4.0927778308268071E-5</v>
      </c>
      <c r="S131" s="2"/>
      <c r="T131" s="2"/>
      <c r="U131" s="2"/>
      <c r="V131" s="21">
        <f t="shared" si="10"/>
        <v>0</v>
      </c>
      <c r="W131" s="2"/>
      <c r="X131" s="2">
        <f t="shared" si="11"/>
        <v>234.32</v>
      </c>
      <c r="Y131" s="2"/>
      <c r="Z131" s="21">
        <f t="shared" si="12"/>
        <v>0</v>
      </c>
    </row>
    <row r="132" spans="1:26" s="24" customFormat="1" hidden="1" outlineLevel="1" x14ac:dyDescent="0.25">
      <c r="A132" s="46"/>
      <c r="B132" s="11" t="str">
        <f>CONCATENATE("          ", "5017", " - ", "PURCHASES @ COST-DORM/HOUSEWAR")</f>
        <v xml:space="preserve">          5017 - PURCHASES @ COST-DORM/HOUSEWAR</v>
      </c>
      <c r="C132" s="11"/>
      <c r="D132" s="2">
        <v>139.86000000000001</v>
      </c>
      <c r="E132" s="2"/>
      <c r="F132" s="21">
        <f t="shared" si="5"/>
        <v>3.3155571567288626E-5</v>
      </c>
      <c r="G132" s="2"/>
      <c r="H132" s="2"/>
      <c r="I132" s="2"/>
      <c r="J132" s="21">
        <f t="shared" si="6"/>
        <v>0</v>
      </c>
      <c r="K132" s="2"/>
      <c r="L132" s="2">
        <f t="shared" si="7"/>
        <v>139.86000000000001</v>
      </c>
      <c r="M132" s="2"/>
      <c r="N132" s="21">
        <f t="shared" si="8"/>
        <v>0</v>
      </c>
      <c r="O132" s="11"/>
      <c r="P132" s="2">
        <v>139.86000000000001</v>
      </c>
      <c r="Q132" s="2"/>
      <c r="R132" s="21">
        <f t="shared" si="9"/>
        <v>2.4428811344291452E-5</v>
      </c>
      <c r="S132" s="2"/>
      <c r="T132" s="2"/>
      <c r="U132" s="2"/>
      <c r="V132" s="21">
        <f t="shared" si="10"/>
        <v>0</v>
      </c>
      <c r="W132" s="2"/>
      <c r="X132" s="2">
        <f t="shared" si="11"/>
        <v>139.86000000000001</v>
      </c>
      <c r="Y132" s="2"/>
      <c r="Z132" s="21">
        <f t="shared" si="12"/>
        <v>0</v>
      </c>
    </row>
    <row r="133" spans="1:26" s="24" customFormat="1" hidden="1" outlineLevel="1" x14ac:dyDescent="0.25">
      <c r="A133" s="46"/>
      <c r="B133" s="11" t="str">
        <f>CONCATENATE("          ", "5018", " - ", "PURCHASES @ COST-STUDY GUIDES")</f>
        <v xml:space="preserve">          5018 - PURCHASES @ COST-STUDY GUIDES</v>
      </c>
      <c r="C133" s="11"/>
      <c r="D133" s="2"/>
      <c r="E133" s="2"/>
      <c r="F133" s="21">
        <f t="shared" si="5"/>
        <v>0</v>
      </c>
      <c r="G133" s="2"/>
      <c r="H133" s="2"/>
      <c r="I133" s="2"/>
      <c r="J133" s="21">
        <f t="shared" si="6"/>
        <v>0</v>
      </c>
      <c r="K133" s="2"/>
      <c r="L133" s="2">
        <f t="shared" si="7"/>
        <v>0</v>
      </c>
      <c r="M133" s="2"/>
      <c r="N133" s="21">
        <f t="shared" si="8"/>
        <v>0</v>
      </c>
      <c r="O133" s="11"/>
      <c r="P133" s="2">
        <v>503.93</v>
      </c>
      <c r="Q133" s="2"/>
      <c r="R133" s="21">
        <f t="shared" si="9"/>
        <v>8.8019525959736822E-5</v>
      </c>
      <c r="S133" s="2"/>
      <c r="T133" s="2"/>
      <c r="U133" s="2"/>
      <c r="V133" s="21">
        <f t="shared" si="10"/>
        <v>0</v>
      </c>
      <c r="W133" s="2"/>
      <c r="X133" s="2">
        <f t="shared" si="11"/>
        <v>503.93</v>
      </c>
      <c r="Y133" s="2"/>
      <c r="Z133" s="21">
        <f t="shared" si="12"/>
        <v>0</v>
      </c>
    </row>
    <row r="134" spans="1:26" s="24" customFormat="1" hidden="1" outlineLevel="1" x14ac:dyDescent="0.25">
      <c r="A134" s="46"/>
      <c r="B134" s="11" t="str">
        <f>CONCATENATE("          ", "5025", " - ", "PURCHASES @ COST-TEST FORMS")</f>
        <v xml:space="preserve">          5025 - PURCHASES @ COST-TEST FORMS</v>
      </c>
      <c r="C134" s="11"/>
      <c r="D134" s="2">
        <v>878.02</v>
      </c>
      <c r="E134" s="2"/>
      <c r="F134" s="21">
        <f t="shared" si="5"/>
        <v>2.0814568102038293E-4</v>
      </c>
      <c r="G134" s="2"/>
      <c r="H134" s="2"/>
      <c r="I134" s="2"/>
      <c r="J134" s="21">
        <f t="shared" si="6"/>
        <v>0</v>
      </c>
      <c r="K134" s="2"/>
      <c r="L134" s="2">
        <f t="shared" si="7"/>
        <v>878.02</v>
      </c>
      <c r="M134" s="2"/>
      <c r="N134" s="21">
        <f t="shared" si="8"/>
        <v>0</v>
      </c>
      <c r="O134" s="11"/>
      <c r="P134" s="2">
        <v>1757.14</v>
      </c>
      <c r="Q134" s="2"/>
      <c r="R134" s="21">
        <f t="shared" si="9"/>
        <v>3.069129241063083E-4</v>
      </c>
      <c r="S134" s="2"/>
      <c r="T134" s="2"/>
      <c r="U134" s="2"/>
      <c r="V134" s="21">
        <f t="shared" si="10"/>
        <v>0</v>
      </c>
      <c r="W134" s="2"/>
      <c r="X134" s="2">
        <f t="shared" si="11"/>
        <v>1757.14</v>
      </c>
      <c r="Y134" s="2"/>
      <c r="Z134" s="21">
        <f t="shared" si="12"/>
        <v>0</v>
      </c>
    </row>
    <row r="135" spans="1:26" s="24" customFormat="1" hidden="1" outlineLevel="1" x14ac:dyDescent="0.25">
      <c r="A135" s="46"/>
      <c r="B135" s="11" t="str">
        <f>CONCATENATE("          ", "5026", " - ", "PURCHASES @ COST-WRITING INSTR")</f>
        <v xml:space="preserve">          5026 - PURCHASES @ COST-WRITING INSTR</v>
      </c>
      <c r="C135" s="11"/>
      <c r="D135" s="2">
        <v>2205.4899999999998</v>
      </c>
      <c r="E135" s="2"/>
      <c r="F135" s="21">
        <f t="shared" si="5"/>
        <v>5.228391358211024E-4</v>
      </c>
      <c r="G135" s="2"/>
      <c r="H135" s="2"/>
      <c r="I135" s="2"/>
      <c r="J135" s="21">
        <f t="shared" si="6"/>
        <v>0</v>
      </c>
      <c r="K135" s="2"/>
      <c r="L135" s="2">
        <f t="shared" si="7"/>
        <v>2205.4899999999998</v>
      </c>
      <c r="M135" s="2"/>
      <c r="N135" s="21">
        <f t="shared" si="8"/>
        <v>0</v>
      </c>
      <c r="O135" s="11"/>
      <c r="P135" s="2">
        <v>12536.53</v>
      </c>
      <c r="Q135" s="2"/>
      <c r="R135" s="21">
        <f t="shared" si="9"/>
        <v>2.1897077526244111E-3</v>
      </c>
      <c r="S135" s="2"/>
      <c r="T135" s="2"/>
      <c r="U135" s="2"/>
      <c r="V135" s="21">
        <f t="shared" si="10"/>
        <v>0</v>
      </c>
      <c r="W135" s="2"/>
      <c r="X135" s="2">
        <f t="shared" si="11"/>
        <v>12536.53</v>
      </c>
      <c r="Y135" s="2"/>
      <c r="Z135" s="21">
        <f t="shared" si="12"/>
        <v>0</v>
      </c>
    </row>
    <row r="136" spans="1:26" s="24" customFormat="1" hidden="1" outlineLevel="1" x14ac:dyDescent="0.25">
      <c r="A136" s="46"/>
      <c r="B136" s="11" t="str">
        <f>CONCATENATE("          ", "5027", " - ", "PURCHASES @ COST-SCHOOL SUPPLI")</f>
        <v xml:space="preserve">          5027 - PURCHASES @ COST-SCHOOL SUPPLI</v>
      </c>
      <c r="C136" s="11"/>
      <c r="D136" s="2">
        <v>-588.74</v>
      </c>
      <c r="E136" s="2"/>
      <c r="F136" s="21">
        <f t="shared" si="5"/>
        <v>-1.3956821968057705E-4</v>
      </c>
      <c r="G136" s="2"/>
      <c r="H136" s="2"/>
      <c r="I136" s="2"/>
      <c r="J136" s="21">
        <f t="shared" si="6"/>
        <v>0</v>
      </c>
      <c r="K136" s="2"/>
      <c r="L136" s="2">
        <f t="shared" si="7"/>
        <v>-588.74</v>
      </c>
      <c r="M136" s="2"/>
      <c r="N136" s="21">
        <f t="shared" si="8"/>
        <v>0</v>
      </c>
      <c r="O136" s="11"/>
      <c r="P136" s="2">
        <v>49526.729999999996</v>
      </c>
      <c r="Q136" s="2"/>
      <c r="R136" s="21">
        <f t="shared" si="9"/>
        <v>8.6506445278825943E-3</v>
      </c>
      <c r="S136" s="2"/>
      <c r="T136" s="2"/>
      <c r="U136" s="2"/>
      <c r="V136" s="21">
        <f t="shared" si="10"/>
        <v>0</v>
      </c>
      <c r="W136" s="2"/>
      <c r="X136" s="2">
        <f t="shared" si="11"/>
        <v>49526.729999999996</v>
      </c>
      <c r="Y136" s="2"/>
      <c r="Z136" s="21">
        <f t="shared" si="12"/>
        <v>0</v>
      </c>
    </row>
    <row r="137" spans="1:26" s="24" customFormat="1" hidden="1" outlineLevel="1" x14ac:dyDescent="0.25">
      <c r="A137" s="46"/>
      <c r="B137" s="11" t="str">
        <f>CONCATENATE("          ", "5028", " - ", "PURCHASES @ COST-ART/TECH")</f>
        <v xml:space="preserve">          5028 - PURCHASES @ COST-ART/TECH</v>
      </c>
      <c r="C137" s="11"/>
      <c r="D137" s="2">
        <v>27987.119999999999</v>
      </c>
      <c r="E137" s="2"/>
      <c r="F137" s="21">
        <f t="shared" si="5"/>
        <v>6.6346986995731074E-3</v>
      </c>
      <c r="G137" s="2"/>
      <c r="H137" s="2"/>
      <c r="I137" s="2"/>
      <c r="J137" s="21">
        <f t="shared" si="6"/>
        <v>0</v>
      </c>
      <c r="K137" s="2"/>
      <c r="L137" s="2">
        <f t="shared" si="7"/>
        <v>27987.119999999999</v>
      </c>
      <c r="M137" s="2"/>
      <c r="N137" s="21">
        <f t="shared" si="8"/>
        <v>0</v>
      </c>
      <c r="O137" s="11"/>
      <c r="P137" s="2">
        <v>56014.77</v>
      </c>
      <c r="Q137" s="2"/>
      <c r="R137" s="21">
        <f t="shared" si="9"/>
        <v>9.7838856629763795E-3</v>
      </c>
      <c r="S137" s="2"/>
      <c r="T137" s="2"/>
      <c r="U137" s="2"/>
      <c r="V137" s="21">
        <f t="shared" si="10"/>
        <v>0</v>
      </c>
      <c r="W137" s="2"/>
      <c r="X137" s="2">
        <f t="shared" si="11"/>
        <v>56014.77</v>
      </c>
      <c r="Y137" s="2"/>
      <c r="Z137" s="21">
        <f t="shared" si="12"/>
        <v>0</v>
      </c>
    </row>
    <row r="138" spans="1:26" s="24" customFormat="1" hidden="1" outlineLevel="1" x14ac:dyDescent="0.25">
      <c r="A138" s="46"/>
      <c r="B138" s="11" t="str">
        <f>CONCATENATE("          ", "5031", " - ", "PURCHASES @ COST-FOOD")</f>
        <v xml:space="preserve">          5031 - PURCHASES @ COST-FOOD</v>
      </c>
      <c r="C138" s="11"/>
      <c r="D138" s="2">
        <v>2679.04</v>
      </c>
      <c r="E138" s="2"/>
      <c r="F138" s="21">
        <f t="shared" si="5"/>
        <v>6.3510011762926439E-4</v>
      </c>
      <c r="G138" s="2"/>
      <c r="H138" s="2"/>
      <c r="I138" s="2"/>
      <c r="J138" s="21">
        <f t="shared" si="6"/>
        <v>0</v>
      </c>
      <c r="K138" s="2"/>
      <c r="L138" s="2">
        <f t="shared" si="7"/>
        <v>2679.04</v>
      </c>
      <c r="M138" s="2"/>
      <c r="N138" s="21">
        <f t="shared" si="8"/>
        <v>0</v>
      </c>
      <c r="O138" s="11"/>
      <c r="P138" s="2">
        <v>2679.04</v>
      </c>
      <c r="Q138" s="2"/>
      <c r="R138" s="21">
        <f t="shared" si="9"/>
        <v>4.6793767155591713E-4</v>
      </c>
      <c r="S138" s="2"/>
      <c r="T138" s="2"/>
      <c r="U138" s="2"/>
      <c r="V138" s="21">
        <f t="shared" si="10"/>
        <v>0</v>
      </c>
      <c r="W138" s="2"/>
      <c r="X138" s="2">
        <f t="shared" si="11"/>
        <v>2679.04</v>
      </c>
      <c r="Y138" s="2"/>
      <c r="Z138" s="21">
        <f t="shared" si="12"/>
        <v>0</v>
      </c>
    </row>
    <row r="139" spans="1:26" s="24" customFormat="1" hidden="1" outlineLevel="1" x14ac:dyDescent="0.25">
      <c r="A139" s="46"/>
      <c r="B139" s="11" t="str">
        <f>CONCATENATE("          ", "5032", " - ", "PURCHASES @ COST-JUICE")</f>
        <v xml:space="preserve">          5032 - PURCHASES @ COST-JUICE</v>
      </c>
      <c r="C139" s="11"/>
      <c r="D139" s="2">
        <v>227.18</v>
      </c>
      <c r="E139" s="2"/>
      <c r="F139" s="21">
        <f t="shared" si="5"/>
        <v>5.3855875508770413E-5</v>
      </c>
      <c r="G139" s="2"/>
      <c r="H139" s="2"/>
      <c r="I139" s="2"/>
      <c r="J139" s="21">
        <f t="shared" si="6"/>
        <v>0</v>
      </c>
      <c r="K139" s="2"/>
      <c r="L139" s="2">
        <f t="shared" si="7"/>
        <v>227.18</v>
      </c>
      <c r="M139" s="2"/>
      <c r="N139" s="21">
        <f t="shared" si="8"/>
        <v>0</v>
      </c>
      <c r="O139" s="11"/>
      <c r="P139" s="2">
        <v>341.6</v>
      </c>
      <c r="Q139" s="2"/>
      <c r="R139" s="21">
        <f t="shared" si="9"/>
        <v>5.9665965645716863E-5</v>
      </c>
      <c r="S139" s="2"/>
      <c r="T139" s="2"/>
      <c r="U139" s="2"/>
      <c r="V139" s="21">
        <f t="shared" si="10"/>
        <v>0</v>
      </c>
      <c r="W139" s="2"/>
      <c r="X139" s="2">
        <f t="shared" si="11"/>
        <v>341.6</v>
      </c>
      <c r="Y139" s="2"/>
      <c r="Z139" s="21">
        <f t="shared" si="12"/>
        <v>0</v>
      </c>
    </row>
    <row r="140" spans="1:26" s="24" customFormat="1" hidden="1" outlineLevel="1" x14ac:dyDescent="0.25">
      <c r="A140" s="46"/>
      <c r="B140" s="11" t="str">
        <f>CONCATENATE("          ", "5033", " - ", "PURCHASES @ COST-CANDY")</f>
        <v xml:space="preserve">          5033 - PURCHASES @ COST-CANDY</v>
      </c>
      <c r="C140" s="11"/>
      <c r="D140" s="2">
        <v>986.46</v>
      </c>
      <c r="E140" s="2"/>
      <c r="F140" s="21">
        <f t="shared" si="5"/>
        <v>2.3385274651985941E-4</v>
      </c>
      <c r="G140" s="2"/>
      <c r="H140" s="2"/>
      <c r="I140" s="2"/>
      <c r="J140" s="21">
        <f t="shared" si="6"/>
        <v>0</v>
      </c>
      <c r="K140" s="2"/>
      <c r="L140" s="2">
        <f t="shared" si="7"/>
        <v>986.46</v>
      </c>
      <c r="M140" s="2"/>
      <c r="N140" s="21">
        <f t="shared" si="8"/>
        <v>0</v>
      </c>
      <c r="O140" s="11"/>
      <c r="P140" s="2">
        <v>986.46</v>
      </c>
      <c r="Q140" s="2"/>
      <c r="R140" s="21">
        <f t="shared" si="9"/>
        <v>1.7230119575782743E-4</v>
      </c>
      <c r="S140" s="2"/>
      <c r="T140" s="2"/>
      <c r="U140" s="2"/>
      <c r="V140" s="21">
        <f t="shared" si="10"/>
        <v>0</v>
      </c>
      <c r="W140" s="2"/>
      <c r="X140" s="2">
        <f t="shared" si="11"/>
        <v>986.46</v>
      </c>
      <c r="Y140" s="2"/>
      <c r="Z140" s="21">
        <f t="shared" si="12"/>
        <v>0</v>
      </c>
    </row>
    <row r="141" spans="1:26" s="24" customFormat="1" hidden="1" outlineLevel="1" x14ac:dyDescent="0.25">
      <c r="A141" s="46"/>
      <c r="B141" s="11" t="str">
        <f>CONCATENATE("          ", "5034", " - ", "PURCHASES @ COST-SODA")</f>
        <v xml:space="preserve">          5034 - PURCHASES @ COST-SODA</v>
      </c>
      <c r="C141" s="11"/>
      <c r="D141" s="2">
        <v>350.04</v>
      </c>
      <c r="E141" s="2"/>
      <c r="F141" s="21">
        <f t="shared" si="5"/>
        <v>8.298138332199136E-5</v>
      </c>
      <c r="G141" s="2"/>
      <c r="H141" s="2"/>
      <c r="I141" s="2"/>
      <c r="J141" s="21">
        <f t="shared" si="6"/>
        <v>0</v>
      </c>
      <c r="K141" s="2"/>
      <c r="L141" s="2">
        <f t="shared" si="7"/>
        <v>350.04</v>
      </c>
      <c r="M141" s="2"/>
      <c r="N141" s="21">
        <f t="shared" si="8"/>
        <v>0</v>
      </c>
      <c r="O141" s="11"/>
      <c r="P141" s="2">
        <v>288.5</v>
      </c>
      <c r="Q141" s="2"/>
      <c r="R141" s="21">
        <f t="shared" si="9"/>
        <v>5.0391191711912512E-5</v>
      </c>
      <c r="S141" s="2"/>
      <c r="T141" s="2"/>
      <c r="U141" s="2"/>
      <c r="V141" s="21">
        <f t="shared" si="10"/>
        <v>0</v>
      </c>
      <c r="W141" s="2"/>
      <c r="X141" s="2">
        <f t="shared" si="11"/>
        <v>288.5</v>
      </c>
      <c r="Y141" s="2"/>
      <c r="Z141" s="21">
        <f t="shared" si="12"/>
        <v>0</v>
      </c>
    </row>
    <row r="142" spans="1:26" s="24" customFormat="1" hidden="1" outlineLevel="1" x14ac:dyDescent="0.25">
      <c r="A142" s="46"/>
      <c r="B142" s="11" t="str">
        <f>CONCATENATE("          ", "5035", " - ", "PURCHASES @ COST-HEALTH &amp; BEAU")</f>
        <v xml:space="preserve">          5035 - PURCHASES @ COST-HEALTH &amp; BEAU</v>
      </c>
      <c r="C142" s="11"/>
      <c r="D142" s="2">
        <v>76.73</v>
      </c>
      <c r="E142" s="2"/>
      <c r="F142" s="21">
        <f t="shared" si="5"/>
        <v>1.8189811285271386E-5</v>
      </c>
      <c r="G142" s="2"/>
      <c r="H142" s="2"/>
      <c r="I142" s="2"/>
      <c r="J142" s="21">
        <f t="shared" si="6"/>
        <v>0</v>
      </c>
      <c r="K142" s="2"/>
      <c r="L142" s="2">
        <f t="shared" si="7"/>
        <v>76.73</v>
      </c>
      <c r="M142" s="2"/>
      <c r="N142" s="21">
        <f t="shared" si="8"/>
        <v>0</v>
      </c>
      <c r="O142" s="11"/>
      <c r="P142" s="2">
        <v>76.73</v>
      </c>
      <c r="Q142" s="2"/>
      <c r="R142" s="21">
        <f t="shared" si="9"/>
        <v>1.3402135667435172E-5</v>
      </c>
      <c r="S142" s="2"/>
      <c r="T142" s="2"/>
      <c r="U142" s="2"/>
      <c r="V142" s="21">
        <f t="shared" si="10"/>
        <v>0</v>
      </c>
      <c r="W142" s="2"/>
      <c r="X142" s="2">
        <f t="shared" si="11"/>
        <v>76.73</v>
      </c>
      <c r="Y142" s="2"/>
      <c r="Z142" s="21">
        <f t="shared" si="12"/>
        <v>0</v>
      </c>
    </row>
    <row r="143" spans="1:26" s="24" customFormat="1" hidden="1" outlineLevel="1" x14ac:dyDescent="0.25">
      <c r="A143" s="46"/>
      <c r="B143" s="11" t="str">
        <f>CONCATENATE("          ", "5037", " - ", "PURCHASES @ COST-WATER")</f>
        <v xml:space="preserve">          5037 - PURCHASES @ COST-WATER</v>
      </c>
      <c r="C143" s="11"/>
      <c r="D143" s="2">
        <v>462.36</v>
      </c>
      <c r="E143" s="2"/>
      <c r="F143" s="21">
        <f t="shared" si="5"/>
        <v>1.0960825160769033E-4</v>
      </c>
      <c r="G143" s="2"/>
      <c r="H143" s="2"/>
      <c r="I143" s="2"/>
      <c r="J143" s="21">
        <f t="shared" si="6"/>
        <v>0</v>
      </c>
      <c r="K143" s="2"/>
      <c r="L143" s="2">
        <f t="shared" si="7"/>
        <v>462.36</v>
      </c>
      <c r="M143" s="2"/>
      <c r="N143" s="21">
        <f t="shared" si="8"/>
        <v>0</v>
      </c>
      <c r="O143" s="11"/>
      <c r="P143" s="2">
        <v>495.94</v>
      </c>
      <c r="Q143" s="2"/>
      <c r="R143" s="21">
        <f t="shared" si="9"/>
        <v>8.6623943215271716E-5</v>
      </c>
      <c r="S143" s="2"/>
      <c r="T143" s="2"/>
      <c r="U143" s="2"/>
      <c r="V143" s="21">
        <f t="shared" si="10"/>
        <v>0</v>
      </c>
      <c r="W143" s="2"/>
      <c r="X143" s="2">
        <f t="shared" si="11"/>
        <v>495.94</v>
      </c>
      <c r="Y143" s="2"/>
      <c r="Z143" s="21">
        <f t="shared" si="12"/>
        <v>0</v>
      </c>
    </row>
    <row r="144" spans="1:26" s="24" customFormat="1" hidden="1" outlineLevel="1" x14ac:dyDescent="0.25">
      <c r="A144" s="46"/>
      <c r="B144" s="11" t="str">
        <f>CONCATENATE("          ", "5040", " - ", "PURCHASES @ COST-LOGO CLOTHING")</f>
        <v xml:space="preserve">          5040 - PURCHASES @ COST-LOGO CLOTHING</v>
      </c>
      <c r="C144" s="11"/>
      <c r="D144" s="2">
        <v>106647.4</v>
      </c>
      <c r="E144" s="2"/>
      <c r="F144" s="21">
        <f t="shared" si="5"/>
        <v>2.5282107129738714E-2</v>
      </c>
      <c r="G144" s="2"/>
      <c r="H144" s="2"/>
      <c r="I144" s="2"/>
      <c r="J144" s="21">
        <f t="shared" si="6"/>
        <v>0</v>
      </c>
      <c r="K144" s="2"/>
      <c r="L144" s="2">
        <f t="shared" si="7"/>
        <v>106647.4</v>
      </c>
      <c r="M144" s="2"/>
      <c r="N144" s="21">
        <f t="shared" si="8"/>
        <v>0</v>
      </c>
      <c r="O144" s="11"/>
      <c r="P144" s="2">
        <v>185568.97</v>
      </c>
      <c r="Q144" s="2"/>
      <c r="R144" s="21">
        <f t="shared" si="9"/>
        <v>3.2412622332936361E-2</v>
      </c>
      <c r="S144" s="2"/>
      <c r="T144" s="2"/>
      <c r="U144" s="2"/>
      <c r="V144" s="21">
        <f t="shared" si="10"/>
        <v>0</v>
      </c>
      <c r="W144" s="2"/>
      <c r="X144" s="2">
        <f t="shared" si="11"/>
        <v>185568.97</v>
      </c>
      <c r="Y144" s="2"/>
      <c r="Z144" s="21">
        <f t="shared" si="12"/>
        <v>0</v>
      </c>
    </row>
    <row r="145" spans="1:26" s="24" customFormat="1" hidden="1" outlineLevel="1" x14ac:dyDescent="0.25">
      <c r="A145" s="46"/>
      <c r="B145" s="11" t="str">
        <f>CONCATENATE("          ", "5041", " - ", "PURCHASES @ COST-LOGO GIFTS")</f>
        <v xml:space="preserve">          5041 - PURCHASES @ COST-LOGO GIFTS</v>
      </c>
      <c r="C145" s="11"/>
      <c r="D145" s="2">
        <v>16578.89</v>
      </c>
      <c r="E145" s="2"/>
      <c r="F145" s="21">
        <f t="shared" si="5"/>
        <v>3.9302343336279546E-3</v>
      </c>
      <c r="G145" s="2"/>
      <c r="H145" s="2"/>
      <c r="I145" s="2"/>
      <c r="J145" s="21">
        <f t="shared" si="6"/>
        <v>0</v>
      </c>
      <c r="K145" s="2"/>
      <c r="L145" s="2">
        <f t="shared" si="7"/>
        <v>16578.89</v>
      </c>
      <c r="M145" s="2"/>
      <c r="N145" s="21">
        <f t="shared" si="8"/>
        <v>0</v>
      </c>
      <c r="O145" s="11"/>
      <c r="P145" s="2">
        <v>28529.16</v>
      </c>
      <c r="Q145" s="2"/>
      <c r="R145" s="21">
        <f t="shared" si="9"/>
        <v>4.9830792753546823E-3</v>
      </c>
      <c r="S145" s="2"/>
      <c r="T145" s="2"/>
      <c r="U145" s="2"/>
      <c r="V145" s="21">
        <f t="shared" si="10"/>
        <v>0</v>
      </c>
      <c r="W145" s="2"/>
      <c r="X145" s="2">
        <f t="shared" si="11"/>
        <v>28529.16</v>
      </c>
      <c r="Y145" s="2"/>
      <c r="Z145" s="21">
        <f t="shared" si="12"/>
        <v>0</v>
      </c>
    </row>
    <row r="146" spans="1:26" s="24" customFormat="1" hidden="1" outlineLevel="1" x14ac:dyDescent="0.25">
      <c r="A146" s="46"/>
      <c r="B146" s="11" t="str">
        <f>CONCATENATE("          ", "5042", " - ", "PURCHASES @ COST-EVERYDAY GIFT")</f>
        <v xml:space="preserve">          5042 - PURCHASES @ COST-EVERYDAY GIFT</v>
      </c>
      <c r="C146" s="11"/>
      <c r="D146" s="2">
        <v>15979.86</v>
      </c>
      <c r="E146" s="2"/>
      <c r="F146" s="21">
        <f t="shared" si="5"/>
        <v>3.7882267400632975E-3</v>
      </c>
      <c r="G146" s="2"/>
      <c r="H146" s="2"/>
      <c r="I146" s="2"/>
      <c r="J146" s="21">
        <f t="shared" si="6"/>
        <v>0</v>
      </c>
      <c r="K146" s="2"/>
      <c r="L146" s="2">
        <f t="shared" si="7"/>
        <v>15979.86</v>
      </c>
      <c r="M146" s="2"/>
      <c r="N146" s="21">
        <f t="shared" si="8"/>
        <v>0</v>
      </c>
      <c r="O146" s="11"/>
      <c r="P146" s="2">
        <v>23732.22</v>
      </c>
      <c r="Q146" s="2"/>
      <c r="R146" s="21">
        <f t="shared" si="9"/>
        <v>4.145216110118837E-3</v>
      </c>
      <c r="S146" s="2"/>
      <c r="T146" s="2"/>
      <c r="U146" s="2"/>
      <c r="V146" s="21">
        <f t="shared" si="10"/>
        <v>0</v>
      </c>
      <c r="W146" s="2"/>
      <c r="X146" s="2">
        <f t="shared" si="11"/>
        <v>23732.22</v>
      </c>
      <c r="Y146" s="2"/>
      <c r="Z146" s="21">
        <f t="shared" si="12"/>
        <v>0</v>
      </c>
    </row>
    <row r="147" spans="1:26" s="24" customFormat="1" hidden="1" outlineLevel="1" x14ac:dyDescent="0.25">
      <c r="A147" s="46"/>
      <c r="B147" s="11" t="str">
        <f>CONCATENATE("          ", "5043", " - ", "PURCHASES @ COST-CARDS")</f>
        <v xml:space="preserve">          5043 - PURCHASES @ COST-CARDS</v>
      </c>
      <c r="C147" s="11"/>
      <c r="D147" s="2">
        <v>15.24</v>
      </c>
      <c r="E147" s="2"/>
      <c r="F147" s="21">
        <f t="shared" si="5"/>
        <v>3.6128336242347966E-6</v>
      </c>
      <c r="G147" s="2"/>
      <c r="H147" s="2"/>
      <c r="I147" s="2"/>
      <c r="J147" s="21">
        <f t="shared" si="6"/>
        <v>0</v>
      </c>
      <c r="K147" s="2"/>
      <c r="L147" s="2">
        <f t="shared" si="7"/>
        <v>15.24</v>
      </c>
      <c r="M147" s="2"/>
      <c r="N147" s="21">
        <f t="shared" si="8"/>
        <v>0</v>
      </c>
      <c r="O147" s="11"/>
      <c r="P147" s="2">
        <v>513.5</v>
      </c>
      <c r="Q147" s="2"/>
      <c r="R147" s="21">
        <f t="shared" si="9"/>
        <v>8.9691081261930933E-5</v>
      </c>
      <c r="S147" s="2"/>
      <c r="T147" s="2"/>
      <c r="U147" s="2"/>
      <c r="V147" s="21">
        <f t="shared" si="10"/>
        <v>0</v>
      </c>
      <c r="W147" s="2"/>
      <c r="X147" s="2">
        <f t="shared" si="11"/>
        <v>513.5</v>
      </c>
      <c r="Y147" s="2"/>
      <c r="Z147" s="21">
        <f t="shared" si="12"/>
        <v>0</v>
      </c>
    </row>
    <row r="148" spans="1:26" s="24" customFormat="1" hidden="1" outlineLevel="1" x14ac:dyDescent="0.25">
      <c r="A148" s="46"/>
      <c r="B148" s="11" t="str">
        <f>CONCATENATE("          ", "5044", " - ", "PURCHASES @ COST-ACCESSORIES")</f>
        <v xml:space="preserve">          5044 - PURCHASES @ COST-ACCESSORIES</v>
      </c>
      <c r="C148" s="11"/>
      <c r="D148" s="2">
        <v>13249.12</v>
      </c>
      <c r="E148" s="2"/>
      <c r="F148" s="21">
        <f t="shared" si="5"/>
        <v>3.1408704873701924E-3</v>
      </c>
      <c r="G148" s="2"/>
      <c r="H148" s="2"/>
      <c r="I148" s="2"/>
      <c r="J148" s="21">
        <f t="shared" si="6"/>
        <v>0</v>
      </c>
      <c r="K148" s="2"/>
      <c r="L148" s="2">
        <f t="shared" si="7"/>
        <v>13249.12</v>
      </c>
      <c r="M148" s="2"/>
      <c r="N148" s="21">
        <f t="shared" si="8"/>
        <v>0</v>
      </c>
      <c r="O148" s="11"/>
      <c r="P148" s="2">
        <v>18088.12</v>
      </c>
      <c r="Q148" s="2"/>
      <c r="R148" s="21">
        <f t="shared" si="9"/>
        <v>3.1593827474110186E-3</v>
      </c>
      <c r="S148" s="2"/>
      <c r="T148" s="2"/>
      <c r="U148" s="2"/>
      <c r="V148" s="21">
        <f t="shared" si="10"/>
        <v>0</v>
      </c>
      <c r="W148" s="2"/>
      <c r="X148" s="2">
        <f t="shared" si="11"/>
        <v>18088.12</v>
      </c>
      <c r="Y148" s="2"/>
      <c r="Z148" s="21">
        <f t="shared" si="12"/>
        <v>0</v>
      </c>
    </row>
    <row r="149" spans="1:26" s="24" customFormat="1" hidden="1" outlineLevel="1" x14ac:dyDescent="0.25">
      <c r="A149" s="46"/>
      <c r="B149" s="11" t="str">
        <f>CONCATENATE("          ", "5045", " - ", "PURCHASES @ COST-SPECIAL ORDER")</f>
        <v xml:space="preserve">          5045 - PURCHASES @ COST-SPECIAL ORDER</v>
      </c>
      <c r="C149" s="11"/>
      <c r="D149" s="2">
        <v>4152.78</v>
      </c>
      <c r="E149" s="2"/>
      <c r="F149" s="21">
        <f t="shared" si="5"/>
        <v>9.8446871509512966E-4</v>
      </c>
      <c r="G149" s="2"/>
      <c r="H149" s="2"/>
      <c r="I149" s="2"/>
      <c r="J149" s="21">
        <f t="shared" si="6"/>
        <v>0</v>
      </c>
      <c r="K149" s="2"/>
      <c r="L149" s="2">
        <f t="shared" si="7"/>
        <v>4152.78</v>
      </c>
      <c r="M149" s="2"/>
      <c r="N149" s="21">
        <f t="shared" si="8"/>
        <v>0</v>
      </c>
      <c r="O149" s="11"/>
      <c r="P149" s="2">
        <v>20145.63</v>
      </c>
      <c r="Q149" s="2"/>
      <c r="R149" s="21">
        <f t="shared" si="9"/>
        <v>3.5187601507357231E-3</v>
      </c>
      <c r="S149" s="2"/>
      <c r="T149" s="2"/>
      <c r="U149" s="2"/>
      <c r="V149" s="21">
        <f t="shared" si="10"/>
        <v>0</v>
      </c>
      <c r="W149" s="2"/>
      <c r="X149" s="2">
        <f t="shared" si="11"/>
        <v>20145.63</v>
      </c>
      <c r="Y149" s="2"/>
      <c r="Z149" s="21">
        <f t="shared" si="12"/>
        <v>0</v>
      </c>
    </row>
    <row r="150" spans="1:26" s="24" customFormat="1" hidden="1" outlineLevel="1" x14ac:dyDescent="0.25">
      <c r="A150" s="46"/>
      <c r="B150" s="11" t="str">
        <f>CONCATENATE("          ", "5053", " - ", "PURCHASES @ COST-FOOD")</f>
        <v xml:space="preserve">          5053 - PURCHASES @ COST-FOOD</v>
      </c>
      <c r="C150" s="11"/>
      <c r="D150" s="2">
        <v>392494.10000000003</v>
      </c>
      <c r="E150" s="2"/>
      <c r="F150" s="21">
        <f t="shared" si="5"/>
        <v>9.3045661535024596E-2</v>
      </c>
      <c r="G150" s="2"/>
      <c r="H150" s="2"/>
      <c r="I150" s="2"/>
      <c r="J150" s="21">
        <f t="shared" si="6"/>
        <v>0</v>
      </c>
      <c r="K150" s="2"/>
      <c r="L150" s="2">
        <f t="shared" si="7"/>
        <v>392494.10000000003</v>
      </c>
      <c r="M150" s="2"/>
      <c r="N150" s="21">
        <f t="shared" si="8"/>
        <v>0</v>
      </c>
      <c r="O150" s="11"/>
      <c r="P150" s="2">
        <v>666124.87</v>
      </c>
      <c r="Q150" s="2"/>
      <c r="R150" s="21">
        <f t="shared" si="9"/>
        <v>0.11634948363342391</v>
      </c>
      <c r="S150" s="2"/>
      <c r="T150" s="2"/>
      <c r="U150" s="2"/>
      <c r="V150" s="21">
        <f t="shared" si="10"/>
        <v>0</v>
      </c>
      <c r="W150" s="2"/>
      <c r="X150" s="2">
        <f t="shared" si="11"/>
        <v>666124.87</v>
      </c>
      <c r="Y150" s="2"/>
      <c r="Z150" s="21">
        <f t="shared" si="12"/>
        <v>0</v>
      </c>
    </row>
    <row r="151" spans="1:26" s="24" customFormat="1" hidden="1" outlineLevel="1" x14ac:dyDescent="0.25">
      <c r="A151" s="46"/>
      <c r="B151" s="11" t="str">
        <f>CONCATENATE("          ", "5059", " - ", "PURCHASES @ COST-FOOD")</f>
        <v xml:space="preserve">          5059 - PURCHASES @ COST-FOOD</v>
      </c>
      <c r="C151" s="11"/>
      <c r="D151" s="2">
        <v>-75014.38</v>
      </c>
      <c r="E151" s="2"/>
      <c r="F151" s="21">
        <f t="shared" si="5"/>
        <v>-1.7783101992462351E-2</v>
      </c>
      <c r="G151" s="2"/>
      <c r="H151" s="2"/>
      <c r="I151" s="2"/>
      <c r="J151" s="21">
        <f t="shared" si="6"/>
        <v>0</v>
      </c>
      <c r="K151" s="2"/>
      <c r="L151" s="2">
        <f t="shared" si="7"/>
        <v>-75014.38</v>
      </c>
      <c r="M151" s="2"/>
      <c r="N151" s="21">
        <f t="shared" si="8"/>
        <v>0</v>
      </c>
      <c r="O151" s="11"/>
      <c r="P151" s="2">
        <v>-95350.13</v>
      </c>
      <c r="Q151" s="2"/>
      <c r="R151" s="21">
        <f t="shared" si="9"/>
        <v>-1.6654442567021768E-2</v>
      </c>
      <c r="S151" s="2"/>
      <c r="T151" s="2"/>
      <c r="U151" s="2"/>
      <c r="V151" s="21">
        <f t="shared" si="10"/>
        <v>0</v>
      </c>
      <c r="W151" s="2"/>
      <c r="X151" s="2">
        <f t="shared" si="11"/>
        <v>-95350.13</v>
      </c>
      <c r="Y151" s="2"/>
      <c r="Z151" s="21">
        <f t="shared" si="12"/>
        <v>0</v>
      </c>
    </row>
    <row r="152" spans="1:26" s="24" customFormat="1" hidden="1" outlineLevel="1" x14ac:dyDescent="0.25">
      <c r="A152" s="46"/>
      <c r="B152" s="11" t="str">
        <f>CONCATENATE("          ", "5081", " - ", "PURCHASES @ COST-ELECTRONICS")</f>
        <v xml:space="preserve">          5081 - PURCHASES @ COST-ELECTRONICS</v>
      </c>
      <c r="C152" s="11"/>
      <c r="D152" s="2">
        <v>17704.489999999998</v>
      </c>
      <c r="E152" s="2"/>
      <c r="F152" s="21">
        <f t="shared" si="5"/>
        <v>4.1970719666619884E-3</v>
      </c>
      <c r="G152" s="2"/>
      <c r="H152" s="2"/>
      <c r="I152" s="2"/>
      <c r="J152" s="21">
        <f t="shared" si="6"/>
        <v>0</v>
      </c>
      <c r="K152" s="2"/>
      <c r="L152" s="2">
        <f t="shared" si="7"/>
        <v>17704.489999999998</v>
      </c>
      <c r="M152" s="2"/>
      <c r="N152" s="21">
        <f t="shared" si="8"/>
        <v>0</v>
      </c>
      <c r="O152" s="11"/>
      <c r="P152" s="2">
        <v>83762.840000000011</v>
      </c>
      <c r="Q152" s="2"/>
      <c r="R152" s="21">
        <f t="shared" si="9"/>
        <v>1.4630534935092735E-2</v>
      </c>
      <c r="S152" s="2"/>
      <c r="T152" s="2"/>
      <c r="U152" s="2"/>
      <c r="V152" s="21">
        <f t="shared" si="10"/>
        <v>0</v>
      </c>
      <c r="W152" s="2"/>
      <c r="X152" s="2">
        <f t="shared" si="11"/>
        <v>83762.840000000011</v>
      </c>
      <c r="Y152" s="2"/>
      <c r="Z152" s="21">
        <f t="shared" si="12"/>
        <v>0</v>
      </c>
    </row>
    <row r="153" spans="1:26" s="24" customFormat="1" hidden="1" outlineLevel="1" x14ac:dyDescent="0.25">
      <c r="A153" s="46"/>
      <c r="B153" s="11" t="str">
        <f>CONCATENATE("          ", "5082", " - ", "PURCHASES @ COST-COMPUTER HARD")</f>
        <v xml:space="preserve">          5082 - PURCHASES @ COST-COMPUTER HARD</v>
      </c>
      <c r="C153" s="11"/>
      <c r="D153" s="2">
        <v>317193.52999999997</v>
      </c>
      <c r="E153" s="2"/>
      <c r="F153" s="21">
        <f t="shared" si="5"/>
        <v>7.5194714604575358E-2</v>
      </c>
      <c r="G153" s="2"/>
      <c r="H153" s="2"/>
      <c r="I153" s="2"/>
      <c r="J153" s="21">
        <f t="shared" si="6"/>
        <v>0</v>
      </c>
      <c r="K153" s="2"/>
      <c r="L153" s="2">
        <f t="shared" si="7"/>
        <v>317193.52999999997</v>
      </c>
      <c r="M153" s="2"/>
      <c r="N153" s="21">
        <f t="shared" si="8"/>
        <v>0</v>
      </c>
      <c r="O153" s="11"/>
      <c r="P153" s="2">
        <v>673753.5</v>
      </c>
      <c r="Q153" s="2"/>
      <c r="R153" s="21">
        <f t="shared" si="9"/>
        <v>0.11768194726194817</v>
      </c>
      <c r="S153" s="2"/>
      <c r="T153" s="2"/>
      <c r="U153" s="2"/>
      <c r="V153" s="21">
        <f t="shared" si="10"/>
        <v>0</v>
      </c>
      <c r="W153" s="2"/>
      <c r="X153" s="2">
        <f t="shared" si="11"/>
        <v>673753.5</v>
      </c>
      <c r="Y153" s="2"/>
      <c r="Z153" s="21">
        <f t="shared" si="12"/>
        <v>0</v>
      </c>
    </row>
    <row r="154" spans="1:26" s="24" customFormat="1" hidden="1" outlineLevel="1" x14ac:dyDescent="0.25">
      <c r="A154" s="46"/>
      <c r="B154" s="11" t="str">
        <f>CONCATENATE("          ", "5083", " - ", "PURCHASES @ COST-COMPUTER EQUI")</f>
        <v xml:space="preserve">          5083 - PURCHASES @ COST-COMPUTER EQUI</v>
      </c>
      <c r="C154" s="11"/>
      <c r="D154" s="2">
        <v>9997.75</v>
      </c>
      <c r="E154" s="2"/>
      <c r="F154" s="21">
        <f t="shared" si="5"/>
        <v>2.3700923468958947E-3</v>
      </c>
      <c r="G154" s="2"/>
      <c r="H154" s="2"/>
      <c r="I154" s="2"/>
      <c r="J154" s="21">
        <f t="shared" si="6"/>
        <v>0</v>
      </c>
      <c r="K154" s="2"/>
      <c r="L154" s="2">
        <f t="shared" si="7"/>
        <v>9997.75</v>
      </c>
      <c r="M154" s="2"/>
      <c r="N154" s="21">
        <f t="shared" si="8"/>
        <v>0</v>
      </c>
      <c r="O154" s="11"/>
      <c r="P154" s="2">
        <v>17273.89</v>
      </c>
      <c r="Q154" s="2"/>
      <c r="R154" s="21">
        <f t="shared" si="9"/>
        <v>3.0171643071074121E-3</v>
      </c>
      <c r="S154" s="2"/>
      <c r="T154" s="2"/>
      <c r="U154" s="2"/>
      <c r="V154" s="21">
        <f t="shared" si="10"/>
        <v>0</v>
      </c>
      <c r="W154" s="2"/>
      <c r="X154" s="2">
        <f t="shared" si="11"/>
        <v>17273.89</v>
      </c>
      <c r="Y154" s="2"/>
      <c r="Z154" s="21">
        <f t="shared" si="12"/>
        <v>0</v>
      </c>
    </row>
    <row r="155" spans="1:26" s="24" customFormat="1" hidden="1" outlineLevel="1" x14ac:dyDescent="0.25">
      <c r="A155" s="46"/>
      <c r="B155" s="11" t="str">
        <f>CONCATENATE("          ", "5084", " - ", "PURCHASES @ COST-SOFTWARE LICE")</f>
        <v xml:space="preserve">          5084 - PURCHASES @ COST-SOFTWARE LICE</v>
      </c>
      <c r="C155" s="11"/>
      <c r="D155" s="2">
        <v>1522</v>
      </c>
      <c r="E155" s="2"/>
      <c r="F155" s="21">
        <f t="shared" si="5"/>
        <v>3.608092372759423E-4</v>
      </c>
      <c r="G155" s="2"/>
      <c r="H155" s="2"/>
      <c r="I155" s="2"/>
      <c r="J155" s="21">
        <f t="shared" si="6"/>
        <v>0</v>
      </c>
      <c r="K155" s="2"/>
      <c r="L155" s="2">
        <f t="shared" si="7"/>
        <v>1522</v>
      </c>
      <c r="M155" s="2"/>
      <c r="N155" s="21">
        <f t="shared" si="8"/>
        <v>0</v>
      </c>
      <c r="O155" s="11"/>
      <c r="P155" s="2">
        <v>1522</v>
      </c>
      <c r="Q155" s="2"/>
      <c r="R155" s="21">
        <f t="shared" si="9"/>
        <v>2.6584191953390237E-4</v>
      </c>
      <c r="S155" s="2"/>
      <c r="T155" s="2"/>
      <c r="U155" s="2"/>
      <c r="V155" s="21">
        <f t="shared" si="10"/>
        <v>0</v>
      </c>
      <c r="W155" s="2"/>
      <c r="X155" s="2">
        <f t="shared" si="11"/>
        <v>1522</v>
      </c>
      <c r="Y155" s="2"/>
      <c r="Z155" s="21">
        <f t="shared" si="12"/>
        <v>0</v>
      </c>
    </row>
    <row r="156" spans="1:26" s="24" customFormat="1" hidden="1" outlineLevel="1" x14ac:dyDescent="0.25">
      <c r="A156" s="46"/>
      <c r="B156" s="11" t="str">
        <f>CONCATENATE("          ", "5085", " - ", "PURCHASES @ COST-SOFTWARE")</f>
        <v xml:space="preserve">          5085 - PURCHASES @ COST-SOFTWARE</v>
      </c>
      <c r="C156" s="11"/>
      <c r="D156" s="2">
        <v>3368</v>
      </c>
      <c r="E156" s="2"/>
      <c r="F156" s="21">
        <f t="shared" si="5"/>
        <v>7.9842674845293925E-4</v>
      </c>
      <c r="G156" s="2"/>
      <c r="H156" s="2"/>
      <c r="I156" s="2"/>
      <c r="J156" s="21">
        <f t="shared" si="6"/>
        <v>0</v>
      </c>
      <c r="K156" s="2"/>
      <c r="L156" s="2">
        <f t="shared" si="7"/>
        <v>3368</v>
      </c>
      <c r="M156" s="2"/>
      <c r="N156" s="21">
        <f t="shared" si="8"/>
        <v>0</v>
      </c>
      <c r="O156" s="11"/>
      <c r="P156" s="2">
        <v>3368</v>
      </c>
      <c r="Q156" s="2"/>
      <c r="R156" s="21">
        <f t="shared" si="9"/>
        <v>5.8827568001983133E-4</v>
      </c>
      <c r="S156" s="2"/>
      <c r="T156" s="2"/>
      <c r="U156" s="2"/>
      <c r="V156" s="21">
        <f t="shared" si="10"/>
        <v>0</v>
      </c>
      <c r="W156" s="2"/>
      <c r="X156" s="2">
        <f t="shared" si="11"/>
        <v>3368</v>
      </c>
      <c r="Y156" s="2"/>
      <c r="Z156" s="21">
        <f t="shared" si="12"/>
        <v>0</v>
      </c>
    </row>
    <row r="157" spans="1:26" s="24" customFormat="1" hidden="1" outlineLevel="1" x14ac:dyDescent="0.25">
      <c r="A157" s="46"/>
      <c r="B157" s="11" t="str">
        <f>CONCATENATE("          ", "5086", " - ", "PURCHASES @ COST-COMPUTER SUPP")</f>
        <v xml:space="preserve">          5086 - PURCHASES @ COST-COMPUTER SUPP</v>
      </c>
      <c r="C157" s="11"/>
      <c r="D157" s="2">
        <v>2837.81</v>
      </c>
      <c r="E157" s="2"/>
      <c r="F157" s="21">
        <f t="shared" si="5"/>
        <v>6.7273854246651884E-4</v>
      </c>
      <c r="G157" s="2"/>
      <c r="H157" s="2"/>
      <c r="I157" s="2"/>
      <c r="J157" s="21">
        <f t="shared" si="6"/>
        <v>0</v>
      </c>
      <c r="K157" s="2"/>
      <c r="L157" s="2">
        <f t="shared" si="7"/>
        <v>2837.81</v>
      </c>
      <c r="M157" s="2"/>
      <c r="N157" s="21">
        <f t="shared" si="8"/>
        <v>0</v>
      </c>
      <c r="O157" s="11"/>
      <c r="P157" s="2">
        <v>6264.88</v>
      </c>
      <c r="Q157" s="2"/>
      <c r="R157" s="21">
        <f t="shared" si="9"/>
        <v>1.0942626313071974E-3</v>
      </c>
      <c r="S157" s="2"/>
      <c r="T157" s="2"/>
      <c r="U157" s="2"/>
      <c r="V157" s="21">
        <f t="shared" si="10"/>
        <v>0</v>
      </c>
      <c r="W157" s="2"/>
      <c r="X157" s="2">
        <f t="shared" si="11"/>
        <v>6264.88</v>
      </c>
      <c r="Y157" s="2"/>
      <c r="Z157" s="21">
        <f t="shared" si="12"/>
        <v>0</v>
      </c>
    </row>
    <row r="158" spans="1:26" s="24" customFormat="1" hidden="1" outlineLevel="1" x14ac:dyDescent="0.25">
      <c r="A158" s="46"/>
      <c r="B158" s="11" t="str">
        <f>CONCATENATE("          ", "5088", " - ", "PURCHASES @ COST-MUSIC")</f>
        <v xml:space="preserve">          5088 - PURCHASES @ COST-MUSIC</v>
      </c>
      <c r="C158" s="11"/>
      <c r="D158" s="2"/>
      <c r="E158" s="2"/>
      <c r="F158" s="21">
        <f t="shared" si="5"/>
        <v>0</v>
      </c>
      <c r="G158" s="2"/>
      <c r="H158" s="2"/>
      <c r="I158" s="2"/>
      <c r="J158" s="21">
        <f t="shared" si="6"/>
        <v>0</v>
      </c>
      <c r="K158" s="2"/>
      <c r="L158" s="2">
        <f t="shared" si="7"/>
        <v>0</v>
      </c>
      <c r="M158" s="2"/>
      <c r="N158" s="21">
        <f t="shared" si="8"/>
        <v>0</v>
      </c>
      <c r="O158" s="11"/>
      <c r="P158" s="2">
        <v>82</v>
      </c>
      <c r="Q158" s="2"/>
      <c r="R158" s="21">
        <f t="shared" si="9"/>
        <v>1.4322626413784492E-5</v>
      </c>
      <c r="S158" s="2"/>
      <c r="T158" s="2"/>
      <c r="U158" s="2"/>
      <c r="V158" s="21">
        <f t="shared" si="10"/>
        <v>0</v>
      </c>
      <c r="W158" s="2"/>
      <c r="X158" s="2">
        <f t="shared" si="11"/>
        <v>82</v>
      </c>
      <c r="Y158" s="2"/>
      <c r="Z158" s="21">
        <f t="shared" si="12"/>
        <v>0</v>
      </c>
    </row>
    <row r="159" spans="1:26" s="24" customFormat="1" hidden="1" outlineLevel="1" x14ac:dyDescent="0.25">
      <c r="A159" s="46"/>
      <c r="B159" s="11" t="str">
        <f>CONCATENATE("          ", "5092", " - ", "PURCHASES @ COST-GRAD MERCH")</f>
        <v xml:space="preserve">          5092 - PURCHASES @ COST-GRAD MERCH</v>
      </c>
      <c r="C159" s="11"/>
      <c r="D159" s="2">
        <v>-600.6</v>
      </c>
      <c r="E159" s="2"/>
      <c r="F159" s="21">
        <f t="shared" si="5"/>
        <v>-1.4237978180547367E-4</v>
      </c>
      <c r="G159" s="2"/>
      <c r="H159" s="2"/>
      <c r="I159" s="2"/>
      <c r="J159" s="21">
        <f t="shared" si="6"/>
        <v>0</v>
      </c>
      <c r="K159" s="2"/>
      <c r="L159" s="2">
        <f t="shared" si="7"/>
        <v>-600.6</v>
      </c>
      <c r="M159" s="2"/>
      <c r="N159" s="21">
        <f t="shared" si="8"/>
        <v>0</v>
      </c>
      <c r="O159" s="11"/>
      <c r="P159" s="2">
        <v>628</v>
      </c>
      <c r="Q159" s="2"/>
      <c r="R159" s="21">
        <f t="shared" si="9"/>
        <v>1.0969035838849586E-4</v>
      </c>
      <c r="S159" s="2"/>
      <c r="T159" s="2"/>
      <c r="U159" s="2"/>
      <c r="V159" s="21">
        <f t="shared" si="10"/>
        <v>0</v>
      </c>
      <c r="W159" s="2"/>
      <c r="X159" s="2">
        <f t="shared" si="11"/>
        <v>628</v>
      </c>
      <c r="Y159" s="2"/>
      <c r="Z159" s="21">
        <f t="shared" si="12"/>
        <v>0</v>
      </c>
    </row>
    <row r="160" spans="1:26" s="24" customFormat="1" hidden="1" outlineLevel="1" x14ac:dyDescent="0.25">
      <c r="A160" s="46"/>
      <c r="B160" s="11" t="str">
        <f>CONCATENATE("          ", "5095", " - ", "PURCHASES @ COST-CUSTOMER SERV")</f>
        <v xml:space="preserve">          5095 - PURCHASES @ COST-CUSTOMER SERV</v>
      </c>
      <c r="C160" s="11"/>
      <c r="D160" s="2"/>
      <c r="E160" s="2"/>
      <c r="F160" s="21">
        <f t="shared" si="5"/>
        <v>0</v>
      </c>
      <c r="G160" s="2"/>
      <c r="H160" s="2"/>
      <c r="I160" s="2"/>
      <c r="J160" s="21">
        <f t="shared" si="6"/>
        <v>0</v>
      </c>
      <c r="K160" s="2"/>
      <c r="L160" s="2">
        <f t="shared" si="7"/>
        <v>0</v>
      </c>
      <c r="M160" s="2"/>
      <c r="N160" s="21">
        <f t="shared" si="8"/>
        <v>0</v>
      </c>
      <c r="O160" s="11"/>
      <c r="P160" s="2">
        <v>0</v>
      </c>
      <c r="Q160" s="2"/>
      <c r="R160" s="21">
        <f t="shared" si="9"/>
        <v>0</v>
      </c>
      <c r="S160" s="2"/>
      <c r="T160" s="2"/>
      <c r="U160" s="2"/>
      <c r="V160" s="21">
        <f t="shared" si="10"/>
        <v>0</v>
      </c>
      <c r="W160" s="2"/>
      <c r="X160" s="2">
        <f t="shared" si="11"/>
        <v>0</v>
      </c>
      <c r="Y160" s="2"/>
      <c r="Z160" s="21">
        <f t="shared" si="12"/>
        <v>0</v>
      </c>
    </row>
    <row r="161" spans="1:26" s="24" customFormat="1" hidden="1" outlineLevel="1" x14ac:dyDescent="0.25">
      <c r="A161" s="46"/>
      <c r="B161" s="11" t="str">
        <f>CONCATENATE("          ", "5200", " - ", "PURCHASES OFFSET")</f>
        <v xml:space="preserve">          5200 - PURCHASES OFFSET</v>
      </c>
      <c r="C161" s="11"/>
      <c r="D161" s="2">
        <v>-1879524</v>
      </c>
      <c r="E161" s="2"/>
      <c r="F161" s="21">
        <f t="shared" si="5"/>
        <v>-0.44556479690001849</v>
      </c>
      <c r="G161" s="2"/>
      <c r="H161" s="2"/>
      <c r="I161" s="2"/>
      <c r="J161" s="21">
        <f t="shared" si="6"/>
        <v>0</v>
      </c>
      <c r="K161" s="2"/>
      <c r="L161" s="2">
        <f t="shared" si="7"/>
        <v>-1879524</v>
      </c>
      <c r="M161" s="2"/>
      <c r="N161" s="21">
        <f t="shared" si="8"/>
        <v>0</v>
      </c>
      <c r="O161" s="11"/>
      <c r="P161" s="2">
        <v>-3141833</v>
      </c>
      <c r="Q161" s="2"/>
      <c r="R161" s="21">
        <f t="shared" si="9"/>
        <v>-0.54877195504268017</v>
      </c>
      <c r="S161" s="2"/>
      <c r="T161" s="2"/>
      <c r="U161" s="2"/>
      <c r="V161" s="21">
        <f t="shared" si="10"/>
        <v>0</v>
      </c>
      <c r="W161" s="2"/>
      <c r="X161" s="2">
        <f t="shared" si="11"/>
        <v>-3141833</v>
      </c>
      <c r="Y161" s="2"/>
      <c r="Z161" s="21">
        <f t="shared" si="12"/>
        <v>0</v>
      </c>
    </row>
    <row r="162" spans="1:26" s="24" customFormat="1" hidden="1" outlineLevel="1" x14ac:dyDescent="0.25">
      <c r="A162" s="46"/>
      <c r="B162" s="11" t="str">
        <f>CONCATENATE("          ", "5300", " - ", "COG$ OFFSET")</f>
        <v xml:space="preserve">          5300 - COG$ OFFSET</v>
      </c>
      <c r="C162" s="11"/>
      <c r="D162" s="2">
        <v>1703338</v>
      </c>
      <c r="E162" s="2"/>
      <c r="F162" s="21">
        <f t="shared" si="5"/>
        <v>0.40379769027800849</v>
      </c>
      <c r="G162" s="2"/>
      <c r="H162" s="2"/>
      <c r="I162" s="2"/>
      <c r="J162" s="21">
        <f t="shared" si="6"/>
        <v>0</v>
      </c>
      <c r="K162" s="2"/>
      <c r="L162" s="2">
        <f t="shared" si="7"/>
        <v>1703338</v>
      </c>
      <c r="M162" s="2"/>
      <c r="N162" s="21">
        <f t="shared" si="8"/>
        <v>0</v>
      </c>
      <c r="O162" s="11"/>
      <c r="P162" s="2">
        <v>2226828</v>
      </c>
      <c r="Q162" s="2"/>
      <c r="R162" s="21">
        <f t="shared" si="9"/>
        <v>0.38895153087505963</v>
      </c>
      <c r="S162" s="2"/>
      <c r="T162" s="2"/>
      <c r="U162" s="2"/>
      <c r="V162" s="21">
        <f t="shared" si="10"/>
        <v>0</v>
      </c>
      <c r="W162" s="2"/>
      <c r="X162" s="2">
        <f t="shared" si="11"/>
        <v>2226828</v>
      </c>
      <c r="Y162" s="2"/>
      <c r="Z162" s="21">
        <f t="shared" si="12"/>
        <v>0</v>
      </c>
    </row>
    <row r="163" spans="1:26" s="24" customFormat="1" hidden="1" outlineLevel="1" x14ac:dyDescent="0.25">
      <c r="A163" s="46"/>
      <c r="B163" s="11" t="str">
        <f>CONCATENATE("          ", "5500", " - ", "FREIGHT-IN")</f>
        <v xml:space="preserve">          5500 - FREIGHT-IN</v>
      </c>
      <c r="C163" s="11"/>
      <c r="D163" s="2"/>
      <c r="E163" s="2"/>
      <c r="F163" s="21">
        <f t="shared" si="5"/>
        <v>0</v>
      </c>
      <c r="G163" s="2"/>
      <c r="H163" s="2"/>
      <c r="I163" s="2"/>
      <c r="J163" s="21">
        <f t="shared" si="6"/>
        <v>0</v>
      </c>
      <c r="K163" s="2"/>
      <c r="L163" s="2">
        <f t="shared" si="7"/>
        <v>0</v>
      </c>
      <c r="M163" s="2"/>
      <c r="N163" s="21">
        <f t="shared" si="8"/>
        <v>0</v>
      </c>
      <c r="O163" s="11"/>
      <c r="P163" s="2">
        <v>49</v>
      </c>
      <c r="Q163" s="2"/>
      <c r="R163" s="21">
        <f t="shared" si="9"/>
        <v>8.5586426131151236E-6</v>
      </c>
      <c r="S163" s="2"/>
      <c r="T163" s="2"/>
      <c r="U163" s="2"/>
      <c r="V163" s="21">
        <f t="shared" si="10"/>
        <v>0</v>
      </c>
      <c r="W163" s="2"/>
      <c r="X163" s="2">
        <f t="shared" si="11"/>
        <v>49</v>
      </c>
      <c r="Y163" s="2"/>
      <c r="Z163" s="21">
        <f t="shared" si="12"/>
        <v>0</v>
      </c>
    </row>
    <row r="164" spans="1:26" s="24" customFormat="1" hidden="1" outlineLevel="1" x14ac:dyDescent="0.25">
      <c r="A164" s="46"/>
      <c r="B164" s="11" t="str">
        <f>CONCATENATE("          ", "5501", " - ", "FREIGHT-IN-NEW TEXT")</f>
        <v xml:space="preserve">          5501 - FREIGHT-IN-NEW TEXT</v>
      </c>
      <c r="C164" s="11"/>
      <c r="D164" s="2">
        <v>11008.16</v>
      </c>
      <c r="E164" s="2"/>
      <c r="F164" s="21">
        <f t="shared" si="5"/>
        <v>2.6096227420575142E-3</v>
      </c>
      <c r="G164" s="2"/>
      <c r="H164" s="2"/>
      <c r="I164" s="2"/>
      <c r="J164" s="21">
        <f t="shared" si="6"/>
        <v>0</v>
      </c>
      <c r="K164" s="2"/>
      <c r="L164" s="2">
        <f t="shared" si="7"/>
        <v>11008.16</v>
      </c>
      <c r="M164" s="2"/>
      <c r="N164" s="21">
        <f t="shared" si="8"/>
        <v>0</v>
      </c>
      <c r="O164" s="11"/>
      <c r="P164" s="2">
        <v>12724.24</v>
      </c>
      <c r="Q164" s="2"/>
      <c r="R164" s="21">
        <f t="shared" si="9"/>
        <v>2.2224943404796729E-3</v>
      </c>
      <c r="S164" s="2"/>
      <c r="T164" s="2"/>
      <c r="U164" s="2"/>
      <c r="V164" s="21">
        <f t="shared" si="10"/>
        <v>0</v>
      </c>
      <c r="W164" s="2"/>
      <c r="X164" s="2">
        <f t="shared" si="11"/>
        <v>12724.24</v>
      </c>
      <c r="Y164" s="2"/>
      <c r="Z164" s="21">
        <f t="shared" si="12"/>
        <v>0</v>
      </c>
    </row>
    <row r="165" spans="1:26" s="24" customFormat="1" hidden="1" outlineLevel="1" x14ac:dyDescent="0.25">
      <c r="A165" s="46"/>
      <c r="B165" s="11" t="str">
        <f>CONCATENATE("          ", "5502", " - ", "FREIGHT-IN-USED TEXT")</f>
        <v xml:space="preserve">          5502 - FREIGHT-IN-USED TEXT</v>
      </c>
      <c r="C165" s="11"/>
      <c r="D165" s="2">
        <v>3985.02</v>
      </c>
      <c r="E165" s="2"/>
      <c r="F165" s="21">
        <f t="shared" si="5"/>
        <v>9.4469909771969477E-4</v>
      </c>
      <c r="G165" s="2"/>
      <c r="H165" s="2"/>
      <c r="I165" s="2"/>
      <c r="J165" s="21">
        <f t="shared" si="6"/>
        <v>0</v>
      </c>
      <c r="K165" s="2"/>
      <c r="L165" s="2">
        <f t="shared" si="7"/>
        <v>3985.02</v>
      </c>
      <c r="M165" s="2"/>
      <c r="N165" s="21">
        <f t="shared" si="8"/>
        <v>0</v>
      </c>
      <c r="O165" s="11"/>
      <c r="P165" s="2">
        <v>4262.51</v>
      </c>
      <c r="Q165" s="2"/>
      <c r="R165" s="21">
        <f t="shared" si="9"/>
        <v>7.4451632091488459E-4</v>
      </c>
      <c r="S165" s="2"/>
      <c r="T165" s="2"/>
      <c r="U165" s="2"/>
      <c r="V165" s="21">
        <f t="shared" si="10"/>
        <v>0</v>
      </c>
      <c r="W165" s="2"/>
      <c r="X165" s="2">
        <f t="shared" si="11"/>
        <v>4262.51</v>
      </c>
      <c r="Y165" s="2"/>
      <c r="Z165" s="21">
        <f t="shared" si="12"/>
        <v>0</v>
      </c>
    </row>
    <row r="166" spans="1:26" s="24" customFormat="1" hidden="1" outlineLevel="1" x14ac:dyDescent="0.25">
      <c r="A166" s="46"/>
      <c r="B166" s="11" t="str">
        <f>CONCATENATE("          ", "5504", " - ", "FREIGHT-IN-DIGITAL TEXT")</f>
        <v xml:space="preserve">          5504 - FREIGHT-IN-DIGITAL TEXT</v>
      </c>
      <c r="C166" s="11"/>
      <c r="D166" s="2">
        <v>7.03</v>
      </c>
      <c r="E166" s="2"/>
      <c r="F166" s="21">
        <f t="shared" si="5"/>
        <v>1.6665498935938727E-6</v>
      </c>
      <c r="G166" s="2"/>
      <c r="H166" s="2"/>
      <c r="I166" s="2"/>
      <c r="J166" s="21">
        <f t="shared" si="6"/>
        <v>0</v>
      </c>
      <c r="K166" s="2"/>
      <c r="L166" s="2">
        <f t="shared" si="7"/>
        <v>7.03</v>
      </c>
      <c r="M166" s="2"/>
      <c r="N166" s="21">
        <f t="shared" si="8"/>
        <v>0</v>
      </c>
      <c r="O166" s="11"/>
      <c r="P166" s="2">
        <v>7.03</v>
      </c>
      <c r="Q166" s="2"/>
      <c r="R166" s="21">
        <f t="shared" si="9"/>
        <v>1.2279032157183534E-6</v>
      </c>
      <c r="S166" s="2"/>
      <c r="T166" s="2"/>
      <c r="U166" s="2"/>
      <c r="V166" s="21">
        <f t="shared" si="10"/>
        <v>0</v>
      </c>
      <c r="W166" s="2"/>
      <c r="X166" s="2">
        <f t="shared" si="11"/>
        <v>7.03</v>
      </c>
      <c r="Y166" s="2"/>
      <c r="Z166" s="21">
        <f t="shared" si="12"/>
        <v>0</v>
      </c>
    </row>
    <row r="167" spans="1:26" s="24" customFormat="1" hidden="1" outlineLevel="1" x14ac:dyDescent="0.25">
      <c r="A167" s="46"/>
      <c r="B167" s="11" t="str">
        <f>CONCATENATE("          ", "5526", " - ", "FREIGHT-IN-WRITING INSTRUMENTS")</f>
        <v xml:space="preserve">          5526 - FREIGHT-IN-WRITING INSTRUMENTS</v>
      </c>
      <c r="C167" s="11"/>
      <c r="D167" s="2">
        <v>17.46</v>
      </c>
      <c r="E167" s="2"/>
      <c r="F167" s="21">
        <f t="shared" si="5"/>
        <v>4.1391125380012827E-6</v>
      </c>
      <c r="G167" s="2"/>
      <c r="H167" s="2"/>
      <c r="I167" s="2"/>
      <c r="J167" s="21">
        <f t="shared" si="6"/>
        <v>0</v>
      </c>
      <c r="K167" s="2"/>
      <c r="L167" s="2">
        <f t="shared" si="7"/>
        <v>17.46</v>
      </c>
      <c r="M167" s="2"/>
      <c r="N167" s="21">
        <f t="shared" si="8"/>
        <v>0</v>
      </c>
      <c r="O167" s="11"/>
      <c r="P167" s="2">
        <v>56.57</v>
      </c>
      <c r="Q167" s="2"/>
      <c r="R167" s="21">
        <f t="shared" si="9"/>
        <v>9.8808655637535199E-6</v>
      </c>
      <c r="S167" s="2"/>
      <c r="T167" s="2"/>
      <c r="U167" s="2"/>
      <c r="V167" s="21">
        <f t="shared" si="10"/>
        <v>0</v>
      </c>
      <c r="W167" s="2"/>
      <c r="X167" s="2">
        <f t="shared" si="11"/>
        <v>56.57</v>
      </c>
      <c r="Y167" s="2"/>
      <c r="Z167" s="21">
        <f t="shared" si="12"/>
        <v>0</v>
      </c>
    </row>
    <row r="168" spans="1:26" s="24" customFormat="1" hidden="1" outlineLevel="1" x14ac:dyDescent="0.25">
      <c r="A168" s="46"/>
      <c r="B168" s="11" t="str">
        <f>CONCATENATE("          ", "5527", " - ", "FREIGHT-IN-SCHOOL SUPPLIES")</f>
        <v xml:space="preserve">          5527 - FREIGHT-IN-SCHOOL SUPPLIES</v>
      </c>
      <c r="C168" s="11"/>
      <c r="D168" s="2">
        <v>10.49</v>
      </c>
      <c r="E168" s="2"/>
      <c r="F168" s="21">
        <f t="shared" si="5"/>
        <v>2.4867863988335313E-6</v>
      </c>
      <c r="G168" s="2"/>
      <c r="H168" s="2"/>
      <c r="I168" s="2"/>
      <c r="J168" s="21">
        <f t="shared" si="6"/>
        <v>0</v>
      </c>
      <c r="K168" s="2"/>
      <c r="L168" s="2">
        <f t="shared" si="7"/>
        <v>10.49</v>
      </c>
      <c r="M168" s="2"/>
      <c r="N168" s="21">
        <f t="shared" si="8"/>
        <v>0</v>
      </c>
      <c r="O168" s="11"/>
      <c r="P168" s="2">
        <v>260.51</v>
      </c>
      <c r="Q168" s="2"/>
      <c r="R168" s="21">
        <f t="shared" si="9"/>
        <v>4.5502285451890219E-5</v>
      </c>
      <c r="S168" s="2"/>
      <c r="T168" s="2"/>
      <c r="U168" s="2"/>
      <c r="V168" s="21">
        <f t="shared" si="10"/>
        <v>0</v>
      </c>
      <c r="W168" s="2"/>
      <c r="X168" s="2">
        <f t="shared" si="11"/>
        <v>260.51</v>
      </c>
      <c r="Y168" s="2"/>
      <c r="Z168" s="21">
        <f t="shared" si="12"/>
        <v>0</v>
      </c>
    </row>
    <row r="169" spans="1:26" s="24" customFormat="1" hidden="1" outlineLevel="1" x14ac:dyDescent="0.25">
      <c r="A169" s="46"/>
      <c r="B169" s="11" t="str">
        <f>CONCATENATE("          ", "5528", " - ", "FREIGHT-IN-ART/TECH")</f>
        <v xml:space="preserve">          5528 - FREIGHT-IN-ART/TECH</v>
      </c>
      <c r="C169" s="11"/>
      <c r="D169" s="2">
        <v>255.45</v>
      </c>
      <c r="E169" s="2"/>
      <c r="F169" s="21">
        <f t="shared" si="5"/>
        <v>6.0557634469211202E-5</v>
      </c>
      <c r="G169" s="2"/>
      <c r="H169" s="2"/>
      <c r="I169" s="2"/>
      <c r="J169" s="21">
        <f t="shared" si="6"/>
        <v>0</v>
      </c>
      <c r="K169" s="2"/>
      <c r="L169" s="2">
        <f t="shared" si="7"/>
        <v>255.45</v>
      </c>
      <c r="M169" s="2"/>
      <c r="N169" s="21">
        <f t="shared" si="8"/>
        <v>0</v>
      </c>
      <c r="O169" s="11"/>
      <c r="P169" s="2">
        <v>299.8</v>
      </c>
      <c r="Q169" s="2"/>
      <c r="R169" s="21">
        <f t="shared" si="9"/>
        <v>5.2364919498202326E-5</v>
      </c>
      <c r="S169" s="2"/>
      <c r="T169" s="2"/>
      <c r="U169" s="2"/>
      <c r="V169" s="21">
        <f t="shared" si="10"/>
        <v>0</v>
      </c>
      <c r="W169" s="2"/>
      <c r="X169" s="2">
        <f t="shared" si="11"/>
        <v>299.8</v>
      </c>
      <c r="Y169" s="2"/>
      <c r="Z169" s="21">
        <f t="shared" si="12"/>
        <v>0</v>
      </c>
    </row>
    <row r="170" spans="1:26" s="24" customFormat="1" hidden="1" outlineLevel="1" x14ac:dyDescent="0.25">
      <c r="A170" s="46"/>
      <c r="B170" s="11" t="str">
        <f>CONCATENATE("          ", "5540", " - ", "FREIGHT-IN-LOGO CLOTHING")</f>
        <v xml:space="preserve">          5540 - FREIGHT-IN-LOGO CLOTHING</v>
      </c>
      <c r="C170" s="11"/>
      <c r="D170" s="2">
        <v>1936.72</v>
      </c>
      <c r="E170" s="2"/>
      <c r="F170" s="21">
        <f t="shared" si="5"/>
        <v>4.5912382786929235E-4</v>
      </c>
      <c r="G170" s="2"/>
      <c r="H170" s="2"/>
      <c r="I170" s="2"/>
      <c r="J170" s="21">
        <f t="shared" si="6"/>
        <v>0</v>
      </c>
      <c r="K170" s="2"/>
      <c r="L170" s="2">
        <f t="shared" si="7"/>
        <v>1936.72</v>
      </c>
      <c r="M170" s="2"/>
      <c r="N170" s="21">
        <f t="shared" si="8"/>
        <v>0</v>
      </c>
      <c r="O170" s="11"/>
      <c r="P170" s="2">
        <v>2331.94</v>
      </c>
      <c r="Q170" s="2"/>
      <c r="R170" s="21">
        <f t="shared" si="9"/>
        <v>4.0731104194342203E-4</v>
      </c>
      <c r="S170" s="2"/>
      <c r="T170" s="2"/>
      <c r="U170" s="2"/>
      <c r="V170" s="21">
        <f t="shared" si="10"/>
        <v>0</v>
      </c>
      <c r="W170" s="2"/>
      <c r="X170" s="2">
        <f t="shared" si="11"/>
        <v>2331.94</v>
      </c>
      <c r="Y170" s="2"/>
      <c r="Z170" s="21">
        <f t="shared" si="12"/>
        <v>0</v>
      </c>
    </row>
    <row r="171" spans="1:26" s="24" customFormat="1" hidden="1" outlineLevel="1" x14ac:dyDescent="0.25">
      <c r="A171" s="46"/>
      <c r="B171" s="11" t="str">
        <f>CONCATENATE("          ", "5541", " - ", "FREIGHT-IN-LOGO GIFTS")</f>
        <v xml:space="preserve">          5541 - FREIGHT-IN-LOGO GIFTS</v>
      </c>
      <c r="C171" s="11"/>
      <c r="D171" s="2">
        <v>405.92</v>
      </c>
      <c r="E171" s="2"/>
      <c r="F171" s="21">
        <f t="shared" si="5"/>
        <v>9.6228439944185602E-5</v>
      </c>
      <c r="G171" s="2"/>
      <c r="H171" s="2"/>
      <c r="I171" s="2"/>
      <c r="J171" s="21">
        <f t="shared" si="6"/>
        <v>0</v>
      </c>
      <c r="K171" s="2"/>
      <c r="L171" s="2">
        <f t="shared" si="7"/>
        <v>405.92</v>
      </c>
      <c r="M171" s="2"/>
      <c r="N171" s="21">
        <f t="shared" si="8"/>
        <v>0</v>
      </c>
      <c r="O171" s="11"/>
      <c r="P171" s="2">
        <v>720.41</v>
      </c>
      <c r="Q171" s="2"/>
      <c r="R171" s="21">
        <f t="shared" si="9"/>
        <v>1.2583125969212788E-4</v>
      </c>
      <c r="S171" s="2"/>
      <c r="T171" s="2"/>
      <c r="U171" s="2"/>
      <c r="V171" s="21">
        <f t="shared" si="10"/>
        <v>0</v>
      </c>
      <c r="W171" s="2"/>
      <c r="X171" s="2">
        <f t="shared" si="11"/>
        <v>720.41</v>
      </c>
      <c r="Y171" s="2"/>
      <c r="Z171" s="21">
        <f t="shared" si="12"/>
        <v>0</v>
      </c>
    </row>
    <row r="172" spans="1:26" s="24" customFormat="1" hidden="1" outlineLevel="1" x14ac:dyDescent="0.25">
      <c r="A172" s="46"/>
      <c r="B172" s="11" t="str">
        <f>CONCATENATE("          ", "5542", " - ", "FREIGHT-IN-EVERYDAY GIFTS")</f>
        <v xml:space="preserve">          5542 - FREIGHT-IN-EVERYDAY GIFTS</v>
      </c>
      <c r="C172" s="11"/>
      <c r="D172" s="2">
        <v>83.05</v>
      </c>
      <c r="E172" s="2"/>
      <c r="F172" s="21">
        <f t="shared" si="5"/>
        <v>1.9688046751489492E-5</v>
      </c>
      <c r="G172" s="2"/>
      <c r="H172" s="2"/>
      <c r="I172" s="2"/>
      <c r="J172" s="21">
        <f t="shared" si="6"/>
        <v>0</v>
      </c>
      <c r="K172" s="2"/>
      <c r="L172" s="2">
        <f t="shared" si="7"/>
        <v>83.05</v>
      </c>
      <c r="M172" s="2"/>
      <c r="N172" s="21">
        <f t="shared" si="8"/>
        <v>0</v>
      </c>
      <c r="O172" s="11"/>
      <c r="P172" s="2">
        <v>112.77</v>
      </c>
      <c r="Q172" s="2"/>
      <c r="R172" s="21">
        <f t="shared" si="9"/>
        <v>1.9697104642469231E-5</v>
      </c>
      <c r="S172" s="2"/>
      <c r="T172" s="2"/>
      <c r="U172" s="2"/>
      <c r="V172" s="21">
        <f t="shared" si="10"/>
        <v>0</v>
      </c>
      <c r="W172" s="2"/>
      <c r="X172" s="2">
        <f t="shared" si="11"/>
        <v>112.77</v>
      </c>
      <c r="Y172" s="2"/>
      <c r="Z172" s="21">
        <f t="shared" si="12"/>
        <v>0</v>
      </c>
    </row>
    <row r="173" spans="1:26" s="24" customFormat="1" hidden="1" outlineLevel="1" x14ac:dyDescent="0.25">
      <c r="A173" s="46"/>
      <c r="B173" s="11" t="str">
        <f>CONCATENATE("          ", "5543", " - ", "FREIGHT-IN-CARDS")</f>
        <v xml:space="preserve">          5543 - FREIGHT-IN-CARDS</v>
      </c>
      <c r="C173" s="11"/>
      <c r="D173" s="2">
        <v>4.58</v>
      </c>
      <c r="E173" s="2"/>
      <c r="F173" s="21">
        <f t="shared" si="5"/>
        <v>1.0857465878605884E-6</v>
      </c>
      <c r="G173" s="2"/>
      <c r="H173" s="2"/>
      <c r="I173" s="2"/>
      <c r="J173" s="21">
        <f t="shared" si="6"/>
        <v>0</v>
      </c>
      <c r="K173" s="2"/>
      <c r="L173" s="2">
        <f t="shared" si="7"/>
        <v>4.58</v>
      </c>
      <c r="M173" s="2"/>
      <c r="N173" s="21">
        <f t="shared" si="8"/>
        <v>0</v>
      </c>
      <c r="O173" s="11"/>
      <c r="P173" s="2">
        <v>4.58</v>
      </c>
      <c r="Q173" s="2"/>
      <c r="R173" s="21">
        <f t="shared" si="9"/>
        <v>7.9997108506259722E-7</v>
      </c>
      <c r="S173" s="2"/>
      <c r="T173" s="2"/>
      <c r="U173" s="2"/>
      <c r="V173" s="21">
        <f t="shared" si="10"/>
        <v>0</v>
      </c>
      <c r="W173" s="2"/>
      <c r="X173" s="2">
        <f t="shared" si="11"/>
        <v>4.58</v>
      </c>
      <c r="Y173" s="2"/>
      <c r="Z173" s="21">
        <f t="shared" si="12"/>
        <v>0</v>
      </c>
    </row>
    <row r="174" spans="1:26" s="24" customFormat="1" hidden="1" outlineLevel="1" x14ac:dyDescent="0.25">
      <c r="A174" s="46"/>
      <c r="B174" s="11" t="str">
        <f>CONCATENATE("          ", "5544", " - ", "FREIGHT-IN-ACCESSORIES")</f>
        <v xml:space="preserve">          5544 - FREIGHT-IN-ACCESSORIES</v>
      </c>
      <c r="C174" s="11"/>
      <c r="D174" s="2">
        <v>84.93</v>
      </c>
      <c r="E174" s="2"/>
      <c r="F174" s="21">
        <f t="shared" si="5"/>
        <v>2.0133724390174627E-5</v>
      </c>
      <c r="G174" s="2"/>
      <c r="H174" s="2"/>
      <c r="I174" s="2"/>
      <c r="J174" s="21">
        <f t="shared" si="6"/>
        <v>0</v>
      </c>
      <c r="K174" s="2"/>
      <c r="L174" s="2">
        <f t="shared" si="7"/>
        <v>84.93</v>
      </c>
      <c r="M174" s="2"/>
      <c r="N174" s="21">
        <f t="shared" si="8"/>
        <v>0</v>
      </c>
      <c r="O174" s="11"/>
      <c r="P174" s="2">
        <v>101.66</v>
      </c>
      <c r="Q174" s="2"/>
      <c r="R174" s="21">
        <f t="shared" si="9"/>
        <v>1.7756563429577212E-5</v>
      </c>
      <c r="S174" s="2"/>
      <c r="T174" s="2"/>
      <c r="U174" s="2"/>
      <c r="V174" s="21">
        <f t="shared" si="10"/>
        <v>0</v>
      </c>
      <c r="W174" s="2"/>
      <c r="X174" s="2">
        <f t="shared" si="11"/>
        <v>101.66</v>
      </c>
      <c r="Y174" s="2"/>
      <c r="Z174" s="21">
        <f t="shared" si="12"/>
        <v>0</v>
      </c>
    </row>
    <row r="175" spans="1:26" s="24" customFormat="1" hidden="1" outlineLevel="1" x14ac:dyDescent="0.25">
      <c r="A175" s="46"/>
      <c r="B175" s="11" t="str">
        <f>CONCATENATE("          ", "5545", " - ", "FREIGHT-IN-SPECIAL ORDERS")</f>
        <v xml:space="preserve">          5545 - FREIGHT-IN-SPECIAL ORDERS</v>
      </c>
      <c r="C175" s="11"/>
      <c r="D175" s="2">
        <v>8.8699999999999992</v>
      </c>
      <c r="E175" s="2"/>
      <c r="F175" s="21">
        <f t="shared" si="5"/>
        <v>2.1027450293282574E-6</v>
      </c>
      <c r="G175" s="2"/>
      <c r="H175" s="2"/>
      <c r="I175" s="2"/>
      <c r="J175" s="21">
        <f t="shared" si="6"/>
        <v>0</v>
      </c>
      <c r="K175" s="2"/>
      <c r="L175" s="2">
        <f t="shared" si="7"/>
        <v>8.8699999999999992</v>
      </c>
      <c r="M175" s="2"/>
      <c r="N175" s="21">
        <f t="shared" si="8"/>
        <v>0</v>
      </c>
      <c r="O175" s="11"/>
      <c r="P175" s="2">
        <v>235.95</v>
      </c>
      <c r="Q175" s="2"/>
      <c r="R175" s="21">
        <f t="shared" si="9"/>
        <v>4.1212484174785982E-5</v>
      </c>
      <c r="S175" s="2"/>
      <c r="T175" s="2"/>
      <c r="U175" s="2"/>
      <c r="V175" s="21">
        <f t="shared" si="10"/>
        <v>0</v>
      </c>
      <c r="W175" s="2"/>
      <c r="X175" s="2">
        <f t="shared" si="11"/>
        <v>235.95</v>
      </c>
      <c r="Y175" s="2"/>
      <c r="Z175" s="21">
        <f t="shared" si="12"/>
        <v>0</v>
      </c>
    </row>
    <row r="176" spans="1:26" s="24" customFormat="1" hidden="1" outlineLevel="1" x14ac:dyDescent="0.25">
      <c r="A176" s="46"/>
      <c r="B176" s="11" t="str">
        <f>CONCATENATE("          ", "5583", " - ", "FREIGHT-IN-COMPUTER EQUIPMENT")</f>
        <v xml:space="preserve">          5583 - FREIGHT-IN-COMPUTER EQUIPMENT</v>
      </c>
      <c r="C176" s="11"/>
      <c r="D176" s="2">
        <v>26.15</v>
      </c>
      <c r="E176" s="2"/>
      <c r="F176" s="21">
        <f t="shared" si="5"/>
        <v>6.1991863040511762E-6</v>
      </c>
      <c r="G176" s="2"/>
      <c r="H176" s="2"/>
      <c r="I176" s="2"/>
      <c r="J176" s="21">
        <f t="shared" si="6"/>
        <v>0</v>
      </c>
      <c r="K176" s="2"/>
      <c r="L176" s="2">
        <f t="shared" si="7"/>
        <v>26.15</v>
      </c>
      <c r="M176" s="2"/>
      <c r="N176" s="21">
        <f t="shared" si="8"/>
        <v>0</v>
      </c>
      <c r="O176" s="11"/>
      <c r="P176" s="2">
        <v>33.14</v>
      </c>
      <c r="Q176" s="2"/>
      <c r="R176" s="21">
        <f t="shared" si="9"/>
        <v>5.7884370652782686E-6</v>
      </c>
      <c r="S176" s="2"/>
      <c r="T176" s="2"/>
      <c r="U176" s="2"/>
      <c r="V176" s="21">
        <f t="shared" si="10"/>
        <v>0</v>
      </c>
      <c r="W176" s="2"/>
      <c r="X176" s="2">
        <f t="shared" si="11"/>
        <v>33.14</v>
      </c>
      <c r="Y176" s="2"/>
      <c r="Z176" s="21">
        <f t="shared" si="12"/>
        <v>0</v>
      </c>
    </row>
    <row r="177" spans="1:26" s="24" customFormat="1" hidden="1" outlineLevel="1" x14ac:dyDescent="0.25">
      <c r="A177" s="46"/>
      <c r="B177" s="11" t="str">
        <f>CONCATENATE("          ", "5586", " - ", "FREIGHT-IN-COMPUTER SUPPLIES")</f>
        <v xml:space="preserve">          5586 - FREIGHT-IN-COMPUTER SUPPLIES</v>
      </c>
      <c r="C177" s="11"/>
      <c r="D177" s="2">
        <v>7.36</v>
      </c>
      <c r="E177" s="2"/>
      <c r="F177" s="21">
        <f t="shared" si="5"/>
        <v>1.7447805429375396E-6</v>
      </c>
      <c r="G177" s="2"/>
      <c r="H177" s="2"/>
      <c r="I177" s="2"/>
      <c r="J177" s="21">
        <f t="shared" si="6"/>
        <v>0</v>
      </c>
      <c r="K177" s="2"/>
      <c r="L177" s="2">
        <f t="shared" si="7"/>
        <v>7.36</v>
      </c>
      <c r="M177" s="2"/>
      <c r="N177" s="21">
        <f t="shared" si="8"/>
        <v>0</v>
      </c>
      <c r="O177" s="11"/>
      <c r="P177" s="2">
        <v>37.03</v>
      </c>
      <c r="Q177" s="2"/>
      <c r="R177" s="21">
        <f t="shared" si="9"/>
        <v>6.4678884890541428E-6</v>
      </c>
      <c r="S177" s="2"/>
      <c r="T177" s="2"/>
      <c r="U177" s="2"/>
      <c r="V177" s="21">
        <f t="shared" si="10"/>
        <v>0</v>
      </c>
      <c r="W177" s="2"/>
      <c r="X177" s="2">
        <f t="shared" si="11"/>
        <v>37.03</v>
      </c>
      <c r="Y177" s="2"/>
      <c r="Z177" s="21">
        <f t="shared" si="12"/>
        <v>0</v>
      </c>
    </row>
    <row r="178" spans="1:26" s="24" customFormat="1" hidden="1" outlineLevel="1" x14ac:dyDescent="0.25">
      <c r="A178" s="46"/>
      <c r="B178" s="11" t="str">
        <f>CONCATENATE("          ", "5592", " - ", "FREIGHT-IN-GRAD MERCH")</f>
        <v xml:space="preserve">          5592 - FREIGHT-IN-GRAD MERCH</v>
      </c>
      <c r="C178" s="11"/>
      <c r="D178" s="2">
        <v>59.57</v>
      </c>
      <c r="E178" s="2"/>
      <c r="F178" s="21">
        <f t="shared" si="5"/>
        <v>1.4121817519400711E-5</v>
      </c>
      <c r="G178" s="2"/>
      <c r="H178" s="2"/>
      <c r="I178" s="2"/>
      <c r="J178" s="21">
        <f t="shared" si="6"/>
        <v>0</v>
      </c>
      <c r="K178" s="2"/>
      <c r="L178" s="2">
        <f t="shared" si="7"/>
        <v>59.57</v>
      </c>
      <c r="M178" s="2"/>
      <c r="N178" s="21">
        <f t="shared" si="8"/>
        <v>0</v>
      </c>
      <c r="O178" s="11"/>
      <c r="P178" s="2">
        <v>59.57</v>
      </c>
      <c r="Q178" s="2"/>
      <c r="R178" s="21">
        <f t="shared" si="9"/>
        <v>1.04048640910871E-5</v>
      </c>
      <c r="S178" s="2"/>
      <c r="T178" s="2"/>
      <c r="U178" s="2"/>
      <c r="V178" s="21">
        <f t="shared" si="10"/>
        <v>0</v>
      </c>
      <c r="W178" s="2"/>
      <c r="X178" s="2">
        <f t="shared" si="11"/>
        <v>59.57</v>
      </c>
      <c r="Y178" s="2"/>
      <c r="Z178" s="21">
        <f t="shared" si="12"/>
        <v>0</v>
      </c>
    </row>
    <row r="179" spans="1:26" x14ac:dyDescent="0.25">
      <c r="A179" s="9"/>
      <c r="B179" s="10"/>
      <c r="C179" s="10"/>
      <c r="D179" s="3"/>
      <c r="E179" s="3"/>
      <c r="F179" s="8"/>
      <c r="G179" s="3"/>
      <c r="H179" s="3"/>
      <c r="I179" s="3"/>
      <c r="J179" s="8"/>
      <c r="K179" s="3"/>
      <c r="L179" s="3"/>
      <c r="M179" s="3"/>
      <c r="N179" s="8"/>
      <c r="O179" s="10"/>
      <c r="P179" s="3"/>
      <c r="Q179" s="3"/>
      <c r="R179" s="8"/>
      <c r="S179" s="3"/>
      <c r="T179" s="3"/>
      <c r="U179" s="3"/>
      <c r="V179" s="8"/>
      <c r="W179" s="3"/>
      <c r="X179" s="3"/>
      <c r="Y179" s="3"/>
      <c r="Z179" s="8"/>
    </row>
    <row r="180" spans="1:26" s="23" customFormat="1" x14ac:dyDescent="0.25">
      <c r="A180" s="10"/>
      <c r="B180" s="29" t="s">
        <v>6</v>
      </c>
      <c r="C180" s="29"/>
      <c r="D180" s="22">
        <f>D12-D123</f>
        <v>1675463.1199999955</v>
      </c>
      <c r="E180" s="14"/>
      <c r="F180" s="20">
        <f>IF(D$12=0,0,D180/D$12)</f>
        <v>0.39718959948171412</v>
      </c>
      <c r="G180" s="14"/>
      <c r="H180" s="22">
        <f>H12-H123</f>
        <v>1921015.3639999996</v>
      </c>
      <c r="I180" s="14"/>
      <c r="J180" s="20">
        <f>IF(H$12=0,0,H180/H$12)</f>
        <v>0.4327172522986576</v>
      </c>
      <c r="K180" s="15"/>
      <c r="L180" s="22">
        <f>+D180-H180</f>
        <v>-245552.24400000414</v>
      </c>
      <c r="M180" s="15"/>
      <c r="N180" s="20">
        <f>IF(H180=0,0,L180/H180)</f>
        <v>-0.12782419578816248</v>
      </c>
      <c r="O180" s="28"/>
      <c r="P180" s="22">
        <f>P12-P123</f>
        <v>2392836.8599999989</v>
      </c>
      <c r="Q180" s="14"/>
      <c r="R180" s="20">
        <f>IF(P$12=0,0,P180/P$12)</f>
        <v>0.41794766359650154</v>
      </c>
      <c r="S180" s="14"/>
      <c r="T180" s="22">
        <f>T12-T123</f>
        <v>2770845.41549</v>
      </c>
      <c r="U180" s="14"/>
      <c r="V180" s="20">
        <f>IF(T$12=0,0,T180/T$12)</f>
        <v>0.45571176839078953</v>
      </c>
      <c r="W180" s="15"/>
      <c r="X180" s="22">
        <f>+P180-T180</f>
        <v>-378008.5554900011</v>
      </c>
      <c r="Y180" s="15"/>
      <c r="Z180" s="20">
        <f>IF(T180=0,0,X180/T180)</f>
        <v>-0.13642354545540519</v>
      </c>
    </row>
    <row r="181" spans="1:26" x14ac:dyDescent="0.25">
      <c r="A181" s="9"/>
      <c r="B181" s="10"/>
      <c r="C181" s="9"/>
      <c r="D181" s="1"/>
      <c r="E181" s="1"/>
      <c r="F181" s="5"/>
      <c r="G181" s="1"/>
      <c r="H181" s="1"/>
      <c r="I181" s="1"/>
      <c r="J181" s="5"/>
      <c r="K181" s="1"/>
      <c r="L181" s="1"/>
      <c r="M181" s="1"/>
      <c r="N181" s="5"/>
      <c r="O181" s="36"/>
      <c r="P181" s="1"/>
      <c r="Q181" s="1"/>
      <c r="R181" s="5"/>
      <c r="S181" s="1"/>
      <c r="T181" s="1"/>
      <c r="U181" s="1"/>
      <c r="V181" s="5"/>
      <c r="W181" s="1"/>
      <c r="X181" s="1"/>
      <c r="Y181" s="1"/>
      <c r="Z181" s="5"/>
    </row>
    <row r="182" spans="1:26" s="23" customFormat="1" x14ac:dyDescent="0.25">
      <c r="A182" s="10"/>
      <c r="B182" s="28" t="s">
        <v>9</v>
      </c>
      <c r="C182" s="10"/>
      <c r="D182" s="19">
        <f>SUM(OSRRefD22x_0)</f>
        <v>1350843.6799999997</v>
      </c>
      <c r="E182" s="19"/>
      <c r="F182" s="34">
        <f t="shared" ref="F182:F193" si="13">IF(D$12=0,0,D182/D$12)</f>
        <v>0.32023447953996514</v>
      </c>
      <c r="G182" s="19"/>
      <c r="H182" s="19">
        <f>SUM(OSRRefH22x_0)</f>
        <v>1518855.3128717344</v>
      </c>
      <c r="I182" s="19"/>
      <c r="J182" s="34">
        <f t="shared" ref="J182:J193" si="14">IF(H$12=0,0,H182/H$12)</f>
        <v>0.34212891262699702</v>
      </c>
      <c r="K182" s="4"/>
      <c r="L182" s="19">
        <f t="shared" ref="L182:L193" si="15">+D182-H182</f>
        <v>-168011.63287173468</v>
      </c>
      <c r="M182" s="4"/>
      <c r="N182" s="34">
        <f t="shared" ref="N182:N193" si="16">IF(H182=0,0,L182/H182)</f>
        <v>-0.11061727305286984</v>
      </c>
      <c r="O182" s="10"/>
      <c r="P182" s="19">
        <f>SUM(OSRRefP22x_0)</f>
        <v>2663502.8500000006</v>
      </c>
      <c r="Q182" s="19"/>
      <c r="R182" s="34">
        <f t="shared" ref="R182:R193" si="17">IF(P$12=0,0,P182/P$12)</f>
        <v>0.46522385698293023</v>
      </c>
      <c r="S182" s="19"/>
      <c r="T182" s="19">
        <f>SUM(OSRRefT22x_0)</f>
        <v>2879752.3540733149</v>
      </c>
      <c r="U182" s="19"/>
      <c r="V182" s="34">
        <f t="shared" ref="V182:V193" si="18">IF(T$12=0,0,T182/T$12)</f>
        <v>0.47362333187765143</v>
      </c>
      <c r="W182" s="4"/>
      <c r="X182" s="19">
        <f t="shared" ref="X182:X193" si="19">+P182-T182</f>
        <v>-216249.50407331437</v>
      </c>
      <c r="Y182" s="4"/>
      <c r="Z182" s="34">
        <f t="shared" ref="Z182:Z193" si="20">IF(T182=0,0,X182/T182)</f>
        <v>-7.509309047614339E-2</v>
      </c>
    </row>
    <row r="183" spans="1:26" s="26" customFormat="1" outlineLevel="1" collapsed="1" x14ac:dyDescent="0.25">
      <c r="A183" s="25"/>
      <c r="B183" s="13" t="str">
        <f>CONCATENATE("     ","*Benefits                                         ")</f>
        <v xml:space="preserve">     *Benefits                                         </v>
      </c>
      <c r="C183" s="13"/>
      <c r="D183" s="1">
        <f>SUM(OSRRefD22_0x_0)</f>
        <v>217946.41999999998</v>
      </c>
      <c r="E183" s="1"/>
      <c r="F183" s="5">
        <f t="shared" si="13"/>
        <v>5.166693926887133E-2</v>
      </c>
      <c r="G183" s="1"/>
      <c r="H183" s="1">
        <f>SUM(OSRRefH22_0x_0)</f>
        <v>219345.29484042991</v>
      </c>
      <c r="I183" s="1"/>
      <c r="J183" s="5">
        <f t="shared" si="14"/>
        <v>4.9408502954581136E-2</v>
      </c>
      <c r="K183" s="1"/>
      <c r="L183" s="1">
        <f t="shared" si="15"/>
        <v>-1398.8748404299258</v>
      </c>
      <c r="M183" s="1"/>
      <c r="N183" s="5">
        <f t="shared" si="16"/>
        <v>-6.3775010147702699E-3</v>
      </c>
      <c r="O183" s="13"/>
      <c r="P183" s="1">
        <f>SUM(OSRRefP22_0x_0)</f>
        <v>461782.09</v>
      </c>
      <c r="Q183" s="1"/>
      <c r="R183" s="5">
        <f t="shared" si="17"/>
        <v>8.0657711703007409E-2</v>
      </c>
      <c r="S183" s="1"/>
      <c r="T183" s="1">
        <f>SUM(OSRRefT22_0x_0)</f>
        <v>449499.22697483015</v>
      </c>
      <c r="U183" s="1"/>
      <c r="V183" s="5">
        <f t="shared" si="18"/>
        <v>7.3927649110215043E-2</v>
      </c>
      <c r="W183" s="1"/>
      <c r="X183" s="1">
        <f t="shared" si="19"/>
        <v>12282.863025169878</v>
      </c>
      <c r="Y183" s="1"/>
      <c r="Z183" s="5">
        <f t="shared" si="20"/>
        <v>2.7325659952375538E-2</v>
      </c>
    </row>
    <row r="184" spans="1:26" s="24" customFormat="1" hidden="1" outlineLevel="2" x14ac:dyDescent="0.25">
      <c r="A184" s="27"/>
      <c r="B184" s="11" t="str">
        <f>CONCATENATE("          ", "6111", " - ", "F.I.C.A.")</f>
        <v xml:space="preserve">          6111 - F.I.C.A.</v>
      </c>
      <c r="C184" s="11"/>
      <c r="D184" s="6">
        <v>44247.740000000005</v>
      </c>
      <c r="E184" s="2"/>
      <c r="F184" s="7">
        <f t="shared" si="13"/>
        <v>1.0489483127847704E-2</v>
      </c>
      <c r="G184" s="2"/>
      <c r="H184" s="6">
        <v>41091.064003355772</v>
      </c>
      <c r="I184" s="2"/>
      <c r="J184" s="7">
        <f t="shared" si="14"/>
        <v>9.2559448730990933E-3</v>
      </c>
      <c r="K184" s="2"/>
      <c r="L184" s="6">
        <f t="shared" si="15"/>
        <v>3156.6759966442332</v>
      </c>
      <c r="M184" s="2"/>
      <c r="N184" s="7">
        <f t="shared" si="16"/>
        <v>7.6821471363857544E-2</v>
      </c>
      <c r="O184" s="11"/>
      <c r="P184" s="6">
        <v>82446.599999999991</v>
      </c>
      <c r="Q184" s="2"/>
      <c r="R184" s="7">
        <f t="shared" si="17"/>
        <v>1.4400632327886883E-2</v>
      </c>
      <c r="S184" s="2"/>
      <c r="T184" s="6">
        <v>88593.334991841184</v>
      </c>
      <c r="U184" s="2"/>
      <c r="V184" s="7">
        <f t="shared" si="18"/>
        <v>1.4570652383229375E-2</v>
      </c>
      <c r="W184" s="2"/>
      <c r="X184" s="6">
        <f t="shared" si="19"/>
        <v>-6146.7349918411928</v>
      </c>
      <c r="Y184" s="2"/>
      <c r="Z184" s="7">
        <f t="shared" si="20"/>
        <v>-6.938146072057523E-2</v>
      </c>
    </row>
    <row r="185" spans="1:26" s="24" customFormat="1" hidden="1" outlineLevel="2" x14ac:dyDescent="0.25">
      <c r="A185" s="27"/>
      <c r="B185" s="11" t="str">
        <f>CONCATENATE("          ", "6112", " - ", "COMPENSATION INSURANCE")</f>
        <v xml:space="preserve">          6112 - COMPENSATION INSURANCE</v>
      </c>
      <c r="C185" s="11"/>
      <c r="D185" s="6">
        <v>17070.38</v>
      </c>
      <c r="E185" s="2"/>
      <c r="F185" s="7">
        <f t="shared" si="13"/>
        <v>4.0467482180095264E-3</v>
      </c>
      <c r="G185" s="2"/>
      <c r="H185" s="6">
        <v>20862.10353353692</v>
      </c>
      <c r="I185" s="2"/>
      <c r="J185" s="7">
        <f t="shared" si="14"/>
        <v>4.6992815816970287E-3</v>
      </c>
      <c r="K185" s="2"/>
      <c r="L185" s="6">
        <f t="shared" si="15"/>
        <v>-3791.7235335369187</v>
      </c>
      <c r="M185" s="2"/>
      <c r="N185" s="7">
        <f t="shared" si="16"/>
        <v>-0.18175173598585231</v>
      </c>
      <c r="O185" s="11"/>
      <c r="P185" s="6">
        <v>31910.52</v>
      </c>
      <c r="Q185" s="2"/>
      <c r="R185" s="7">
        <f t="shared" si="17"/>
        <v>5.5736884954829058E-3</v>
      </c>
      <c r="S185" s="2"/>
      <c r="T185" s="6">
        <v>40885.293314658076</v>
      </c>
      <c r="U185" s="2"/>
      <c r="V185" s="7">
        <f t="shared" si="18"/>
        <v>6.7242687785612409E-3</v>
      </c>
      <c r="W185" s="2"/>
      <c r="X185" s="6">
        <f t="shared" si="19"/>
        <v>-8974.7733146580758</v>
      </c>
      <c r="Y185" s="2"/>
      <c r="Z185" s="7">
        <f t="shared" si="20"/>
        <v>-0.21951104142966896</v>
      </c>
    </row>
    <row r="186" spans="1:26" s="24" customFormat="1" hidden="1" outlineLevel="2" x14ac:dyDescent="0.25">
      <c r="A186" s="27"/>
      <c r="B186" s="11" t="str">
        <f>CONCATENATE("          ", "6113", " - ", "GROUP INSURANCE")</f>
        <v xml:space="preserve">          6113 - GROUP INSURANCE</v>
      </c>
      <c r="C186" s="11"/>
      <c r="D186" s="6">
        <v>93812.87</v>
      </c>
      <c r="E186" s="2"/>
      <c r="F186" s="7">
        <f t="shared" si="13"/>
        <v>2.2239520414827282E-2</v>
      </c>
      <c r="G186" s="2"/>
      <c r="H186" s="6">
        <v>92076.965384615381</v>
      </c>
      <c r="I186" s="2"/>
      <c r="J186" s="7">
        <f t="shared" si="14"/>
        <v>2.0740745861743865E-2</v>
      </c>
      <c r="K186" s="2"/>
      <c r="L186" s="6">
        <f t="shared" si="15"/>
        <v>1735.9046153846139</v>
      </c>
      <c r="M186" s="2"/>
      <c r="N186" s="7">
        <f t="shared" si="16"/>
        <v>1.8852756583946417E-2</v>
      </c>
      <c r="O186" s="11"/>
      <c r="P186" s="6">
        <v>186460.92</v>
      </c>
      <c r="Q186" s="2"/>
      <c r="R186" s="7">
        <f t="shared" si="17"/>
        <v>3.2568415828421425E-2</v>
      </c>
      <c r="S186" s="2"/>
      <c r="T186" s="6">
        <v>189752.96923076923</v>
      </c>
      <c r="U186" s="2"/>
      <c r="V186" s="7">
        <f t="shared" si="18"/>
        <v>3.1208042383795334E-2</v>
      </c>
      <c r="W186" s="2"/>
      <c r="X186" s="6">
        <f t="shared" si="19"/>
        <v>-3292.0492307692184</v>
      </c>
      <c r="Y186" s="2"/>
      <c r="Z186" s="7">
        <f t="shared" si="20"/>
        <v>-1.7349131579414562E-2</v>
      </c>
    </row>
    <row r="187" spans="1:26" s="24" customFormat="1" hidden="1" outlineLevel="2" x14ac:dyDescent="0.25">
      <c r="A187" s="27"/>
      <c r="B187" s="11" t="str">
        <f>CONCATENATE("          ", "6114", " - ", "STATE UNEMPLOYMENT INSURANCE")</f>
        <v xml:space="preserve">          6114 - STATE UNEMPLOYMENT INSURANCE</v>
      </c>
      <c r="C187" s="11"/>
      <c r="D187" s="6">
        <v>1537.94</v>
      </c>
      <c r="E187" s="2"/>
      <c r="F187" s="7">
        <f t="shared" si="13"/>
        <v>3.6458801470181518E-4</v>
      </c>
      <c r="G187" s="2"/>
      <c r="H187" s="6">
        <v>1814.0297919299119</v>
      </c>
      <c r="I187" s="2"/>
      <c r="J187" s="7">
        <f t="shared" si="14"/>
        <v>4.0861827649173199E-4</v>
      </c>
      <c r="K187" s="2"/>
      <c r="L187" s="6">
        <f t="shared" si="15"/>
        <v>-276.08979192991183</v>
      </c>
      <c r="M187" s="2"/>
      <c r="N187" s="7">
        <f t="shared" si="16"/>
        <v>-0.15219694470187567</v>
      </c>
      <c r="O187" s="11"/>
      <c r="P187" s="6">
        <v>2861.27</v>
      </c>
      <c r="Q187" s="2"/>
      <c r="R187" s="7">
        <f t="shared" si="17"/>
        <v>4.9976708876791644E-4</v>
      </c>
      <c r="S187" s="2"/>
      <c r="T187" s="6">
        <v>3559.3308468992318</v>
      </c>
      <c r="U187" s="2"/>
      <c r="V187" s="7">
        <f t="shared" si="18"/>
        <v>5.8539135581531297E-4</v>
      </c>
      <c r="W187" s="2"/>
      <c r="X187" s="6">
        <f t="shared" si="19"/>
        <v>-698.06084689923182</v>
      </c>
      <c r="Y187" s="2"/>
      <c r="Z187" s="7">
        <f t="shared" si="20"/>
        <v>-0.19612137138287067</v>
      </c>
    </row>
    <row r="188" spans="1:26" s="24" customFormat="1" hidden="1" outlineLevel="2" x14ac:dyDescent="0.25">
      <c r="A188" s="27"/>
      <c r="B188" s="11" t="str">
        <f>CONCATENATE("          ", "6115", " - ", "P.E.R.S.")</f>
        <v xml:space="preserve">          6115 - P.E.R.S.</v>
      </c>
      <c r="C188" s="11"/>
      <c r="D188" s="6">
        <v>18475.900000000001</v>
      </c>
      <c r="E188" s="2"/>
      <c r="F188" s="7">
        <f t="shared" si="13"/>
        <v>4.3799444066928922E-3</v>
      </c>
      <c r="G188" s="2"/>
      <c r="H188" s="6">
        <v>18291.264090446155</v>
      </c>
      <c r="I188" s="2"/>
      <c r="J188" s="7">
        <f t="shared" si="14"/>
        <v>4.1201885662206323E-3</v>
      </c>
      <c r="K188" s="2"/>
      <c r="L188" s="6">
        <f t="shared" si="15"/>
        <v>184.63590955384643</v>
      </c>
      <c r="M188" s="2"/>
      <c r="N188" s="7">
        <f t="shared" si="16"/>
        <v>1.0094212660254847E-2</v>
      </c>
      <c r="O188" s="11"/>
      <c r="P188" s="6">
        <v>36622.83</v>
      </c>
      <c r="Q188" s="2"/>
      <c r="R188" s="7">
        <f t="shared" si="17"/>
        <v>6.3967696622626719E-3</v>
      </c>
      <c r="S188" s="2"/>
      <c r="T188" s="6">
        <v>41155.344203503846</v>
      </c>
      <c r="U188" s="2"/>
      <c r="V188" s="7">
        <f t="shared" si="18"/>
        <v>6.7686831538358158E-3</v>
      </c>
      <c r="W188" s="2"/>
      <c r="X188" s="6">
        <f t="shared" si="19"/>
        <v>-4532.5142035038443</v>
      </c>
      <c r="Y188" s="2"/>
      <c r="Z188" s="7">
        <f t="shared" si="20"/>
        <v>-0.11013185021832375</v>
      </c>
    </row>
    <row r="189" spans="1:26" s="24" customFormat="1" hidden="1" outlineLevel="2" x14ac:dyDescent="0.25">
      <c r="A189" s="27"/>
      <c r="B189" s="11" t="str">
        <f>CONCATENATE("          ", "6116", " - ", "EDUCATIONAL BENEFITS")</f>
        <v xml:space="preserve">          6116 - EDUCATIONAL BENEFITS</v>
      </c>
      <c r="C189" s="11"/>
      <c r="D189" s="6"/>
      <c r="E189" s="2"/>
      <c r="F189" s="7">
        <f t="shared" si="13"/>
        <v>0</v>
      </c>
      <c r="G189" s="2"/>
      <c r="H189" s="6">
        <v>8000</v>
      </c>
      <c r="I189" s="2"/>
      <c r="J189" s="7">
        <f t="shared" si="14"/>
        <v>1.8020355710123624E-3</v>
      </c>
      <c r="K189" s="2"/>
      <c r="L189" s="6">
        <f t="shared" si="15"/>
        <v>-8000</v>
      </c>
      <c r="M189" s="2"/>
      <c r="N189" s="7">
        <f t="shared" si="16"/>
        <v>-1</v>
      </c>
      <c r="O189" s="11"/>
      <c r="P189" s="6"/>
      <c r="Q189" s="2"/>
      <c r="R189" s="7">
        <f t="shared" si="17"/>
        <v>0</v>
      </c>
      <c r="S189" s="2"/>
      <c r="T189" s="6">
        <v>8000</v>
      </c>
      <c r="U189" s="2"/>
      <c r="V189" s="7">
        <f t="shared" si="18"/>
        <v>1.315733503841681E-3</v>
      </c>
      <c r="W189" s="2"/>
      <c r="X189" s="6">
        <f t="shared" si="19"/>
        <v>-8000</v>
      </c>
      <c r="Y189" s="2"/>
      <c r="Z189" s="7">
        <f t="shared" si="20"/>
        <v>-1</v>
      </c>
    </row>
    <row r="190" spans="1:26" s="24" customFormat="1" hidden="1" outlineLevel="2" x14ac:dyDescent="0.25">
      <c r="A190" s="27"/>
      <c r="B190" s="11" t="str">
        <f>CONCATENATE("          ", "6117", " - ", "RETIREMENT STAFF HOURLY")</f>
        <v xml:space="preserve">          6117 - RETIREMENT STAFF HOURLY</v>
      </c>
      <c r="C190" s="11"/>
      <c r="D190" s="6">
        <v>1426.59</v>
      </c>
      <c r="E190" s="2"/>
      <c r="F190" s="7">
        <f t="shared" si="13"/>
        <v>3.381910971126718E-4</v>
      </c>
      <c r="G190" s="2"/>
      <c r="H190" s="6"/>
      <c r="I190" s="2"/>
      <c r="J190" s="7">
        <f t="shared" si="14"/>
        <v>0</v>
      </c>
      <c r="K190" s="2"/>
      <c r="L190" s="6">
        <f t="shared" si="15"/>
        <v>1426.59</v>
      </c>
      <c r="M190" s="2"/>
      <c r="N190" s="7">
        <f t="shared" si="16"/>
        <v>0</v>
      </c>
      <c r="O190" s="11"/>
      <c r="P190" s="6">
        <v>3225.66</v>
      </c>
      <c r="Q190" s="2"/>
      <c r="R190" s="7">
        <f t="shared" si="17"/>
        <v>5.6341369655961069E-4</v>
      </c>
      <c r="S190" s="2"/>
      <c r="T190" s="6"/>
      <c r="U190" s="2"/>
      <c r="V190" s="7">
        <f t="shared" si="18"/>
        <v>0</v>
      </c>
      <c r="W190" s="2"/>
      <c r="X190" s="6">
        <f t="shared" si="19"/>
        <v>3225.66</v>
      </c>
      <c r="Y190" s="2"/>
      <c r="Z190" s="7">
        <f t="shared" si="20"/>
        <v>0</v>
      </c>
    </row>
    <row r="191" spans="1:26" s="24" customFormat="1" hidden="1" outlineLevel="2" x14ac:dyDescent="0.25">
      <c r="A191" s="27"/>
      <c r="B191" s="11" t="str">
        <f>CONCATENATE("          ", "6118", " - ", "VACATION")</f>
        <v xml:space="preserve">          6118 - VACATION</v>
      </c>
      <c r="C191" s="11"/>
      <c r="D191" s="6">
        <v>19508.900000000001</v>
      </c>
      <c r="E191" s="2"/>
      <c r="F191" s="7">
        <f t="shared" si="13"/>
        <v>4.6248300453959465E-3</v>
      </c>
      <c r="G191" s="2"/>
      <c r="H191" s="6">
        <v>14058.588103861533</v>
      </c>
      <c r="I191" s="2"/>
      <c r="J191" s="7">
        <f t="shared" si="14"/>
        <v>3.1667594801712156E-3</v>
      </c>
      <c r="K191" s="2"/>
      <c r="L191" s="6">
        <f t="shared" si="15"/>
        <v>5450.311896138468</v>
      </c>
      <c r="M191" s="2"/>
      <c r="N191" s="7">
        <f t="shared" si="16"/>
        <v>0.38768558093265476</v>
      </c>
      <c r="O191" s="11"/>
      <c r="P191" s="6">
        <v>48828.72</v>
      </c>
      <c r="Q191" s="2"/>
      <c r="R191" s="7">
        <f t="shared" si="17"/>
        <v>8.5287257905278906E-3</v>
      </c>
      <c r="S191" s="2"/>
      <c r="T191" s="6">
        <v>31351.020913688444</v>
      </c>
      <c r="U191" s="2"/>
      <c r="V191" s="7">
        <f t="shared" si="18"/>
        <v>5.1561985744726395E-3</v>
      </c>
      <c r="W191" s="2"/>
      <c r="X191" s="6">
        <f t="shared" si="19"/>
        <v>17477.699086311557</v>
      </c>
      <c r="Y191" s="2"/>
      <c r="Z191" s="7">
        <f t="shared" si="20"/>
        <v>0.5574842087097861</v>
      </c>
    </row>
    <row r="192" spans="1:26" s="24" customFormat="1" hidden="1" outlineLevel="2" x14ac:dyDescent="0.25">
      <c r="A192" s="27"/>
      <c r="B192" s="11" t="str">
        <f>CONCATENATE("          ", "6119", " - ", "SICK LEAVE")</f>
        <v xml:space="preserve">          6119 - SICK LEAVE</v>
      </c>
      <c r="C192" s="11"/>
      <c r="D192" s="6">
        <v>13305.16</v>
      </c>
      <c r="E192" s="2"/>
      <c r="F192" s="7">
        <f t="shared" si="13"/>
        <v>3.1541554740041893E-3</v>
      </c>
      <c r="G192" s="2"/>
      <c r="H192" s="6">
        <v>18226.27993268428</v>
      </c>
      <c r="I192" s="2"/>
      <c r="J192" s="7">
        <f t="shared" si="14"/>
        <v>4.1055505957407349E-3</v>
      </c>
      <c r="K192" s="2"/>
      <c r="L192" s="6">
        <f t="shared" si="15"/>
        <v>-4921.1199326842798</v>
      </c>
      <c r="M192" s="2"/>
      <c r="N192" s="7">
        <f t="shared" si="16"/>
        <v>-0.27000133603015064</v>
      </c>
      <c r="O192" s="11"/>
      <c r="P192" s="6">
        <v>53115.96</v>
      </c>
      <c r="Q192" s="2"/>
      <c r="R192" s="7">
        <f t="shared" si="17"/>
        <v>9.2775616059697624E-3</v>
      </c>
      <c r="S192" s="2"/>
      <c r="T192" s="6">
        <v>36226.933473470111</v>
      </c>
      <c r="U192" s="2"/>
      <c r="V192" s="7">
        <f t="shared" si="18"/>
        <v>5.9581237640610385E-3</v>
      </c>
      <c r="W192" s="2"/>
      <c r="X192" s="6">
        <f t="shared" si="19"/>
        <v>16889.026526529888</v>
      </c>
      <c r="Y192" s="2"/>
      <c r="Z192" s="7">
        <f t="shared" si="20"/>
        <v>0.46620083201075091</v>
      </c>
    </row>
    <row r="193" spans="1:26" s="24" customFormat="1" hidden="1" outlineLevel="2" x14ac:dyDescent="0.25">
      <c r="A193" s="27"/>
      <c r="B193" s="11" t="str">
        <f>CONCATENATE("          ", "6156", " - ", "EMPLOYEE MEALS")</f>
        <v xml:space="preserve">          6156 - EMPLOYEE MEALS</v>
      </c>
      <c r="C193" s="11"/>
      <c r="D193" s="6">
        <v>8560.94</v>
      </c>
      <c r="E193" s="2"/>
      <c r="F193" s="7">
        <f t="shared" si="13"/>
        <v>2.0294784702793072E-3</v>
      </c>
      <c r="G193" s="2"/>
      <c r="H193" s="6">
        <v>4925</v>
      </c>
      <c r="I193" s="2"/>
      <c r="J193" s="7">
        <f t="shared" si="14"/>
        <v>1.1093781484044856E-3</v>
      </c>
      <c r="K193" s="2"/>
      <c r="L193" s="6">
        <f t="shared" si="15"/>
        <v>3635.9400000000005</v>
      </c>
      <c r="M193" s="2"/>
      <c r="N193" s="7">
        <f t="shared" si="16"/>
        <v>0.73826192893401021</v>
      </c>
      <c r="O193" s="11"/>
      <c r="P193" s="6">
        <v>16309.609999999999</v>
      </c>
      <c r="Q193" s="2"/>
      <c r="R193" s="7">
        <f t="shared" si="17"/>
        <v>2.8487372071283375E-3</v>
      </c>
      <c r="S193" s="2"/>
      <c r="T193" s="6">
        <v>9975</v>
      </c>
      <c r="U193" s="2"/>
      <c r="V193" s="7">
        <f t="shared" si="18"/>
        <v>1.640555212602596E-3</v>
      </c>
      <c r="W193" s="2"/>
      <c r="X193" s="6">
        <f t="shared" si="19"/>
        <v>6334.6099999999988</v>
      </c>
      <c r="Y193" s="2"/>
      <c r="Z193" s="7">
        <f t="shared" si="20"/>
        <v>0.63504862155388464</v>
      </c>
    </row>
    <row r="194" spans="1:26" s="26" customFormat="1" outlineLevel="1" collapsed="1" x14ac:dyDescent="0.25">
      <c r="A194" s="25"/>
      <c r="B194" s="13" t="str">
        <f>CONCATENATE("     ","*Payroll                                          ")</f>
        <v xml:space="preserve">     *Payroll                                          </v>
      </c>
      <c r="C194" s="13"/>
      <c r="D194" s="1">
        <f>SUM(OSRRefD22_1x_0)</f>
        <v>671078.84</v>
      </c>
      <c r="E194" s="1"/>
      <c r="F194" s="5">
        <f t="shared" ref="F194:F204" si="21">IF(D$12=0,0,D194/D$12)</f>
        <v>0.15908767701210519</v>
      </c>
      <c r="G194" s="1"/>
      <c r="H194" s="1">
        <f>SUM(OSRRefH22_1x_0)</f>
        <v>666216.08803130465</v>
      </c>
      <c r="I194" s="1"/>
      <c r="J194" s="5">
        <f t="shared" ref="J194:J204" si="22">IF(H$12=0,0,H194/H$12)</f>
        <v>0.1500681360766393</v>
      </c>
      <c r="K194" s="1"/>
      <c r="L194" s="1">
        <f t="shared" ref="L194:L204" si="23">+D194-H194</f>
        <v>4862.7519686953165</v>
      </c>
      <c r="M194" s="1"/>
      <c r="N194" s="5">
        <f t="shared" ref="N194:N204" si="24">IF(H194=0,0,L194/H194)</f>
        <v>7.2990611545646457E-3</v>
      </c>
      <c r="O194" s="13"/>
      <c r="P194" s="1">
        <f>SUM(OSRRefP22_1x_0)</f>
        <v>1270655.74</v>
      </c>
      <c r="Q194" s="1"/>
      <c r="R194" s="5">
        <f t="shared" ref="R194:R204" si="25">IF(P$12=0,0,P194/P$12)</f>
        <v>0.22194057883598634</v>
      </c>
      <c r="S194" s="1"/>
      <c r="T194" s="1">
        <f>SUM(OSRRefT22_1x_0)</f>
        <v>1300539.7970984853</v>
      </c>
      <c r="U194" s="1"/>
      <c r="V194" s="5">
        <f t="shared" ref="V194:V204" si="26">IF(T$12=0,0,T194/T$12)</f>
        <v>0.21389547301524237</v>
      </c>
      <c r="W194" s="1"/>
      <c r="X194" s="1">
        <f t="shared" ref="X194:X204" si="27">+P194-T194</f>
        <v>-29884.057098485297</v>
      </c>
      <c r="Y194" s="1"/>
      <c r="Z194" s="5">
        <f t="shared" ref="Z194:Z204" si="28">IF(T194=0,0,X194/T194)</f>
        <v>-2.2978195027293181E-2</v>
      </c>
    </row>
    <row r="195" spans="1:26" s="24" customFormat="1" hidden="1" outlineLevel="2" x14ac:dyDescent="0.25">
      <c r="A195" s="27"/>
      <c r="B195" s="11" t="str">
        <f>CONCATENATE("          ", "6001", " - ", "ADMINISTRATIVE SALARIES")</f>
        <v xml:space="preserve">          6001 - ADMINISTRATIVE SALARIES</v>
      </c>
      <c r="C195" s="11"/>
      <c r="D195" s="6">
        <v>30531.79</v>
      </c>
      <c r="E195" s="2"/>
      <c r="F195" s="7">
        <f t="shared" si="21"/>
        <v>7.2379447191650735E-3</v>
      </c>
      <c r="G195" s="2"/>
      <c r="H195" s="6">
        <v>60667.695831076926</v>
      </c>
      <c r="I195" s="2"/>
      <c r="J195" s="7">
        <f t="shared" si="22"/>
        <v>1.366566823736988E-2</v>
      </c>
      <c r="K195" s="2"/>
      <c r="L195" s="6">
        <f t="shared" si="23"/>
        <v>-30135.905831076925</v>
      </c>
      <c r="M195" s="2"/>
      <c r="N195" s="7">
        <f t="shared" si="24"/>
        <v>-0.49673727373769577</v>
      </c>
      <c r="O195" s="11"/>
      <c r="P195" s="6">
        <v>71556.26999999999</v>
      </c>
      <c r="Q195" s="2"/>
      <c r="R195" s="7">
        <f t="shared" si="25"/>
        <v>1.2498460033827983E-2</v>
      </c>
      <c r="S195" s="2"/>
      <c r="T195" s="6">
        <v>136502.31561992309</v>
      </c>
      <c r="U195" s="2"/>
      <c r="V195" s="7">
        <f t="shared" si="26"/>
        <v>2.2450083751638053E-2</v>
      </c>
      <c r="W195" s="2"/>
      <c r="X195" s="6">
        <f t="shared" si="27"/>
        <v>-64946.045619923098</v>
      </c>
      <c r="Y195" s="2"/>
      <c r="Z195" s="7">
        <f t="shared" si="28"/>
        <v>-0.47578713463556765</v>
      </c>
    </row>
    <row r="196" spans="1:26" s="24" customFormat="1" hidden="1" outlineLevel="2" x14ac:dyDescent="0.25">
      <c r="A196" s="27"/>
      <c r="B196" s="11" t="str">
        <f>CONCATENATE("          ", "6002", " - ", "STAFF SALARIES")</f>
        <v xml:space="preserve">          6002 - STAFF SALARIES</v>
      </c>
      <c r="C196" s="11"/>
      <c r="D196" s="6">
        <v>167975.15</v>
      </c>
      <c r="E196" s="2"/>
      <c r="F196" s="7">
        <f t="shared" si="21"/>
        <v>3.9820621388181335E-2</v>
      </c>
      <c r="G196" s="2"/>
      <c r="H196" s="6">
        <v>134334.30362810774</v>
      </c>
      <c r="I196" s="2"/>
      <c r="J196" s="7">
        <f t="shared" si="22"/>
        <v>3.0259399193128152E-2</v>
      </c>
      <c r="K196" s="2"/>
      <c r="L196" s="6">
        <f t="shared" si="23"/>
        <v>33640.846371892258</v>
      </c>
      <c r="M196" s="2"/>
      <c r="N196" s="7">
        <f t="shared" si="24"/>
        <v>0.25042632792457742</v>
      </c>
      <c r="O196" s="11"/>
      <c r="P196" s="6">
        <v>364503.64999999997</v>
      </c>
      <c r="Q196" s="2"/>
      <c r="R196" s="7">
        <f t="shared" si="25"/>
        <v>6.3666458602571432E-2</v>
      </c>
      <c r="S196" s="2"/>
      <c r="T196" s="6">
        <v>302252.18316324224</v>
      </c>
      <c r="U196" s="2"/>
      <c r="V196" s="7">
        <f t="shared" si="26"/>
        <v>4.9710415499646277E-2</v>
      </c>
      <c r="W196" s="2"/>
      <c r="X196" s="6">
        <f t="shared" si="27"/>
        <v>62251.466836757725</v>
      </c>
      <c r="Y196" s="2"/>
      <c r="Z196" s="7">
        <f t="shared" si="28"/>
        <v>0.20595870039799372</v>
      </c>
    </row>
    <row r="197" spans="1:26" s="24" customFormat="1" hidden="1" outlineLevel="2" x14ac:dyDescent="0.25">
      <c r="A197" s="27"/>
      <c r="B197" s="11" t="str">
        <f>CONCATENATE("          ", "6003", " - ", "STAFF HOURLY-9 MONTH")</f>
        <v xml:space="preserve">          6003 - STAFF HOURLY-9 MONTH</v>
      </c>
      <c r="C197" s="11"/>
      <c r="D197" s="6"/>
      <c r="E197" s="2"/>
      <c r="F197" s="7">
        <f t="shared" si="21"/>
        <v>0</v>
      </c>
      <c r="G197" s="2"/>
      <c r="H197" s="6">
        <v>0</v>
      </c>
      <c r="I197" s="2"/>
      <c r="J197" s="7">
        <f t="shared" si="22"/>
        <v>0</v>
      </c>
      <c r="K197" s="2"/>
      <c r="L197" s="6">
        <f t="shared" si="23"/>
        <v>0</v>
      </c>
      <c r="M197" s="2"/>
      <c r="N197" s="7">
        <f t="shared" si="24"/>
        <v>0</v>
      </c>
      <c r="O197" s="11"/>
      <c r="P197" s="6"/>
      <c r="Q197" s="2"/>
      <c r="R197" s="7">
        <f t="shared" si="25"/>
        <v>0</v>
      </c>
      <c r="S197" s="2"/>
      <c r="T197" s="6">
        <v>0</v>
      </c>
      <c r="U197" s="2"/>
      <c r="V197" s="7">
        <f t="shared" si="26"/>
        <v>0</v>
      </c>
      <c r="W197" s="2"/>
      <c r="X197" s="6">
        <f t="shared" si="27"/>
        <v>0</v>
      </c>
      <c r="Y197" s="2"/>
      <c r="Z197" s="7">
        <f t="shared" si="28"/>
        <v>0</v>
      </c>
    </row>
    <row r="198" spans="1:26" s="24" customFormat="1" hidden="1" outlineLevel="2" x14ac:dyDescent="0.25">
      <c r="A198" s="27"/>
      <c r="B198" s="11" t="str">
        <f>CONCATENATE("          ", "6004", " - ", "STAFF HOURLY")</f>
        <v xml:space="preserve">          6004 - STAFF HOURLY</v>
      </c>
      <c r="C198" s="11"/>
      <c r="D198" s="6">
        <v>58430.729999999996</v>
      </c>
      <c r="E198" s="2"/>
      <c r="F198" s="7">
        <f t="shared" si="21"/>
        <v>1.3851739240983258E-2</v>
      </c>
      <c r="G198" s="2"/>
      <c r="H198" s="6">
        <v>160555.61732200001</v>
      </c>
      <c r="I198" s="2"/>
      <c r="J198" s="7">
        <f t="shared" si="22"/>
        <v>3.6165866692511581E-2</v>
      </c>
      <c r="K198" s="2"/>
      <c r="L198" s="6">
        <f t="shared" si="23"/>
        <v>-102124.88732200001</v>
      </c>
      <c r="M198" s="2"/>
      <c r="N198" s="7">
        <f t="shared" si="24"/>
        <v>-0.63607171785951855</v>
      </c>
      <c r="O198" s="11"/>
      <c r="P198" s="6">
        <v>121519.16</v>
      </c>
      <c r="Q198" s="2"/>
      <c r="R198" s="7">
        <f t="shared" si="25"/>
        <v>2.1225286960937853E-2</v>
      </c>
      <c r="S198" s="2"/>
      <c r="T198" s="6">
        <v>320791.62330199999</v>
      </c>
      <c r="U198" s="2"/>
      <c r="V198" s="7">
        <f t="shared" si="26"/>
        <v>5.2759535816275134E-2</v>
      </c>
      <c r="W198" s="2"/>
      <c r="X198" s="6">
        <f t="shared" si="27"/>
        <v>-199272.46330199999</v>
      </c>
      <c r="Y198" s="2"/>
      <c r="Z198" s="7">
        <f t="shared" si="28"/>
        <v>-0.62118973447882297</v>
      </c>
    </row>
    <row r="199" spans="1:26" s="24" customFormat="1" hidden="1" outlineLevel="2" x14ac:dyDescent="0.25">
      <c r="A199" s="27"/>
      <c r="B199" s="11" t="str">
        <f>CONCATENATE("          ", "6005", " - ", "TEMPORARY WAGES-HOURLY")</f>
        <v xml:space="preserve">          6005 - TEMPORARY WAGES-HOURLY</v>
      </c>
      <c r="C199" s="11"/>
      <c r="D199" s="6">
        <v>99663.5</v>
      </c>
      <c r="E199" s="2"/>
      <c r="F199" s="7">
        <f t="shared" si="21"/>
        <v>2.362648582079558E-2</v>
      </c>
      <c r="G199" s="2"/>
      <c r="H199" s="6">
        <v>43516.671303999996</v>
      </c>
      <c r="I199" s="2"/>
      <c r="J199" s="7">
        <f t="shared" si="22"/>
        <v>9.8023237027326151E-3</v>
      </c>
      <c r="K199" s="2"/>
      <c r="L199" s="6">
        <f t="shared" si="23"/>
        <v>56146.828696000004</v>
      </c>
      <c r="M199" s="2"/>
      <c r="N199" s="7">
        <f t="shared" si="24"/>
        <v>1.2902372128549975</v>
      </c>
      <c r="O199" s="11"/>
      <c r="P199" s="6">
        <v>189787.44</v>
      </c>
      <c r="Q199" s="2"/>
      <c r="R199" s="7">
        <f t="shared" si="25"/>
        <v>3.3149446355469993E-2</v>
      </c>
      <c r="S199" s="2"/>
      <c r="T199" s="6">
        <v>81958.853703999994</v>
      </c>
      <c r="U199" s="2"/>
      <c r="V199" s="7">
        <f t="shared" si="26"/>
        <v>1.3479501219351455E-2</v>
      </c>
      <c r="W199" s="2"/>
      <c r="X199" s="6">
        <f t="shared" si="27"/>
        <v>107828.58629600001</v>
      </c>
      <c r="Y199" s="2"/>
      <c r="Z199" s="7">
        <f t="shared" si="28"/>
        <v>1.3156429284068605</v>
      </c>
    </row>
    <row r="200" spans="1:26" s="24" customFormat="1" hidden="1" outlineLevel="2" x14ac:dyDescent="0.25">
      <c r="A200" s="27"/>
      <c r="B200" s="11" t="str">
        <f>CONCATENATE("          ", "6006", " - ", "TEMPORARY PART TIME")</f>
        <v xml:space="preserve">          6006 - TEMPORARY PART TIME</v>
      </c>
      <c r="C200" s="11"/>
      <c r="D200" s="6">
        <v>14144.13</v>
      </c>
      <c r="E200" s="2"/>
      <c r="F200" s="7">
        <f t="shared" si="21"/>
        <v>3.3530438615189048E-3</v>
      </c>
      <c r="G200" s="2"/>
      <c r="H200" s="6">
        <v>0</v>
      </c>
      <c r="I200" s="2"/>
      <c r="J200" s="7">
        <f t="shared" si="22"/>
        <v>0</v>
      </c>
      <c r="K200" s="2"/>
      <c r="L200" s="6">
        <f t="shared" si="23"/>
        <v>14144.13</v>
      </c>
      <c r="M200" s="2"/>
      <c r="N200" s="7">
        <f t="shared" si="24"/>
        <v>0</v>
      </c>
      <c r="O200" s="11"/>
      <c r="P200" s="6">
        <v>28085.969999999998</v>
      </c>
      <c r="Q200" s="2"/>
      <c r="R200" s="7">
        <f t="shared" si="25"/>
        <v>4.9056689729116924E-3</v>
      </c>
      <c r="S200" s="2"/>
      <c r="T200" s="6">
        <v>0</v>
      </c>
      <c r="U200" s="2"/>
      <c r="V200" s="7">
        <f t="shared" si="26"/>
        <v>0</v>
      </c>
      <c r="W200" s="2"/>
      <c r="X200" s="6">
        <f t="shared" si="27"/>
        <v>28085.969999999998</v>
      </c>
      <c r="Y200" s="2"/>
      <c r="Z200" s="7">
        <f t="shared" si="28"/>
        <v>0</v>
      </c>
    </row>
    <row r="201" spans="1:26" s="24" customFormat="1" hidden="1" outlineLevel="2" x14ac:dyDescent="0.25">
      <c r="A201" s="27"/>
      <c r="B201" s="11" t="str">
        <f>CONCATENATE("          ", "6007", " - ", "STUDENT HOURLY")</f>
        <v xml:space="preserve">          6007 - STUDENT HOURLY</v>
      </c>
      <c r="C201" s="11"/>
      <c r="D201" s="6">
        <v>283289.17</v>
      </c>
      <c r="E201" s="2"/>
      <c r="F201" s="7">
        <f t="shared" si="21"/>
        <v>6.7157259760995236E-2</v>
      </c>
      <c r="G201" s="2"/>
      <c r="H201" s="6">
        <v>154409.10875000001</v>
      </c>
      <c r="I201" s="2"/>
      <c r="J201" s="7">
        <f t="shared" si="22"/>
        <v>3.4781338306977029E-2</v>
      </c>
      <c r="K201" s="2"/>
      <c r="L201" s="6">
        <f t="shared" si="23"/>
        <v>128880.06124999997</v>
      </c>
      <c r="M201" s="2"/>
      <c r="N201" s="7">
        <f t="shared" si="24"/>
        <v>0.83466618189388364</v>
      </c>
      <c r="O201" s="11"/>
      <c r="P201" s="6">
        <v>465566.55</v>
      </c>
      <c r="Q201" s="2"/>
      <c r="R201" s="7">
        <f t="shared" si="25"/>
        <v>8.1318728858591677E-2</v>
      </c>
      <c r="S201" s="2"/>
      <c r="T201" s="6">
        <v>335030.1326132</v>
      </c>
      <c r="U201" s="2"/>
      <c r="V201" s="7">
        <f t="shared" si="26"/>
        <v>5.5101296284463579E-2</v>
      </c>
      <c r="W201" s="2"/>
      <c r="X201" s="6">
        <f t="shared" si="27"/>
        <v>130536.41738679999</v>
      </c>
      <c r="Y201" s="2"/>
      <c r="Z201" s="7">
        <f t="shared" si="28"/>
        <v>0.38962590131409847</v>
      </c>
    </row>
    <row r="202" spans="1:26" s="24" customFormat="1" hidden="1" outlineLevel="2" x14ac:dyDescent="0.25">
      <c r="A202" s="27"/>
      <c r="B202" s="11" t="str">
        <f>CONCATENATE("          ", "6008", " - ", "STUDENT HOURLY-FICA EXEMPT")</f>
        <v xml:space="preserve">          6008 - STUDENT HOURLY-FICA EXEMPT</v>
      </c>
      <c r="C202" s="11"/>
      <c r="D202" s="6">
        <v>17044.37</v>
      </c>
      <c r="E202" s="2"/>
      <c r="F202" s="7">
        <f t="shared" si="21"/>
        <v>4.0405822204658028E-3</v>
      </c>
      <c r="G202" s="2"/>
      <c r="H202" s="6">
        <v>112732.69119611999</v>
      </c>
      <c r="I202" s="2"/>
      <c r="J202" s="7">
        <f t="shared" si="22"/>
        <v>2.5393539943920053E-2</v>
      </c>
      <c r="K202" s="2"/>
      <c r="L202" s="6">
        <f t="shared" si="23"/>
        <v>-95688.32119612</v>
      </c>
      <c r="M202" s="2"/>
      <c r="N202" s="7">
        <f t="shared" si="24"/>
        <v>-0.84880721094160638</v>
      </c>
      <c r="O202" s="11"/>
      <c r="P202" s="6">
        <v>29636.700000000004</v>
      </c>
      <c r="Q202" s="2"/>
      <c r="R202" s="7">
        <f t="shared" si="25"/>
        <v>5.1765290516756941E-3</v>
      </c>
      <c r="S202" s="2"/>
      <c r="T202" s="6">
        <v>124004.68869611999</v>
      </c>
      <c r="U202" s="2"/>
      <c r="V202" s="7">
        <f t="shared" si="26"/>
        <v>2.0394640443867854E-2</v>
      </c>
      <c r="W202" s="2"/>
      <c r="X202" s="6">
        <f t="shared" si="27"/>
        <v>-94367.988696119981</v>
      </c>
      <c r="Y202" s="2"/>
      <c r="Z202" s="7">
        <f t="shared" si="28"/>
        <v>-0.76100339179410947</v>
      </c>
    </row>
    <row r="203" spans="1:26" s="24" customFormat="1" hidden="1" outlineLevel="2" x14ac:dyDescent="0.25">
      <c r="A203" s="27"/>
      <c r="B203" s="11" t="str">
        <f>CONCATENATE("          ", "6009", " - ", "TEMPORARY-SEASONAL")</f>
        <v xml:space="preserve">          6009 - TEMPORARY-SEASONAL</v>
      </c>
      <c r="C203" s="11"/>
      <c r="D203" s="6"/>
      <c r="E203" s="2"/>
      <c r="F203" s="7">
        <f t="shared" si="21"/>
        <v>0</v>
      </c>
      <c r="G203" s="2"/>
      <c r="H203" s="6">
        <v>0</v>
      </c>
      <c r="I203" s="2"/>
      <c r="J203" s="7">
        <f t="shared" si="22"/>
        <v>0</v>
      </c>
      <c r="K203" s="2"/>
      <c r="L203" s="6">
        <f t="shared" si="23"/>
        <v>0</v>
      </c>
      <c r="M203" s="2"/>
      <c r="N203" s="7">
        <f t="shared" si="24"/>
        <v>0</v>
      </c>
      <c r="O203" s="11"/>
      <c r="P203" s="6"/>
      <c r="Q203" s="2"/>
      <c r="R203" s="7">
        <f t="shared" si="25"/>
        <v>0</v>
      </c>
      <c r="S203" s="2"/>
      <c r="T203" s="6">
        <v>0</v>
      </c>
      <c r="U203" s="2"/>
      <c r="V203" s="7">
        <f t="shared" si="26"/>
        <v>0</v>
      </c>
      <c r="W203" s="2"/>
      <c r="X203" s="6">
        <f t="shared" si="27"/>
        <v>0</v>
      </c>
      <c r="Y203" s="2"/>
      <c r="Z203" s="7">
        <f t="shared" si="28"/>
        <v>0</v>
      </c>
    </row>
    <row r="204" spans="1:26" s="24" customFormat="1" hidden="1" outlineLevel="2" x14ac:dyDescent="0.25">
      <c r="A204" s="27"/>
      <c r="B204" s="11" t="str">
        <f>CONCATENATE("          ", "6010", " - ", "GRATUITY")</f>
        <v xml:space="preserve">          6010 - GRATUITY</v>
      </c>
      <c r="C204" s="11"/>
      <c r="D204" s="6"/>
      <c r="E204" s="2"/>
      <c r="F204" s="7">
        <f t="shared" si="21"/>
        <v>0</v>
      </c>
      <c r="G204" s="2"/>
      <c r="H204" s="6">
        <v>0</v>
      </c>
      <c r="I204" s="2"/>
      <c r="J204" s="7">
        <f t="shared" si="22"/>
        <v>0</v>
      </c>
      <c r="K204" s="2"/>
      <c r="L204" s="6">
        <f t="shared" si="23"/>
        <v>0</v>
      </c>
      <c r="M204" s="2"/>
      <c r="N204" s="7">
        <f t="shared" si="24"/>
        <v>0</v>
      </c>
      <c r="O204" s="11"/>
      <c r="P204" s="6"/>
      <c r="Q204" s="2"/>
      <c r="R204" s="7">
        <f t="shared" si="25"/>
        <v>0</v>
      </c>
      <c r="S204" s="2"/>
      <c r="T204" s="6">
        <v>0</v>
      </c>
      <c r="U204" s="2"/>
      <c r="V204" s="7">
        <f t="shared" si="26"/>
        <v>0</v>
      </c>
      <c r="W204" s="2"/>
      <c r="X204" s="6">
        <f t="shared" si="27"/>
        <v>0</v>
      </c>
      <c r="Y204" s="2"/>
      <c r="Z204" s="7">
        <f t="shared" si="28"/>
        <v>0</v>
      </c>
    </row>
    <row r="205" spans="1:26" s="26" customFormat="1" outlineLevel="1" collapsed="1" x14ac:dyDescent="0.25">
      <c r="A205" s="25"/>
      <c r="B205" s="13" t="str">
        <f>CONCATENATE("     ","Advertising/Promo                                 ")</f>
        <v xml:space="preserve">     Advertising/Promo                                 </v>
      </c>
      <c r="C205" s="13"/>
      <c r="D205" s="1">
        <f>SUM(OSRRefD22_2x_0)</f>
        <v>15283.52</v>
      </c>
      <c r="E205" s="1"/>
      <c r="F205" s="5">
        <f t="shared" ref="F205:F209" si="29">IF(D$12=0,0,D205/D$12)</f>
        <v>3.62315058744521E-3</v>
      </c>
      <c r="G205" s="1"/>
      <c r="H205" s="1">
        <f>SUM(OSRRefH22_2x_0)</f>
        <v>10945</v>
      </c>
      <c r="I205" s="1"/>
      <c r="J205" s="5">
        <f t="shared" ref="J205:J209" si="30">IF(H$12=0,0,H205/H$12)</f>
        <v>2.4654099155912886E-3</v>
      </c>
      <c r="K205" s="1"/>
      <c r="L205" s="1">
        <f t="shared" ref="L205:L209" si="31">+D205-H205</f>
        <v>4338.5200000000004</v>
      </c>
      <c r="M205" s="1"/>
      <c r="N205" s="5">
        <f t="shared" ref="N205:N209" si="32">IF(H205=0,0,L205/H205)</f>
        <v>0.39639287345820012</v>
      </c>
      <c r="O205" s="13"/>
      <c r="P205" s="1">
        <f>SUM(OSRRefP22_2x_0)</f>
        <v>20491.41</v>
      </c>
      <c r="Q205" s="1"/>
      <c r="R205" s="5">
        <f t="shared" ref="R205:R209" si="33">IF(P$12=0,0,P205/P$12)</f>
        <v>3.579156220996191E-3</v>
      </c>
      <c r="S205" s="1"/>
      <c r="T205" s="1">
        <f>SUM(OSRRefT22_2x_0)</f>
        <v>21665</v>
      </c>
      <c r="U205" s="1"/>
      <c r="V205" s="5">
        <f t="shared" ref="V205:V209" si="34">IF(T$12=0,0,T205/T$12)</f>
        <v>3.5631707950912524E-3</v>
      </c>
      <c r="W205" s="1"/>
      <c r="X205" s="1">
        <f t="shared" ref="X205:X209" si="35">+P205-T205</f>
        <v>-1173.5900000000001</v>
      </c>
      <c r="Y205" s="1"/>
      <c r="Z205" s="5">
        <f t="shared" ref="Z205:Z209" si="36">IF(T205=0,0,X205/T205)</f>
        <v>-5.4169859219940004E-2</v>
      </c>
    </row>
    <row r="206" spans="1:26" s="24" customFormat="1" hidden="1" outlineLevel="2" x14ac:dyDescent="0.25">
      <c r="A206" s="27"/>
      <c r="B206" s="11" t="str">
        <f>CONCATENATE("          ", "6362", " - ", "ADVERTISING EXPENSE")</f>
        <v xml:space="preserve">          6362 - ADVERTISING EXPENSE</v>
      </c>
      <c r="C206" s="11"/>
      <c r="D206" s="6">
        <v>15283.52</v>
      </c>
      <c r="E206" s="2"/>
      <c r="F206" s="7">
        <f t="shared" si="29"/>
        <v>3.62315058744521E-3</v>
      </c>
      <c r="G206" s="2"/>
      <c r="H206" s="6">
        <v>10945</v>
      </c>
      <c r="I206" s="2"/>
      <c r="J206" s="7">
        <f t="shared" si="30"/>
        <v>2.4654099155912886E-3</v>
      </c>
      <c r="K206" s="2"/>
      <c r="L206" s="6">
        <f t="shared" si="31"/>
        <v>4338.5200000000004</v>
      </c>
      <c r="M206" s="2"/>
      <c r="N206" s="7">
        <f t="shared" si="32"/>
        <v>0.39639287345820012</v>
      </c>
      <c r="O206" s="11"/>
      <c r="P206" s="6">
        <v>20491.41</v>
      </c>
      <c r="Q206" s="2"/>
      <c r="R206" s="7">
        <f t="shared" si="33"/>
        <v>3.579156220996191E-3</v>
      </c>
      <c r="S206" s="2"/>
      <c r="T206" s="6">
        <v>21665</v>
      </c>
      <c r="U206" s="2"/>
      <c r="V206" s="7">
        <f t="shared" si="34"/>
        <v>3.5631707950912524E-3</v>
      </c>
      <c r="W206" s="2"/>
      <c r="X206" s="6">
        <f t="shared" si="35"/>
        <v>-1173.5900000000001</v>
      </c>
      <c r="Y206" s="2"/>
      <c r="Z206" s="7">
        <f t="shared" si="36"/>
        <v>-5.4169859219940004E-2</v>
      </c>
    </row>
    <row r="207" spans="1:26" s="26" customFormat="1" outlineLevel="1" collapsed="1" x14ac:dyDescent="0.25">
      <c r="A207" s="25"/>
      <c r="B207" s="13" t="str">
        <f>CONCATENATE("     ","Bad Debts/Over/Short                              ")</f>
        <v xml:space="preserve">     Bad Debts/Over/Short                              </v>
      </c>
      <c r="C207" s="13"/>
      <c r="D207" s="1">
        <f>SUM(OSRRefD22_3x_0)</f>
        <v>-63.42</v>
      </c>
      <c r="E207" s="1"/>
      <c r="F207" s="5">
        <f t="shared" si="29"/>
        <v>-1.5034508428410157E-5</v>
      </c>
      <c r="G207" s="1"/>
      <c r="H207" s="1">
        <f>SUM(OSRRefH22_3x_0)</f>
        <v>419</v>
      </c>
      <c r="I207" s="1"/>
      <c r="J207" s="5">
        <f t="shared" si="30"/>
        <v>9.4381613031772484E-5</v>
      </c>
      <c r="K207" s="1"/>
      <c r="L207" s="1">
        <f t="shared" si="31"/>
        <v>-482.42</v>
      </c>
      <c r="M207" s="1"/>
      <c r="N207" s="5">
        <f t="shared" si="32"/>
        <v>-1.1513603818615752</v>
      </c>
      <c r="O207" s="13"/>
      <c r="P207" s="1">
        <f>SUM(OSRRefP22_3x_0)</f>
        <v>-104.98</v>
      </c>
      <c r="Q207" s="1"/>
      <c r="R207" s="5">
        <f t="shared" si="33"/>
        <v>-1.8336455133159708E-5</v>
      </c>
      <c r="S207" s="1"/>
      <c r="T207" s="1">
        <f>SUM(OSRRefT22_3x_0)</f>
        <v>716</v>
      </c>
      <c r="U207" s="1"/>
      <c r="V207" s="5">
        <f t="shared" si="34"/>
        <v>1.1775814859383044E-4</v>
      </c>
      <c r="W207" s="1"/>
      <c r="X207" s="1">
        <f t="shared" si="35"/>
        <v>-820.98</v>
      </c>
      <c r="Y207" s="1"/>
      <c r="Z207" s="5">
        <f t="shared" si="36"/>
        <v>-1.1466201117318435</v>
      </c>
    </row>
    <row r="208" spans="1:26" s="24" customFormat="1" hidden="1" outlineLevel="2" x14ac:dyDescent="0.25">
      <c r="A208" s="27"/>
      <c r="B208" s="11" t="str">
        <f>CONCATENATE("          ", "6272", " - ", "CASH (OVER/SHORT)")</f>
        <v xml:space="preserve">          6272 - CASH (OVER/SHORT)</v>
      </c>
      <c r="C208" s="11"/>
      <c r="D208" s="6">
        <v>-63.42</v>
      </c>
      <c r="E208" s="2"/>
      <c r="F208" s="7">
        <f t="shared" si="29"/>
        <v>-1.5034508428410157E-5</v>
      </c>
      <c r="G208" s="2"/>
      <c r="H208" s="6">
        <v>359</v>
      </c>
      <c r="I208" s="2"/>
      <c r="J208" s="7">
        <f t="shared" si="30"/>
        <v>8.0866346249179767E-5</v>
      </c>
      <c r="K208" s="2"/>
      <c r="L208" s="6">
        <f t="shared" si="31"/>
        <v>-422.42</v>
      </c>
      <c r="M208" s="2"/>
      <c r="N208" s="7">
        <f t="shared" si="32"/>
        <v>-1.176657381615599</v>
      </c>
      <c r="O208" s="11"/>
      <c r="P208" s="6">
        <v>-104.98</v>
      </c>
      <c r="Q208" s="2"/>
      <c r="R208" s="7">
        <f t="shared" si="33"/>
        <v>-1.8336455133159708E-5</v>
      </c>
      <c r="S208" s="2"/>
      <c r="T208" s="6">
        <v>646</v>
      </c>
      <c r="U208" s="2"/>
      <c r="V208" s="7">
        <f t="shared" si="34"/>
        <v>1.0624548043521574E-4</v>
      </c>
      <c r="W208" s="2"/>
      <c r="X208" s="6">
        <f t="shared" si="35"/>
        <v>-750.98</v>
      </c>
      <c r="Y208" s="2"/>
      <c r="Z208" s="7">
        <f t="shared" si="36"/>
        <v>-1.1625077399380805</v>
      </c>
    </row>
    <row r="209" spans="1:26" s="24" customFormat="1" hidden="1" outlineLevel="2" x14ac:dyDescent="0.25">
      <c r="A209" s="27"/>
      <c r="B209" s="11" t="str">
        <f>CONCATENATE("          ", "6342", " - ", "BAD DEBT")</f>
        <v xml:space="preserve">          6342 - BAD DEBT</v>
      </c>
      <c r="C209" s="11"/>
      <c r="D209" s="6"/>
      <c r="E209" s="2"/>
      <c r="F209" s="7">
        <f t="shared" si="29"/>
        <v>0</v>
      </c>
      <c r="G209" s="2"/>
      <c r="H209" s="6">
        <v>60</v>
      </c>
      <c r="I209" s="2"/>
      <c r="J209" s="7">
        <f t="shared" si="30"/>
        <v>1.3515266782592718E-5</v>
      </c>
      <c r="K209" s="2"/>
      <c r="L209" s="6">
        <f t="shared" si="31"/>
        <v>-60</v>
      </c>
      <c r="M209" s="2"/>
      <c r="N209" s="7">
        <f t="shared" si="32"/>
        <v>-1</v>
      </c>
      <c r="O209" s="11"/>
      <c r="P209" s="6"/>
      <c r="Q209" s="2"/>
      <c r="R209" s="7">
        <f t="shared" si="33"/>
        <v>0</v>
      </c>
      <c r="S209" s="2"/>
      <c r="T209" s="6">
        <v>70</v>
      </c>
      <c r="U209" s="2"/>
      <c r="V209" s="7">
        <f t="shared" si="34"/>
        <v>1.1512668158614709E-5</v>
      </c>
      <c r="W209" s="2"/>
      <c r="X209" s="6">
        <f t="shared" si="35"/>
        <v>-70</v>
      </c>
      <c r="Y209" s="2"/>
      <c r="Z209" s="7">
        <f t="shared" si="36"/>
        <v>-1</v>
      </c>
    </row>
    <row r="210" spans="1:26" s="26" customFormat="1" outlineLevel="1" collapsed="1" x14ac:dyDescent="0.25">
      <c r="A210" s="25"/>
      <c r="B210" s="13" t="str">
        <f>CONCATENATE("     ","Bank/card Fees                                    ")</f>
        <v xml:space="preserve">     Bank/card Fees                                    </v>
      </c>
      <c r="C210" s="13"/>
      <c r="D210" s="1">
        <f>SUM(OSRRefD22_4x_0)</f>
        <v>49286.15</v>
      </c>
      <c r="E210" s="1"/>
      <c r="F210" s="5">
        <f t="shared" ref="F210:F216" si="37">IF(D$12=0,0,D210/D$12)</f>
        <v>1.1683901570149594E-2</v>
      </c>
      <c r="G210" s="1"/>
      <c r="H210" s="1">
        <f>SUM(OSRRefH22_4x_0)</f>
        <v>44966</v>
      </c>
      <c r="I210" s="1"/>
      <c r="J210" s="5">
        <f t="shared" ref="J210:J216" si="38">IF(H$12=0,0,H210/H$12)</f>
        <v>1.0128791435767736E-2</v>
      </c>
      <c r="K210" s="1"/>
      <c r="L210" s="1">
        <f t="shared" ref="L210:L216" si="39">+D210-H210</f>
        <v>4320.1500000000015</v>
      </c>
      <c r="M210" s="1"/>
      <c r="N210" s="5">
        <f t="shared" ref="N210:N216" si="40">IF(H210=0,0,L210/H210)</f>
        <v>9.6075924031490498E-2</v>
      </c>
      <c r="O210" s="13"/>
      <c r="P210" s="1">
        <f>SUM(OSRRefP22_4x_0)</f>
        <v>61483.839999999997</v>
      </c>
      <c r="Q210" s="1"/>
      <c r="R210" s="5">
        <f t="shared" ref="R210:R216" si="41">IF(P$12=0,0,P210/P$12)</f>
        <v>1.0739147204937797E-2</v>
      </c>
      <c r="S210" s="1"/>
      <c r="T210" s="1">
        <f>SUM(OSRRefT22_4x_0)</f>
        <v>58217</v>
      </c>
      <c r="U210" s="1"/>
      <c r="V210" s="5">
        <f t="shared" ref="V210:V216" si="42">IF(T$12=0,0,T210/T$12)</f>
        <v>9.5747571741438917E-3</v>
      </c>
      <c r="W210" s="1"/>
      <c r="X210" s="1">
        <f t="shared" ref="X210:X216" si="43">+P210-T210</f>
        <v>3266.8399999999965</v>
      </c>
      <c r="Y210" s="1"/>
      <c r="Z210" s="5">
        <f t="shared" ref="Z210:Z216" si="44">IF(T210=0,0,X210/T210)</f>
        <v>5.6114880533177536E-2</v>
      </c>
    </row>
    <row r="211" spans="1:26" s="24" customFormat="1" hidden="1" outlineLevel="2" x14ac:dyDescent="0.25">
      <c r="A211" s="27"/>
      <c r="B211" s="11" t="str">
        <f>CONCATENATE("          ", "6381", " - ", "BANK/CREDIT CARD FEES")</f>
        <v xml:space="preserve">          6381 - BANK/CREDIT CARD FEES</v>
      </c>
      <c r="C211" s="11"/>
      <c r="D211" s="6">
        <v>49286.15</v>
      </c>
      <c r="E211" s="2"/>
      <c r="F211" s="7">
        <f t="shared" si="37"/>
        <v>1.1683901570149594E-2</v>
      </c>
      <c r="G211" s="2"/>
      <c r="H211" s="6">
        <v>44966</v>
      </c>
      <c r="I211" s="2"/>
      <c r="J211" s="7">
        <f t="shared" si="38"/>
        <v>1.0128791435767736E-2</v>
      </c>
      <c r="K211" s="2"/>
      <c r="L211" s="6">
        <f t="shared" si="39"/>
        <v>4320.1500000000015</v>
      </c>
      <c r="M211" s="2"/>
      <c r="N211" s="7">
        <f t="shared" si="40"/>
        <v>9.6075924031490498E-2</v>
      </c>
      <c r="O211" s="11"/>
      <c r="P211" s="6">
        <v>61483.839999999997</v>
      </c>
      <c r="Q211" s="2"/>
      <c r="R211" s="7">
        <f t="shared" si="41"/>
        <v>1.0739147204937797E-2</v>
      </c>
      <c r="S211" s="2"/>
      <c r="T211" s="6">
        <v>58217</v>
      </c>
      <c r="U211" s="2"/>
      <c r="V211" s="7">
        <f t="shared" si="42"/>
        <v>9.5747571741438917E-3</v>
      </c>
      <c r="W211" s="2"/>
      <c r="X211" s="6">
        <f t="shared" si="43"/>
        <v>3266.8399999999965</v>
      </c>
      <c r="Y211" s="2"/>
      <c r="Z211" s="7">
        <f t="shared" si="44"/>
        <v>5.6114880533177536E-2</v>
      </c>
    </row>
    <row r="212" spans="1:26" s="26" customFormat="1" outlineLevel="1" collapsed="1" x14ac:dyDescent="0.25">
      <c r="A212" s="25"/>
      <c r="B212" s="13" t="str">
        <f>CONCATENATE("     ","Depreciation                                      ")</f>
        <v xml:space="preserve">     Depreciation                                      </v>
      </c>
      <c r="C212" s="13"/>
      <c r="D212" s="1">
        <f>SUM(OSRRefD22_5x_0)</f>
        <v>77862.400000000009</v>
      </c>
      <c r="E212" s="1"/>
      <c r="F212" s="5">
        <f t="shared" si="37"/>
        <v>1.8458260943807051E-2</v>
      </c>
      <c r="G212" s="1"/>
      <c r="H212" s="1">
        <f>SUM(OSRRefH22_5x_0)</f>
        <v>77645</v>
      </c>
      <c r="I212" s="1"/>
      <c r="J212" s="5">
        <f t="shared" si="38"/>
        <v>1.7489881488906862E-2</v>
      </c>
      <c r="K212" s="1"/>
      <c r="L212" s="1">
        <f t="shared" si="39"/>
        <v>217.40000000000873</v>
      </c>
      <c r="M212" s="1"/>
      <c r="N212" s="5">
        <f t="shared" si="40"/>
        <v>2.7999227252238873E-3</v>
      </c>
      <c r="O212" s="13"/>
      <c r="P212" s="1">
        <f>SUM(OSRRefP22_5x_0)</f>
        <v>155724.80000000002</v>
      </c>
      <c r="Q212" s="1"/>
      <c r="R212" s="5">
        <f t="shared" si="41"/>
        <v>2.7199855289772042E-2</v>
      </c>
      <c r="S212" s="1"/>
      <c r="T212" s="1">
        <f>SUM(OSRRefT22_5x_0)</f>
        <v>155290</v>
      </c>
      <c r="U212" s="1"/>
      <c r="V212" s="5">
        <f t="shared" si="42"/>
        <v>2.5540031976446831E-2</v>
      </c>
      <c r="W212" s="1"/>
      <c r="X212" s="1">
        <f t="shared" si="43"/>
        <v>434.80000000001746</v>
      </c>
      <c r="Y212" s="1"/>
      <c r="Z212" s="5">
        <f t="shared" si="44"/>
        <v>2.7999227252238873E-3</v>
      </c>
    </row>
    <row r="213" spans="1:26" s="24" customFormat="1" hidden="1" outlineLevel="2" x14ac:dyDescent="0.25">
      <c r="A213" s="27"/>
      <c r="B213" s="11" t="str">
        <f>CONCATENATE("          ", "6321", " - ", "BUILDING DEPRECIATION")</f>
        <v xml:space="preserve">          6321 - BUILDING DEPRECIATION</v>
      </c>
      <c r="C213" s="11"/>
      <c r="D213" s="6">
        <v>45519.990000000005</v>
      </c>
      <c r="E213" s="2"/>
      <c r="F213" s="7">
        <f t="shared" si="37"/>
        <v>1.0791085987324915E-2</v>
      </c>
      <c r="G213" s="2"/>
      <c r="H213" s="6">
        <v>44653</v>
      </c>
      <c r="I213" s="2"/>
      <c r="J213" s="7">
        <f t="shared" si="38"/>
        <v>1.0058286794051878E-2</v>
      </c>
      <c r="K213" s="2"/>
      <c r="L213" s="6">
        <f t="shared" si="39"/>
        <v>866.99000000000524</v>
      </c>
      <c r="M213" s="2"/>
      <c r="N213" s="7">
        <f t="shared" si="40"/>
        <v>1.941616464739223E-2</v>
      </c>
      <c r="O213" s="11"/>
      <c r="P213" s="6">
        <v>91039.98000000001</v>
      </c>
      <c r="Q213" s="2"/>
      <c r="R213" s="7">
        <f t="shared" si="41"/>
        <v>1.5901605149492831E-2</v>
      </c>
      <c r="S213" s="2"/>
      <c r="T213" s="6">
        <v>89306</v>
      </c>
      <c r="U213" s="2"/>
      <c r="V213" s="7">
        <f t="shared" si="42"/>
        <v>1.4687862036760644E-2</v>
      </c>
      <c r="W213" s="2"/>
      <c r="X213" s="6">
        <f t="shared" si="43"/>
        <v>1733.9800000000105</v>
      </c>
      <c r="Y213" s="2"/>
      <c r="Z213" s="7">
        <f t="shared" si="44"/>
        <v>1.941616464739223E-2</v>
      </c>
    </row>
    <row r="214" spans="1:26" s="24" customFormat="1" hidden="1" outlineLevel="2" x14ac:dyDescent="0.25">
      <c r="A214" s="27"/>
      <c r="B214" s="11" t="str">
        <f>CONCATENATE("          ", "6322", " - ", "EQUIPMENT DEPRECIATION EXPENSE")</f>
        <v xml:space="preserve">          6322 - EQUIPMENT DEPRECIATION EXPENSE</v>
      </c>
      <c r="C214" s="11"/>
      <c r="D214" s="6">
        <v>31918.16</v>
      </c>
      <c r="E214" s="2"/>
      <c r="F214" s="7">
        <f t="shared" si="37"/>
        <v>7.5666011595607683E-3</v>
      </c>
      <c r="G214" s="2"/>
      <c r="H214" s="6">
        <v>31525</v>
      </c>
      <c r="I214" s="2"/>
      <c r="J214" s="7">
        <f t="shared" si="38"/>
        <v>7.1011464220205912E-3</v>
      </c>
      <c r="K214" s="2"/>
      <c r="L214" s="6">
        <f t="shared" si="39"/>
        <v>393.15999999999985</v>
      </c>
      <c r="M214" s="2"/>
      <c r="N214" s="7">
        <f t="shared" si="40"/>
        <v>1.2471371927042025E-2</v>
      </c>
      <c r="O214" s="11"/>
      <c r="P214" s="6">
        <v>63836.32</v>
      </c>
      <c r="Q214" s="2"/>
      <c r="R214" s="7">
        <f t="shared" si="41"/>
        <v>1.1150045890131698E-2</v>
      </c>
      <c r="S214" s="2"/>
      <c r="T214" s="6">
        <v>63050</v>
      </c>
      <c r="U214" s="2"/>
      <c r="V214" s="7">
        <f t="shared" si="42"/>
        <v>1.0369624677152248E-2</v>
      </c>
      <c r="W214" s="2"/>
      <c r="X214" s="6">
        <f t="shared" si="43"/>
        <v>786.31999999999971</v>
      </c>
      <c r="Y214" s="2"/>
      <c r="Z214" s="7">
        <f t="shared" si="44"/>
        <v>1.2471371927042025E-2</v>
      </c>
    </row>
    <row r="215" spans="1:26" s="24" customFormat="1" hidden="1" outlineLevel="2" x14ac:dyDescent="0.25">
      <c r="A215" s="27"/>
      <c r="B215" s="11" t="str">
        <f>CONCATENATE("          ", "6324", " - ", "FURNITURE + FIXT DEPRECIATION")</f>
        <v xml:space="preserve">          6324 - FURNITURE + FIXT DEPRECIATION</v>
      </c>
      <c r="C215" s="11"/>
      <c r="D215" s="6"/>
      <c r="E215" s="2"/>
      <c r="F215" s="7">
        <f t="shared" si="37"/>
        <v>0</v>
      </c>
      <c r="G215" s="2"/>
      <c r="H215" s="6">
        <v>1043</v>
      </c>
      <c r="I215" s="2"/>
      <c r="J215" s="7">
        <f t="shared" si="38"/>
        <v>2.3494038757073676E-4</v>
      </c>
      <c r="K215" s="2"/>
      <c r="L215" s="6">
        <f t="shared" si="39"/>
        <v>-1043</v>
      </c>
      <c r="M215" s="2"/>
      <c r="N215" s="7">
        <f t="shared" si="40"/>
        <v>-1</v>
      </c>
      <c r="O215" s="11"/>
      <c r="P215" s="6"/>
      <c r="Q215" s="2"/>
      <c r="R215" s="7">
        <f t="shared" si="41"/>
        <v>0</v>
      </c>
      <c r="S215" s="2"/>
      <c r="T215" s="6">
        <v>2086</v>
      </c>
      <c r="U215" s="2"/>
      <c r="V215" s="7">
        <f t="shared" si="42"/>
        <v>3.4307751112671832E-4</v>
      </c>
      <c r="W215" s="2"/>
      <c r="X215" s="6">
        <f t="shared" si="43"/>
        <v>-2086</v>
      </c>
      <c r="Y215" s="2"/>
      <c r="Z215" s="7">
        <f t="shared" si="44"/>
        <v>-1</v>
      </c>
    </row>
    <row r="216" spans="1:26" s="24" customFormat="1" hidden="1" outlineLevel="2" x14ac:dyDescent="0.25">
      <c r="A216" s="27"/>
      <c r="B216" s="11" t="str">
        <f>CONCATENATE("          ", "6326", " - ", "VEHICLES DEPRECIATION EXPENSE")</f>
        <v xml:space="preserve">          6326 - VEHICLES DEPRECIATION EXPENSE</v>
      </c>
      <c r="C216" s="11"/>
      <c r="D216" s="6">
        <v>424.25</v>
      </c>
      <c r="E216" s="2"/>
      <c r="F216" s="7">
        <f t="shared" si="37"/>
        <v>1.0057379692136565E-4</v>
      </c>
      <c r="G216" s="2"/>
      <c r="H216" s="6">
        <v>424</v>
      </c>
      <c r="I216" s="2"/>
      <c r="J216" s="7">
        <f t="shared" si="38"/>
        <v>9.5507885263655207E-5</v>
      </c>
      <c r="K216" s="2"/>
      <c r="L216" s="6">
        <f t="shared" si="39"/>
        <v>0.25</v>
      </c>
      <c r="M216" s="2"/>
      <c r="N216" s="7">
        <f t="shared" si="40"/>
        <v>5.8962264150943394E-4</v>
      </c>
      <c r="O216" s="11"/>
      <c r="P216" s="6">
        <v>848.5</v>
      </c>
      <c r="Q216" s="2"/>
      <c r="R216" s="7">
        <f t="shared" si="41"/>
        <v>1.482042501475139E-4</v>
      </c>
      <c r="S216" s="2"/>
      <c r="T216" s="6">
        <v>848</v>
      </c>
      <c r="U216" s="2"/>
      <c r="V216" s="7">
        <f t="shared" si="42"/>
        <v>1.3946775140721818E-4</v>
      </c>
      <c r="W216" s="2"/>
      <c r="X216" s="6">
        <f t="shared" si="43"/>
        <v>0.5</v>
      </c>
      <c r="Y216" s="2"/>
      <c r="Z216" s="7">
        <f t="shared" si="44"/>
        <v>5.8962264150943394E-4</v>
      </c>
    </row>
    <row r="217" spans="1:26" s="26" customFormat="1" outlineLevel="1" collapsed="1" x14ac:dyDescent="0.25">
      <c r="A217" s="25"/>
      <c r="B217" s="13" t="str">
        <f>CONCATENATE("     ","Discounts and Markdowns                           ")</f>
        <v xml:space="preserve">     Discounts and Markdowns                           </v>
      </c>
      <c r="C217" s="13"/>
      <c r="D217" s="1">
        <f>SUM(OSRRefD22_6x_0)</f>
        <v>91714.9</v>
      </c>
      <c r="E217" s="1"/>
      <c r="F217" s="5">
        <f t="shared" ref="F217:F219" si="45">IF(D$12=0,0,D217/D$12)</f>
        <v>2.1742170246937791E-2</v>
      </c>
      <c r="G217" s="1"/>
      <c r="H217" s="1">
        <f>SUM(OSRRefH22_6x_0)</f>
        <v>34225</v>
      </c>
      <c r="I217" s="1"/>
      <c r="J217" s="5">
        <f t="shared" ref="J217:J219" si="46">IF(H$12=0,0,H217/H$12)</f>
        <v>7.7093334272372634E-3</v>
      </c>
      <c r="K217" s="1"/>
      <c r="L217" s="1">
        <f t="shared" ref="L217:L219" si="47">+D217-H217</f>
        <v>57489.899999999994</v>
      </c>
      <c r="M217" s="1"/>
      <c r="N217" s="5">
        <f t="shared" ref="N217:N219" si="48">IF(H217=0,0,L217/H217)</f>
        <v>1.6797633308984659</v>
      </c>
      <c r="O217" s="13"/>
      <c r="P217" s="1">
        <f>SUM(OSRRefP22_6x_0)</f>
        <v>129122.67</v>
      </c>
      <c r="Q217" s="1"/>
      <c r="R217" s="5">
        <f t="shared" ref="R217:R219" si="49">IF(P$12=0,0,P217/P$12)</f>
        <v>2.2553362975126563E-2</v>
      </c>
      <c r="S217" s="1"/>
      <c r="T217" s="1">
        <f>SUM(OSRRefT22_6x_0)</f>
        <v>57450</v>
      </c>
      <c r="U217" s="1"/>
      <c r="V217" s="5">
        <f t="shared" ref="V217:V219" si="50">IF(T$12=0,0,T217/T$12)</f>
        <v>9.4486112244630705E-3</v>
      </c>
      <c r="W217" s="1"/>
      <c r="X217" s="1">
        <f t="shared" ref="X217:X219" si="51">+P217-T217</f>
        <v>71672.67</v>
      </c>
      <c r="Y217" s="1"/>
      <c r="Z217" s="5">
        <f t="shared" ref="Z217:Z219" si="52">IF(T217=0,0,X217/T217)</f>
        <v>1.2475660574412533</v>
      </c>
    </row>
    <row r="218" spans="1:26" s="24" customFormat="1" hidden="1" outlineLevel="2" x14ac:dyDescent="0.25">
      <c r="A218" s="27"/>
      <c r="B218" s="11" t="str">
        <f>CONCATENATE("          ", "6382", " - ", "DISCOUNTS/MARK DOWNS")</f>
        <v xml:space="preserve">          6382 - DISCOUNTS/MARK DOWNS</v>
      </c>
      <c r="C218" s="11"/>
      <c r="D218" s="6">
        <v>92520.75</v>
      </c>
      <c r="E218" s="2"/>
      <c r="F218" s="7">
        <f t="shared" si="45"/>
        <v>2.1933207122009288E-2</v>
      </c>
      <c r="G218" s="2"/>
      <c r="H218" s="6">
        <v>34225</v>
      </c>
      <c r="I218" s="2"/>
      <c r="J218" s="7">
        <f t="shared" si="46"/>
        <v>7.7093334272372634E-3</v>
      </c>
      <c r="K218" s="2"/>
      <c r="L218" s="6">
        <f t="shared" si="47"/>
        <v>58295.75</v>
      </c>
      <c r="M218" s="2"/>
      <c r="N218" s="7">
        <f t="shared" si="48"/>
        <v>1.703308984660336</v>
      </c>
      <c r="O218" s="11"/>
      <c r="P218" s="6">
        <v>130372.23</v>
      </c>
      <c r="Q218" s="2"/>
      <c r="R218" s="7">
        <f t="shared" si="49"/>
        <v>2.2771618841731546E-2</v>
      </c>
      <c r="S218" s="2"/>
      <c r="T218" s="6">
        <v>57450</v>
      </c>
      <c r="U218" s="2"/>
      <c r="V218" s="7">
        <f t="shared" si="50"/>
        <v>9.4486112244630705E-3</v>
      </c>
      <c r="W218" s="2"/>
      <c r="X218" s="6">
        <f t="shared" si="51"/>
        <v>72922.23</v>
      </c>
      <c r="Y218" s="2"/>
      <c r="Z218" s="7">
        <f t="shared" si="52"/>
        <v>1.2693164490861617</v>
      </c>
    </row>
    <row r="219" spans="1:26" s="24" customFormat="1" hidden="1" outlineLevel="2" x14ac:dyDescent="0.25">
      <c r="A219" s="27"/>
      <c r="B219" s="11" t="str">
        <f>CONCATENATE("          ", "9175", " - ", "EARNED DISCOUNTS")</f>
        <v xml:space="preserve">          9175 - EARNED DISCOUNTS</v>
      </c>
      <c r="C219" s="11"/>
      <c r="D219" s="6">
        <v>-805.85</v>
      </c>
      <c r="E219" s="2"/>
      <c r="F219" s="7">
        <f t="shared" si="45"/>
        <v>-1.9103687507149677E-4</v>
      </c>
      <c r="G219" s="2"/>
      <c r="H219" s="6"/>
      <c r="I219" s="2"/>
      <c r="J219" s="7">
        <f t="shared" si="46"/>
        <v>0</v>
      </c>
      <c r="K219" s="2"/>
      <c r="L219" s="6">
        <f t="shared" si="47"/>
        <v>-805.85</v>
      </c>
      <c r="M219" s="2"/>
      <c r="N219" s="7">
        <f t="shared" si="48"/>
        <v>0</v>
      </c>
      <c r="O219" s="11"/>
      <c r="P219" s="6">
        <v>-1249.56</v>
      </c>
      <c r="Q219" s="2"/>
      <c r="R219" s="7">
        <f t="shared" si="49"/>
        <v>-2.1825586660498229E-4</v>
      </c>
      <c r="S219" s="2"/>
      <c r="T219" s="6"/>
      <c r="U219" s="2"/>
      <c r="V219" s="7">
        <f t="shared" si="50"/>
        <v>0</v>
      </c>
      <c r="W219" s="2"/>
      <c r="X219" s="6">
        <f t="shared" si="51"/>
        <v>-1249.56</v>
      </c>
      <c r="Y219" s="2"/>
      <c r="Z219" s="7">
        <f t="shared" si="52"/>
        <v>0</v>
      </c>
    </row>
    <row r="220" spans="1:26" s="26" customFormat="1" outlineLevel="1" collapsed="1" x14ac:dyDescent="0.25">
      <c r="A220" s="25"/>
      <c r="B220" s="13" t="str">
        <f>CONCATENATE("     ","Donations                                         ")</f>
        <v xml:space="preserve">     Donations                                         </v>
      </c>
      <c r="C220" s="13"/>
      <c r="D220" s="1">
        <f>SUM(OSRRefD22_7x_0)</f>
        <v>10472.31</v>
      </c>
      <c r="E220" s="1"/>
      <c r="F220" s="5">
        <f t="shared" ref="F220:F223" si="53">IF(D$12=0,0,D220/D$12)</f>
        <v>2.4825927619035629E-3</v>
      </c>
      <c r="G220" s="1"/>
      <c r="H220" s="1">
        <f>SUM(OSRRefH22_7x_0)</f>
        <v>10232</v>
      </c>
      <c r="I220" s="1"/>
      <c r="J220" s="5">
        <f t="shared" ref="J220:J223" si="54">IF(H$12=0,0,H220/H$12)</f>
        <v>2.3048034953248118E-3</v>
      </c>
      <c r="K220" s="1"/>
      <c r="L220" s="1">
        <f t="shared" ref="L220:L223" si="55">+D220-H220</f>
        <v>240.30999999999949</v>
      </c>
      <c r="M220" s="1"/>
      <c r="N220" s="5">
        <f t="shared" ref="N220:N223" si="56">IF(H220=0,0,L220/H220)</f>
        <v>2.348612197028924E-2</v>
      </c>
      <c r="O220" s="13"/>
      <c r="P220" s="1">
        <f>SUM(OSRRefP22_7x_0)</f>
        <v>11397.73</v>
      </c>
      <c r="Q220" s="1"/>
      <c r="R220" s="5">
        <f t="shared" ref="R220:R223" si="57">IF(P$12=0,0,P220/P$12)</f>
        <v>1.9907979116485842E-3</v>
      </c>
      <c r="S220" s="1"/>
      <c r="T220" s="1">
        <f>SUM(OSRRefT22_7x_0)</f>
        <v>11432</v>
      </c>
      <c r="U220" s="1"/>
      <c r="V220" s="5">
        <f t="shared" ref="V220:V223" si="58">IF(T$12=0,0,T220/T$12)</f>
        <v>1.8801831769897622E-3</v>
      </c>
      <c r="W220" s="1"/>
      <c r="X220" s="1">
        <f t="shared" ref="X220:X223" si="59">+P220-T220</f>
        <v>-34.270000000000437</v>
      </c>
      <c r="Y220" s="1"/>
      <c r="Z220" s="5">
        <f t="shared" ref="Z220:Z223" si="60">IF(T220=0,0,X220/T220)</f>
        <v>-2.9977256822953497E-3</v>
      </c>
    </row>
    <row r="221" spans="1:26" s="24" customFormat="1" hidden="1" outlineLevel="2" x14ac:dyDescent="0.25">
      <c r="A221" s="27"/>
      <c r="B221" s="11" t="str">
        <f>CONCATENATE("          ", "6395", " - ", "DONATION-OFF CAMPUS")</f>
        <v xml:space="preserve">          6395 - DONATION-OFF CAMPUS</v>
      </c>
      <c r="C221" s="11"/>
      <c r="D221" s="6"/>
      <c r="E221" s="2"/>
      <c r="F221" s="7">
        <f t="shared" si="53"/>
        <v>0</v>
      </c>
      <c r="G221" s="2"/>
      <c r="H221" s="6">
        <v>1025</v>
      </c>
      <c r="I221" s="2"/>
      <c r="J221" s="7">
        <f t="shared" si="54"/>
        <v>2.3088580753595893E-4</v>
      </c>
      <c r="K221" s="2"/>
      <c r="L221" s="6">
        <f t="shared" si="55"/>
        <v>-1025</v>
      </c>
      <c r="M221" s="2"/>
      <c r="N221" s="7">
        <f t="shared" si="56"/>
        <v>-1</v>
      </c>
      <c r="O221" s="11"/>
      <c r="P221" s="6"/>
      <c r="Q221" s="2"/>
      <c r="R221" s="7">
        <f t="shared" si="57"/>
        <v>0</v>
      </c>
      <c r="S221" s="2"/>
      <c r="T221" s="6">
        <v>2125</v>
      </c>
      <c r="U221" s="2"/>
      <c r="V221" s="7">
        <f t="shared" si="58"/>
        <v>3.4949171195794649E-4</v>
      </c>
      <c r="W221" s="2"/>
      <c r="X221" s="6">
        <f t="shared" si="59"/>
        <v>-2125</v>
      </c>
      <c r="Y221" s="2"/>
      <c r="Z221" s="7">
        <f t="shared" si="60"/>
        <v>-1</v>
      </c>
    </row>
    <row r="222" spans="1:26" s="24" customFormat="1" hidden="1" outlineLevel="2" x14ac:dyDescent="0.25">
      <c r="A222" s="27"/>
      <c r="B222" s="11" t="str">
        <f>CONCATENATE("          ", "6396", " - ", "COUPONS-CHARTROOM")</f>
        <v xml:space="preserve">          6396 - COUPONS-CHARTROOM</v>
      </c>
      <c r="C222" s="11"/>
      <c r="D222" s="6"/>
      <c r="E222" s="2"/>
      <c r="F222" s="7">
        <f t="shared" si="53"/>
        <v>0</v>
      </c>
      <c r="G222" s="2"/>
      <c r="H222" s="6">
        <v>100</v>
      </c>
      <c r="I222" s="2"/>
      <c r="J222" s="7">
        <f t="shared" si="54"/>
        <v>2.2525444637654531E-5</v>
      </c>
      <c r="K222" s="2"/>
      <c r="L222" s="6">
        <f t="shared" si="55"/>
        <v>-100</v>
      </c>
      <c r="M222" s="2"/>
      <c r="N222" s="7">
        <f t="shared" si="56"/>
        <v>-1</v>
      </c>
      <c r="O222" s="11"/>
      <c r="P222" s="6"/>
      <c r="Q222" s="2"/>
      <c r="R222" s="7">
        <f t="shared" si="57"/>
        <v>0</v>
      </c>
      <c r="S222" s="2"/>
      <c r="T222" s="6">
        <v>200</v>
      </c>
      <c r="U222" s="2"/>
      <c r="V222" s="7">
        <f t="shared" si="58"/>
        <v>3.2893337596042022E-5</v>
      </c>
      <c r="W222" s="2"/>
      <c r="X222" s="6">
        <f t="shared" si="59"/>
        <v>-200</v>
      </c>
      <c r="Y222" s="2"/>
      <c r="Z222" s="7">
        <f t="shared" si="60"/>
        <v>-1</v>
      </c>
    </row>
    <row r="223" spans="1:26" s="24" customFormat="1" hidden="1" outlineLevel="2" x14ac:dyDescent="0.25">
      <c r="A223" s="27"/>
      <c r="B223" s="11" t="str">
        <f>CONCATENATE("          ", "6399", " - ", "DONATION-ON CAMPUS")</f>
        <v xml:space="preserve">          6399 - DONATION-ON CAMPUS</v>
      </c>
      <c r="C223" s="11"/>
      <c r="D223" s="6">
        <v>10472.31</v>
      </c>
      <c r="E223" s="2"/>
      <c r="F223" s="7">
        <f t="shared" si="53"/>
        <v>2.4825927619035629E-3</v>
      </c>
      <c r="G223" s="2"/>
      <c r="H223" s="6">
        <v>9107</v>
      </c>
      <c r="I223" s="2"/>
      <c r="J223" s="7">
        <f t="shared" si="54"/>
        <v>2.0513922431511979E-3</v>
      </c>
      <c r="K223" s="2"/>
      <c r="L223" s="6">
        <f t="shared" si="55"/>
        <v>1365.3099999999995</v>
      </c>
      <c r="M223" s="2"/>
      <c r="N223" s="7">
        <f t="shared" si="56"/>
        <v>0.14991874382343248</v>
      </c>
      <c r="O223" s="11"/>
      <c r="P223" s="6">
        <v>11397.73</v>
      </c>
      <c r="Q223" s="2"/>
      <c r="R223" s="7">
        <f t="shared" si="57"/>
        <v>1.9907979116485842E-3</v>
      </c>
      <c r="S223" s="2"/>
      <c r="T223" s="6">
        <v>9107</v>
      </c>
      <c r="U223" s="2"/>
      <c r="V223" s="7">
        <f t="shared" si="58"/>
        <v>1.4977981274357736E-3</v>
      </c>
      <c r="W223" s="2"/>
      <c r="X223" s="6">
        <f t="shared" si="59"/>
        <v>2290.7299999999996</v>
      </c>
      <c r="Y223" s="2"/>
      <c r="Z223" s="7">
        <f t="shared" si="60"/>
        <v>0.25153508290326115</v>
      </c>
    </row>
    <row r="224" spans="1:26" s="26" customFormat="1" outlineLevel="1" collapsed="1" x14ac:dyDescent="0.25">
      <c r="A224" s="25"/>
      <c r="B224" s="13" t="str">
        <f>CONCATENATE("     ","Employees' Appreciation                           ")</f>
        <v xml:space="preserve">     Employees' Appreciation                           </v>
      </c>
      <c r="C224" s="13"/>
      <c r="D224" s="1">
        <f>SUM(OSRRefD22_8x_0)</f>
        <v>460.35</v>
      </c>
      <c r="E224" s="1"/>
      <c r="F224" s="5">
        <f t="shared" ref="F224:F230" si="61">IF(D$12=0,0,D224/D$12)</f>
        <v>1.0913175583441526E-4</v>
      </c>
      <c r="G224" s="1"/>
      <c r="H224" s="1">
        <f>SUM(OSRRefH22_8x_0)</f>
        <v>1770</v>
      </c>
      <c r="I224" s="1"/>
      <c r="J224" s="5">
        <f t="shared" ref="J224:J230" si="62">IF(H$12=0,0,H224/H$12)</f>
        <v>3.9870037008648521E-4</v>
      </c>
      <c r="K224" s="1"/>
      <c r="L224" s="1">
        <f t="shared" ref="L224:L230" si="63">+D224-H224</f>
        <v>-1309.6500000000001</v>
      </c>
      <c r="M224" s="1"/>
      <c r="N224" s="5">
        <f t="shared" ref="N224:N230" si="64">IF(H224=0,0,L224/H224)</f>
        <v>-0.73991525423728821</v>
      </c>
      <c r="O224" s="13"/>
      <c r="P224" s="1">
        <f>SUM(OSRRefP22_8x_0)</f>
        <v>963.65</v>
      </c>
      <c r="Q224" s="1"/>
      <c r="R224" s="5">
        <f t="shared" ref="R224:R230" si="65">IF(P$12=0,0,P224/P$12)</f>
        <v>1.6831706028833446E-4</v>
      </c>
      <c r="S224" s="1"/>
      <c r="T224" s="1">
        <f>SUM(OSRRefT22_8x_0)</f>
        <v>3595</v>
      </c>
      <c r="U224" s="1"/>
      <c r="V224" s="5">
        <f t="shared" ref="V224:V230" si="66">IF(T$12=0,0,T224/T$12)</f>
        <v>5.9125774328885536E-4</v>
      </c>
      <c r="W224" s="1"/>
      <c r="X224" s="1">
        <f t="shared" ref="X224:X230" si="67">+P224-T224</f>
        <v>-2631.35</v>
      </c>
      <c r="Y224" s="1"/>
      <c r="Z224" s="5">
        <f t="shared" ref="Z224:Z230" si="68">IF(T224=0,0,X224/T224)</f>
        <v>-0.73194714881780243</v>
      </c>
    </row>
    <row r="225" spans="1:26" s="24" customFormat="1" hidden="1" outlineLevel="2" x14ac:dyDescent="0.25">
      <c r="A225" s="27"/>
      <c r="B225" s="11" t="str">
        <f>CONCATENATE("          ", "6277", " - ", "EMPLOYEE APPRECIATION")</f>
        <v xml:space="preserve">          6277 - EMPLOYEE APPRECIATION</v>
      </c>
      <c r="C225" s="11"/>
      <c r="D225" s="6">
        <v>460.35</v>
      </c>
      <c r="E225" s="2"/>
      <c r="F225" s="7">
        <f t="shared" si="61"/>
        <v>1.0913175583441526E-4</v>
      </c>
      <c r="G225" s="2"/>
      <c r="H225" s="6">
        <v>1770</v>
      </c>
      <c r="I225" s="2"/>
      <c r="J225" s="7">
        <f t="shared" si="62"/>
        <v>3.9870037008648521E-4</v>
      </c>
      <c r="K225" s="2"/>
      <c r="L225" s="6">
        <f t="shared" si="63"/>
        <v>-1309.6500000000001</v>
      </c>
      <c r="M225" s="2"/>
      <c r="N225" s="7">
        <f t="shared" si="64"/>
        <v>-0.73991525423728821</v>
      </c>
      <c r="O225" s="11"/>
      <c r="P225" s="6">
        <v>963.65</v>
      </c>
      <c r="Q225" s="2"/>
      <c r="R225" s="7">
        <f t="shared" si="65"/>
        <v>1.6831706028833446E-4</v>
      </c>
      <c r="S225" s="2"/>
      <c r="T225" s="6">
        <v>3595</v>
      </c>
      <c r="U225" s="2"/>
      <c r="V225" s="7">
        <f t="shared" si="66"/>
        <v>5.9125774328885536E-4</v>
      </c>
      <c r="W225" s="2"/>
      <c r="X225" s="6">
        <f t="shared" si="67"/>
        <v>-2631.35</v>
      </c>
      <c r="Y225" s="2"/>
      <c r="Z225" s="7">
        <f t="shared" si="68"/>
        <v>-0.73194714881780243</v>
      </c>
    </row>
    <row r="226" spans="1:26" s="26" customFormat="1" outlineLevel="1" collapsed="1" x14ac:dyDescent="0.25">
      <c r="A226" s="25"/>
      <c r="B226" s="13" t="str">
        <f>CONCATENATE("     ","Equipment Rental                                  ")</f>
        <v xml:space="preserve">     Equipment Rental                                  </v>
      </c>
      <c r="C226" s="13"/>
      <c r="D226" s="1">
        <f>SUM(OSRRefD22_9x_0)</f>
        <v>6519.98</v>
      </c>
      <c r="E226" s="1"/>
      <c r="F226" s="5">
        <f t="shared" si="61"/>
        <v>1.5456432397203666E-3</v>
      </c>
      <c r="G226" s="1"/>
      <c r="H226" s="1">
        <f>SUM(OSRRefH22_9x_0)</f>
        <v>5280</v>
      </c>
      <c r="I226" s="1"/>
      <c r="J226" s="5">
        <f t="shared" si="62"/>
        <v>1.1893434768681592E-3</v>
      </c>
      <c r="K226" s="1"/>
      <c r="L226" s="1">
        <f t="shared" si="63"/>
        <v>1239.9799999999996</v>
      </c>
      <c r="M226" s="1"/>
      <c r="N226" s="5">
        <f t="shared" si="64"/>
        <v>0.2348446969696969</v>
      </c>
      <c r="O226" s="13"/>
      <c r="P226" s="1">
        <f>SUM(OSRRefP22_9x_0)</f>
        <v>9752.99</v>
      </c>
      <c r="Q226" s="1"/>
      <c r="R226" s="5">
        <f t="shared" si="65"/>
        <v>1.7035174656997074E-3</v>
      </c>
      <c r="S226" s="1"/>
      <c r="T226" s="1">
        <f>SUM(OSRRefT22_9x_0)</f>
        <v>11045</v>
      </c>
      <c r="U226" s="1"/>
      <c r="V226" s="5">
        <f t="shared" si="66"/>
        <v>1.8165345687414208E-3</v>
      </c>
      <c r="W226" s="1"/>
      <c r="X226" s="1">
        <f t="shared" si="67"/>
        <v>-1292.0100000000002</v>
      </c>
      <c r="Y226" s="1"/>
      <c r="Z226" s="5">
        <f t="shared" si="68"/>
        <v>-0.11697691263014941</v>
      </c>
    </row>
    <row r="227" spans="1:26" s="24" customFormat="1" hidden="1" outlineLevel="2" x14ac:dyDescent="0.25">
      <c r="A227" s="27"/>
      <c r="B227" s="11" t="str">
        <f>CONCATENATE("          ", "6351", " - ", "EQUIPMENT RENTAL")</f>
        <v xml:space="preserve">          6351 - EQUIPMENT RENTAL</v>
      </c>
      <c r="C227" s="11"/>
      <c r="D227" s="6">
        <v>6519.98</v>
      </c>
      <c r="E227" s="2"/>
      <c r="F227" s="7">
        <f t="shared" si="61"/>
        <v>1.5456432397203666E-3</v>
      </c>
      <c r="G227" s="2"/>
      <c r="H227" s="6">
        <v>5280</v>
      </c>
      <c r="I227" s="2"/>
      <c r="J227" s="7">
        <f t="shared" si="62"/>
        <v>1.1893434768681592E-3</v>
      </c>
      <c r="K227" s="2"/>
      <c r="L227" s="6">
        <f t="shared" si="63"/>
        <v>1239.9799999999996</v>
      </c>
      <c r="M227" s="2"/>
      <c r="N227" s="7">
        <f t="shared" si="64"/>
        <v>0.2348446969696969</v>
      </c>
      <c r="O227" s="11"/>
      <c r="P227" s="6">
        <v>9752.99</v>
      </c>
      <c r="Q227" s="2"/>
      <c r="R227" s="7">
        <f t="shared" si="65"/>
        <v>1.7035174656997074E-3</v>
      </c>
      <c r="S227" s="2"/>
      <c r="T227" s="6">
        <v>11045</v>
      </c>
      <c r="U227" s="2"/>
      <c r="V227" s="7">
        <f t="shared" si="66"/>
        <v>1.8165345687414208E-3</v>
      </c>
      <c r="W227" s="2"/>
      <c r="X227" s="6">
        <f t="shared" si="67"/>
        <v>-1292.0100000000002</v>
      </c>
      <c r="Y227" s="2"/>
      <c r="Z227" s="7">
        <f t="shared" si="68"/>
        <v>-0.11697691263014941</v>
      </c>
    </row>
    <row r="228" spans="1:26" s="26" customFormat="1" outlineLevel="1" collapsed="1" x14ac:dyDescent="0.25">
      <c r="A228" s="25"/>
      <c r="B228" s="13" t="str">
        <f>CONCATENATE("     ","Freight out/Postage                               ")</f>
        <v xml:space="preserve">     Freight out/Postage                               </v>
      </c>
      <c r="C228" s="13"/>
      <c r="D228" s="1">
        <f>SUM(OSRRefD22_10x_0)</f>
        <v>-12859.049999999997</v>
      </c>
      <c r="E228" s="1"/>
      <c r="F228" s="5">
        <f t="shared" si="61"/>
        <v>-3.0483994892202397E-3</v>
      </c>
      <c r="G228" s="1"/>
      <c r="H228" s="1">
        <f>SUM(OSRRefH22_10x_0)</f>
        <v>-2174</v>
      </c>
      <c r="I228" s="1"/>
      <c r="J228" s="5">
        <f t="shared" si="62"/>
        <v>-4.897031664226095E-4</v>
      </c>
      <c r="K228" s="1"/>
      <c r="L228" s="1">
        <f t="shared" si="63"/>
        <v>-10685.049999999997</v>
      </c>
      <c r="M228" s="1"/>
      <c r="N228" s="5">
        <f t="shared" si="64"/>
        <v>4.9149264029438813</v>
      </c>
      <c r="O228" s="13"/>
      <c r="P228" s="1">
        <f>SUM(OSRRefP22_10x_0)</f>
        <v>-15019.189999999999</v>
      </c>
      <c r="Q228" s="1"/>
      <c r="R228" s="5">
        <f t="shared" si="65"/>
        <v>-2.6233444805810716E-3</v>
      </c>
      <c r="S228" s="1"/>
      <c r="T228" s="1">
        <f>SUM(OSRRefT22_10x_0)</f>
        <v>-2848</v>
      </c>
      <c r="U228" s="1"/>
      <c r="V228" s="5">
        <f t="shared" si="66"/>
        <v>-4.6840112736763843E-4</v>
      </c>
      <c r="W228" s="1"/>
      <c r="X228" s="1">
        <f t="shared" si="67"/>
        <v>-12171.189999999999</v>
      </c>
      <c r="Y228" s="1"/>
      <c r="Z228" s="5">
        <f t="shared" si="68"/>
        <v>4.2735919943820218</v>
      </c>
    </row>
    <row r="229" spans="1:26" s="24" customFormat="1" hidden="1" outlineLevel="2" x14ac:dyDescent="0.25">
      <c r="A229" s="27"/>
      <c r="B229" s="11" t="str">
        <f>CONCATENATE("          ", "6305", " - ", "FREIGHT OUT")</f>
        <v xml:space="preserve">          6305 - FREIGHT OUT</v>
      </c>
      <c r="C229" s="11"/>
      <c r="D229" s="6">
        <v>2905</v>
      </c>
      <c r="E229" s="2"/>
      <c r="F229" s="7">
        <f t="shared" si="61"/>
        <v>6.8866677679803702E-4</v>
      </c>
      <c r="G229" s="2"/>
      <c r="H229" s="6">
        <v>-2225</v>
      </c>
      <c r="I229" s="2"/>
      <c r="J229" s="7">
        <f t="shared" si="62"/>
        <v>-5.0119114318781328E-4</v>
      </c>
      <c r="K229" s="2"/>
      <c r="L229" s="6">
        <f t="shared" si="63"/>
        <v>5130</v>
      </c>
      <c r="M229" s="2"/>
      <c r="N229" s="7">
        <f t="shared" si="64"/>
        <v>-2.3056179775280898</v>
      </c>
      <c r="O229" s="11"/>
      <c r="P229" s="6">
        <v>4394.41</v>
      </c>
      <c r="Q229" s="2"/>
      <c r="R229" s="7">
        <f t="shared" si="65"/>
        <v>7.675547894999842E-4</v>
      </c>
      <c r="S229" s="2"/>
      <c r="T229" s="6">
        <v>-2950</v>
      </c>
      <c r="U229" s="2"/>
      <c r="V229" s="7">
        <f t="shared" si="66"/>
        <v>-4.8517672954161986E-4</v>
      </c>
      <c r="W229" s="2"/>
      <c r="X229" s="6">
        <f t="shared" si="67"/>
        <v>7344.41</v>
      </c>
      <c r="Y229" s="2"/>
      <c r="Z229" s="7">
        <f t="shared" si="68"/>
        <v>-2.4896305084745762</v>
      </c>
    </row>
    <row r="230" spans="1:26" s="24" customFormat="1" hidden="1" outlineLevel="2" x14ac:dyDescent="0.25">
      <c r="A230" s="27"/>
      <c r="B230" s="11" t="str">
        <f>CONCATENATE("          ", "6307", " - ", "POSTAGE")</f>
        <v xml:space="preserve">          6307 - POSTAGE</v>
      </c>
      <c r="C230" s="11"/>
      <c r="D230" s="6">
        <v>-15764.049999999997</v>
      </c>
      <c r="E230" s="2"/>
      <c r="F230" s="7">
        <f t="shared" si="61"/>
        <v>-3.7370662660182767E-3</v>
      </c>
      <c r="G230" s="2"/>
      <c r="H230" s="6">
        <v>51</v>
      </c>
      <c r="I230" s="2"/>
      <c r="J230" s="7">
        <f t="shared" si="62"/>
        <v>1.148797676520381E-5</v>
      </c>
      <c r="K230" s="2"/>
      <c r="L230" s="6">
        <f t="shared" si="63"/>
        <v>-15815.049999999997</v>
      </c>
      <c r="M230" s="2"/>
      <c r="N230" s="7">
        <f t="shared" si="64"/>
        <v>-310.0990196078431</v>
      </c>
      <c r="O230" s="11"/>
      <c r="P230" s="6">
        <v>-19413.599999999999</v>
      </c>
      <c r="Q230" s="2"/>
      <c r="R230" s="7">
        <f t="shared" si="65"/>
        <v>-3.3908992700810558E-3</v>
      </c>
      <c r="S230" s="2"/>
      <c r="T230" s="6">
        <v>102</v>
      </c>
      <c r="U230" s="2"/>
      <c r="V230" s="7">
        <f t="shared" si="66"/>
        <v>1.6775602173981433E-5</v>
      </c>
      <c r="W230" s="2"/>
      <c r="X230" s="6">
        <f t="shared" si="67"/>
        <v>-19515.599999999999</v>
      </c>
      <c r="Y230" s="2"/>
      <c r="Z230" s="7">
        <f t="shared" si="68"/>
        <v>-191.32941176470587</v>
      </c>
    </row>
    <row r="231" spans="1:26" s="26" customFormat="1" outlineLevel="1" collapsed="1" x14ac:dyDescent="0.25">
      <c r="A231" s="25"/>
      <c r="B231" s="13" t="str">
        <f>CONCATENATE("     ","General                                           ")</f>
        <v xml:space="preserve">     General                                           </v>
      </c>
      <c r="C231" s="13"/>
      <c r="D231" s="1">
        <f>SUM(OSRRefD22_11x_0)</f>
        <v>-10049.09</v>
      </c>
      <c r="E231" s="1"/>
      <c r="F231" s="5">
        <f t="shared" ref="F231:F233" si="69">IF(D$12=0,0,D231/D$12)</f>
        <v>-2.3822631394331793E-3</v>
      </c>
      <c r="G231" s="1"/>
      <c r="H231" s="1">
        <f>SUM(OSRRefH22_11x_0)</f>
        <v>7782</v>
      </c>
      <c r="I231" s="1"/>
      <c r="J231" s="5">
        <f t="shared" ref="J231:J233" si="70">IF(H$12=0,0,H231/H$12)</f>
        <v>1.7529301017022755E-3</v>
      </c>
      <c r="K231" s="1"/>
      <c r="L231" s="1">
        <f t="shared" ref="L231:L233" si="71">+D231-H231</f>
        <v>-17831.09</v>
      </c>
      <c r="M231" s="1"/>
      <c r="N231" s="5">
        <f t="shared" ref="N231:N233" si="72">IF(H231=0,0,L231/H231)</f>
        <v>-2.2913248522230791</v>
      </c>
      <c r="O231" s="13"/>
      <c r="P231" s="1">
        <f>SUM(OSRRefP22_11x_0)</f>
        <v>18394.8</v>
      </c>
      <c r="Q231" s="1"/>
      <c r="R231" s="5">
        <f t="shared" ref="R231:R233" si="73">IF(P$12=0,0,P231/P$12)</f>
        <v>3.2129493701985724E-3</v>
      </c>
      <c r="S231" s="1"/>
      <c r="T231" s="1">
        <f>SUM(OSRRefT22_11x_0)</f>
        <v>23352</v>
      </c>
      <c r="U231" s="1"/>
      <c r="V231" s="5">
        <f t="shared" ref="V231:V233" si="74">IF(T$12=0,0,T231/T$12)</f>
        <v>3.8406260977138667E-3</v>
      </c>
      <c r="W231" s="1"/>
      <c r="X231" s="1">
        <f t="shared" ref="X231:X233" si="75">+P231-T231</f>
        <v>-4957.2000000000007</v>
      </c>
      <c r="Y231" s="1"/>
      <c r="Z231" s="5">
        <f t="shared" ref="Z231:Z233" si="76">IF(T231=0,0,X231/T231)</f>
        <v>-0.21228160328879755</v>
      </c>
    </row>
    <row r="232" spans="1:26" s="24" customFormat="1" hidden="1" outlineLevel="2" x14ac:dyDescent="0.25">
      <c r="A232" s="27"/>
      <c r="B232" s="11" t="str">
        <f>CONCATENATE("          ", "6269", " - ", "ENTERTAINMENT")</f>
        <v xml:space="preserve">          6269 - ENTERTAINMENT</v>
      </c>
      <c r="C232" s="11"/>
      <c r="D232" s="6">
        <v>2600</v>
      </c>
      <c r="E232" s="2"/>
      <c r="F232" s="7">
        <f t="shared" si="69"/>
        <v>6.1636269179858735E-4</v>
      </c>
      <c r="G232" s="2"/>
      <c r="H232" s="6">
        <v>350</v>
      </c>
      <c r="I232" s="2"/>
      <c r="J232" s="7">
        <f t="shared" si="70"/>
        <v>7.8839056231790852E-5</v>
      </c>
      <c r="K232" s="2"/>
      <c r="L232" s="6">
        <f t="shared" si="71"/>
        <v>2250</v>
      </c>
      <c r="M232" s="2"/>
      <c r="N232" s="7">
        <f t="shared" si="72"/>
        <v>6.4285714285714288</v>
      </c>
      <c r="O232" s="11"/>
      <c r="P232" s="6">
        <v>2600</v>
      </c>
      <c r="Q232" s="2"/>
      <c r="R232" s="7">
        <f t="shared" si="73"/>
        <v>4.5413205702243511E-4</v>
      </c>
      <c r="S232" s="2"/>
      <c r="T232" s="6">
        <v>1500</v>
      </c>
      <c r="U232" s="2"/>
      <c r="V232" s="7">
        <f t="shared" si="74"/>
        <v>2.4670003197031515E-4</v>
      </c>
      <c r="W232" s="2"/>
      <c r="X232" s="6">
        <f t="shared" si="75"/>
        <v>1100</v>
      </c>
      <c r="Y232" s="2"/>
      <c r="Z232" s="7">
        <f t="shared" si="76"/>
        <v>0.73333333333333328</v>
      </c>
    </row>
    <row r="233" spans="1:26" s="24" customFormat="1" hidden="1" outlineLevel="2" x14ac:dyDescent="0.25">
      <c r="A233" s="27"/>
      <c r="B233" s="11" t="str">
        <f>CONCATENATE("          ", "6279", " - ", "GENERAL EXPENSE")</f>
        <v xml:space="preserve">          6279 - GENERAL EXPENSE</v>
      </c>
      <c r="C233" s="11"/>
      <c r="D233" s="6">
        <v>-12649.09</v>
      </c>
      <c r="E233" s="2"/>
      <c r="F233" s="7">
        <f t="shared" si="69"/>
        <v>-2.9986258312317666E-3</v>
      </c>
      <c r="G233" s="2"/>
      <c r="H233" s="6">
        <v>7432</v>
      </c>
      <c r="I233" s="2"/>
      <c r="J233" s="7">
        <f t="shared" si="70"/>
        <v>1.6740910454704847E-3</v>
      </c>
      <c r="K233" s="2"/>
      <c r="L233" s="6">
        <f t="shared" si="71"/>
        <v>-20081.09</v>
      </c>
      <c r="M233" s="2"/>
      <c r="N233" s="7">
        <f t="shared" si="72"/>
        <v>-2.7019765877287405</v>
      </c>
      <c r="O233" s="11"/>
      <c r="P233" s="6">
        <v>15794.8</v>
      </c>
      <c r="Q233" s="2"/>
      <c r="R233" s="7">
        <f t="shared" si="73"/>
        <v>2.7588173131761376E-3</v>
      </c>
      <c r="S233" s="2"/>
      <c r="T233" s="6">
        <v>21852</v>
      </c>
      <c r="U233" s="2"/>
      <c r="V233" s="7">
        <f t="shared" si="74"/>
        <v>3.5939260657435516E-3</v>
      </c>
      <c r="W233" s="2"/>
      <c r="X233" s="6">
        <f t="shared" si="75"/>
        <v>-6057.2000000000007</v>
      </c>
      <c r="Y233" s="2"/>
      <c r="Z233" s="7">
        <f t="shared" si="76"/>
        <v>-0.27719201903715912</v>
      </c>
    </row>
    <row r="234" spans="1:26" s="26" customFormat="1" outlineLevel="1" collapsed="1" x14ac:dyDescent="0.25">
      <c r="A234" s="25"/>
      <c r="B234" s="13" t="str">
        <f>CONCATENATE("     ","Insurance                                         ")</f>
        <v xml:space="preserve">     Insurance                                         </v>
      </c>
      <c r="C234" s="13"/>
      <c r="D234" s="1">
        <f>SUM(OSRRefD22_12x_0)</f>
        <v>8563.32</v>
      </c>
      <c r="E234" s="1"/>
      <c r="F234" s="5">
        <f t="shared" ref="F234:F250" si="77">IF(D$12=0,0,D234/D$12)</f>
        <v>2.0300426792048765E-3</v>
      </c>
      <c r="G234" s="1"/>
      <c r="H234" s="1">
        <f>SUM(OSRRefH22_12x_0)</f>
        <v>8081</v>
      </c>
      <c r="I234" s="1"/>
      <c r="J234" s="5">
        <f t="shared" ref="J234:J250" si="78">IF(H$12=0,0,H234/H$12)</f>
        <v>1.8202811811688627E-3</v>
      </c>
      <c r="K234" s="1"/>
      <c r="L234" s="1">
        <f t="shared" ref="L234:L250" si="79">+D234-H234</f>
        <v>482.31999999999971</v>
      </c>
      <c r="M234" s="1"/>
      <c r="N234" s="5">
        <f t="shared" ref="N234:N250" si="80">IF(H234=0,0,L234/H234)</f>
        <v>5.9685682465041419E-2</v>
      </c>
      <c r="O234" s="13"/>
      <c r="P234" s="1">
        <f>SUM(OSRRefP22_12x_0)</f>
        <v>17126.64</v>
      </c>
      <c r="Q234" s="1"/>
      <c r="R234" s="5">
        <f t="shared" ref="R234:R250" si="81">IF(P$12=0,0,P234/P$12)</f>
        <v>2.9914447127241221E-3</v>
      </c>
      <c r="S234" s="1"/>
      <c r="T234" s="1">
        <f>SUM(OSRRefT22_12x_0)</f>
        <v>16162</v>
      </c>
      <c r="U234" s="1"/>
      <c r="V234" s="5">
        <f t="shared" ref="V234:V250" si="82">IF(T$12=0,0,T234/T$12)</f>
        <v>2.658110611136156E-3</v>
      </c>
      <c r="W234" s="1"/>
      <c r="X234" s="1">
        <f t="shared" ref="X234:X250" si="83">+P234-T234</f>
        <v>964.63999999999942</v>
      </c>
      <c r="Y234" s="1"/>
      <c r="Z234" s="5">
        <f t="shared" ref="Z234:Z250" si="84">IF(T234=0,0,X234/T234)</f>
        <v>5.9685682465041419E-2</v>
      </c>
    </row>
    <row r="235" spans="1:26" s="24" customFormat="1" hidden="1" outlineLevel="2" x14ac:dyDescent="0.25">
      <c r="A235" s="27"/>
      <c r="B235" s="11" t="str">
        <f>CONCATENATE("          ", "6314", " - ", "LIABILITY INSURANCE")</f>
        <v xml:space="preserve">          6314 - LIABILITY INSURANCE</v>
      </c>
      <c r="C235" s="11"/>
      <c r="D235" s="6">
        <v>8563.32</v>
      </c>
      <c r="E235" s="2"/>
      <c r="F235" s="7">
        <f t="shared" si="77"/>
        <v>2.0300426792048765E-3</v>
      </c>
      <c r="G235" s="2"/>
      <c r="H235" s="6">
        <v>8081</v>
      </c>
      <c r="I235" s="2"/>
      <c r="J235" s="7">
        <f t="shared" si="78"/>
        <v>1.8202811811688627E-3</v>
      </c>
      <c r="K235" s="2"/>
      <c r="L235" s="6">
        <f t="shared" si="79"/>
        <v>482.31999999999971</v>
      </c>
      <c r="M235" s="2"/>
      <c r="N235" s="7">
        <f t="shared" si="80"/>
        <v>5.9685682465041419E-2</v>
      </c>
      <c r="O235" s="11"/>
      <c r="P235" s="6">
        <v>17126.64</v>
      </c>
      <c r="Q235" s="2"/>
      <c r="R235" s="7">
        <f t="shared" si="81"/>
        <v>2.9914447127241221E-3</v>
      </c>
      <c r="S235" s="2"/>
      <c r="T235" s="6">
        <v>16162</v>
      </c>
      <c r="U235" s="2"/>
      <c r="V235" s="7">
        <f t="shared" si="82"/>
        <v>2.658110611136156E-3</v>
      </c>
      <c r="W235" s="2"/>
      <c r="X235" s="6">
        <f t="shared" si="83"/>
        <v>964.63999999999942</v>
      </c>
      <c r="Y235" s="2"/>
      <c r="Z235" s="7">
        <f t="shared" si="84"/>
        <v>5.9685682465041419E-2</v>
      </c>
    </row>
    <row r="236" spans="1:26" s="26" customFormat="1" outlineLevel="1" collapsed="1" x14ac:dyDescent="0.25">
      <c r="A236" s="25"/>
      <c r="B236" s="13" t="str">
        <f>CONCATENATE("     ","Interest                                          ")</f>
        <v xml:space="preserve">     Interest                                          </v>
      </c>
      <c r="C236" s="13"/>
      <c r="D236" s="1">
        <f>SUM(OSRRefD22_13x_0)</f>
        <v>11740</v>
      </c>
      <c r="E236" s="1"/>
      <c r="F236" s="5">
        <f t="shared" si="77"/>
        <v>2.7831146160443906E-3</v>
      </c>
      <c r="G236" s="1"/>
      <c r="H236" s="1">
        <f>SUM(OSRRefH22_13x_0)</f>
        <v>11929</v>
      </c>
      <c r="I236" s="1"/>
      <c r="J236" s="5">
        <f t="shared" si="78"/>
        <v>2.687060290825809E-3</v>
      </c>
      <c r="K236" s="1"/>
      <c r="L236" s="1">
        <f t="shared" si="79"/>
        <v>-189</v>
      </c>
      <c r="M236" s="1"/>
      <c r="N236" s="5">
        <f t="shared" si="80"/>
        <v>-1.5843742141000924E-2</v>
      </c>
      <c r="O236" s="13"/>
      <c r="P236" s="1">
        <f>SUM(OSRRefP22_13x_0)</f>
        <v>23480</v>
      </c>
      <c r="Q236" s="1"/>
      <c r="R236" s="5">
        <f t="shared" si="81"/>
        <v>4.1011618072641443E-3</v>
      </c>
      <c r="S236" s="1"/>
      <c r="T236" s="1">
        <f>SUM(OSRRefT22_13x_0)</f>
        <v>23858</v>
      </c>
      <c r="U236" s="1"/>
      <c r="V236" s="5">
        <f t="shared" si="82"/>
        <v>3.9238462418318531E-3</v>
      </c>
      <c r="W236" s="1"/>
      <c r="X236" s="1">
        <f t="shared" si="83"/>
        <v>-378</v>
      </c>
      <c r="Y236" s="1"/>
      <c r="Z236" s="5">
        <f t="shared" si="84"/>
        <v>-1.5843742141000924E-2</v>
      </c>
    </row>
    <row r="237" spans="1:26" s="24" customFormat="1" hidden="1" outlineLevel="2" x14ac:dyDescent="0.25">
      <c r="A237" s="27"/>
      <c r="B237" s="11" t="str">
        <f>CONCATENATE("          ", "6401", " - ", "INTEREST EXPENSE")</f>
        <v xml:space="preserve">          6401 - INTEREST EXPENSE</v>
      </c>
      <c r="C237" s="11"/>
      <c r="D237" s="6">
        <v>11740</v>
      </c>
      <c r="E237" s="2"/>
      <c r="F237" s="7">
        <f t="shared" si="77"/>
        <v>2.7831146160443906E-3</v>
      </c>
      <c r="G237" s="2"/>
      <c r="H237" s="6">
        <v>11929</v>
      </c>
      <c r="I237" s="2"/>
      <c r="J237" s="7">
        <f t="shared" si="78"/>
        <v>2.687060290825809E-3</v>
      </c>
      <c r="K237" s="2"/>
      <c r="L237" s="6">
        <f t="shared" si="79"/>
        <v>-189</v>
      </c>
      <c r="M237" s="2"/>
      <c r="N237" s="7">
        <f t="shared" si="80"/>
        <v>-1.5843742141000924E-2</v>
      </c>
      <c r="O237" s="11"/>
      <c r="P237" s="6">
        <v>23480</v>
      </c>
      <c r="Q237" s="2"/>
      <c r="R237" s="7">
        <f t="shared" si="81"/>
        <v>4.1011618072641443E-3</v>
      </c>
      <c r="S237" s="2"/>
      <c r="T237" s="6">
        <v>23858</v>
      </c>
      <c r="U237" s="2"/>
      <c r="V237" s="7">
        <f t="shared" si="82"/>
        <v>3.9238462418318531E-3</v>
      </c>
      <c r="W237" s="2"/>
      <c r="X237" s="6">
        <f t="shared" si="83"/>
        <v>-378</v>
      </c>
      <c r="Y237" s="2"/>
      <c r="Z237" s="7">
        <f t="shared" si="84"/>
        <v>-1.5843742141000924E-2</v>
      </c>
    </row>
    <row r="238" spans="1:26" s="26" customFormat="1" outlineLevel="1" collapsed="1" x14ac:dyDescent="0.25">
      <c r="A238" s="25"/>
      <c r="B238" s="13" t="str">
        <f>CONCATENATE("     ","Inventory Adjustment                              ")</f>
        <v xml:space="preserve">     Inventory Adjustment                              </v>
      </c>
      <c r="C238" s="13"/>
      <c r="D238" s="1">
        <f>SUM(OSRRefD22_14x_0)</f>
        <v>4250</v>
      </c>
      <c r="E238" s="1"/>
      <c r="F238" s="5">
        <f t="shared" si="77"/>
        <v>1.0075159385169216E-3</v>
      </c>
      <c r="G238" s="1"/>
      <c r="H238" s="1">
        <f>SUM(OSRRefH22_14x_0)</f>
        <v>4250</v>
      </c>
      <c r="I238" s="1"/>
      <c r="J238" s="5">
        <f t="shared" si="78"/>
        <v>9.5733139710031754E-4</v>
      </c>
      <c r="K238" s="1"/>
      <c r="L238" s="1">
        <f t="shared" si="79"/>
        <v>0</v>
      </c>
      <c r="M238" s="1"/>
      <c r="N238" s="5">
        <f t="shared" si="80"/>
        <v>0</v>
      </c>
      <c r="O238" s="13"/>
      <c r="P238" s="1">
        <f>SUM(OSRRefP22_14x_0)</f>
        <v>8400</v>
      </c>
      <c r="Q238" s="1"/>
      <c r="R238" s="5">
        <f t="shared" si="81"/>
        <v>1.4671958765340211E-3</v>
      </c>
      <c r="S238" s="1"/>
      <c r="T238" s="1">
        <f>SUM(OSRRefT22_14x_0)</f>
        <v>8400</v>
      </c>
      <c r="U238" s="1"/>
      <c r="V238" s="5">
        <f t="shared" si="82"/>
        <v>1.381520179033765E-3</v>
      </c>
      <c r="W238" s="1"/>
      <c r="X238" s="1">
        <f t="shared" si="83"/>
        <v>0</v>
      </c>
      <c r="Y238" s="1"/>
      <c r="Z238" s="5">
        <f t="shared" si="84"/>
        <v>0</v>
      </c>
    </row>
    <row r="239" spans="1:26" s="24" customFormat="1" hidden="1" outlineLevel="2" x14ac:dyDescent="0.25">
      <c r="A239" s="27"/>
      <c r="B239" s="11" t="str">
        <f>CONCATENATE("          ", "6408", " - ", "INVENTORY ADJUSTMENT")</f>
        <v xml:space="preserve">          6408 - INVENTORY ADJUSTMENT</v>
      </c>
      <c r="C239" s="11"/>
      <c r="D239" s="6">
        <v>4250</v>
      </c>
      <c r="E239" s="2"/>
      <c r="F239" s="7">
        <f t="shared" si="77"/>
        <v>1.0075159385169216E-3</v>
      </c>
      <c r="G239" s="2"/>
      <c r="H239" s="6">
        <v>4250</v>
      </c>
      <c r="I239" s="2"/>
      <c r="J239" s="7">
        <f t="shared" si="78"/>
        <v>9.5733139710031754E-4</v>
      </c>
      <c r="K239" s="2"/>
      <c r="L239" s="6">
        <f t="shared" si="79"/>
        <v>0</v>
      </c>
      <c r="M239" s="2"/>
      <c r="N239" s="7">
        <f t="shared" si="80"/>
        <v>0</v>
      </c>
      <c r="O239" s="11"/>
      <c r="P239" s="6">
        <v>8400</v>
      </c>
      <c r="Q239" s="2"/>
      <c r="R239" s="7">
        <f t="shared" si="81"/>
        <v>1.4671958765340211E-3</v>
      </c>
      <c r="S239" s="2"/>
      <c r="T239" s="6">
        <v>8400</v>
      </c>
      <c r="U239" s="2"/>
      <c r="V239" s="7">
        <f t="shared" si="82"/>
        <v>1.381520179033765E-3</v>
      </c>
      <c r="W239" s="2"/>
      <c r="X239" s="6">
        <f t="shared" si="83"/>
        <v>0</v>
      </c>
      <c r="Y239" s="2"/>
      <c r="Z239" s="7">
        <f t="shared" si="84"/>
        <v>0</v>
      </c>
    </row>
    <row r="240" spans="1:26" s="26" customFormat="1" outlineLevel="1" collapsed="1" x14ac:dyDescent="0.25">
      <c r="A240" s="25"/>
      <c r="B240" s="13" t="str">
        <f>CONCATENATE("     ","Professional Services                             ")</f>
        <v xml:space="preserve">     Professional Services                             </v>
      </c>
      <c r="C240" s="13"/>
      <c r="D240" s="1">
        <f>SUM(OSRRefD22_15x_0)</f>
        <v>125</v>
      </c>
      <c r="E240" s="1"/>
      <c r="F240" s="5">
        <f t="shared" si="77"/>
        <v>2.963282172108593E-5</v>
      </c>
      <c r="G240" s="1"/>
      <c r="H240" s="1">
        <f>SUM(OSRRefH22_15x_0)</f>
        <v>1415</v>
      </c>
      <c r="I240" s="1"/>
      <c r="J240" s="5">
        <f t="shared" si="78"/>
        <v>3.1873504162281159E-4</v>
      </c>
      <c r="K240" s="1"/>
      <c r="L240" s="1">
        <f t="shared" si="79"/>
        <v>-1290</v>
      </c>
      <c r="M240" s="1"/>
      <c r="N240" s="5">
        <f t="shared" si="80"/>
        <v>-0.91166077738515905</v>
      </c>
      <c r="O240" s="13"/>
      <c r="P240" s="1">
        <f>SUM(OSRRefP22_15x_0)</f>
        <v>6283.41</v>
      </c>
      <c r="Q240" s="1"/>
      <c r="R240" s="5">
        <f t="shared" si="81"/>
        <v>1.0974991955443611E-3</v>
      </c>
      <c r="S240" s="1"/>
      <c r="T240" s="1">
        <f>SUM(OSRRefT22_15x_0)</f>
        <v>5230</v>
      </c>
      <c r="U240" s="1"/>
      <c r="V240" s="5">
        <f t="shared" si="82"/>
        <v>8.6016077813649893E-4</v>
      </c>
      <c r="W240" s="1"/>
      <c r="X240" s="1">
        <f t="shared" si="83"/>
        <v>1053.4099999999999</v>
      </c>
      <c r="Y240" s="1"/>
      <c r="Z240" s="5">
        <f t="shared" si="84"/>
        <v>0.20141682600382407</v>
      </c>
    </row>
    <row r="241" spans="1:26" s="24" customFormat="1" hidden="1" outlineLevel="2" x14ac:dyDescent="0.25">
      <c r="A241" s="27"/>
      <c r="B241" s="11" t="str">
        <f>CONCATENATE("          ", "6336", " - ", "PROFESSIONAL SERVICES")</f>
        <v xml:space="preserve">          6336 - PROFESSIONAL SERVICES</v>
      </c>
      <c r="C241" s="11"/>
      <c r="D241" s="6">
        <v>125</v>
      </c>
      <c r="E241" s="2"/>
      <c r="F241" s="7">
        <f t="shared" si="77"/>
        <v>2.963282172108593E-5</v>
      </c>
      <c r="G241" s="2"/>
      <c r="H241" s="6">
        <v>1415</v>
      </c>
      <c r="I241" s="2"/>
      <c r="J241" s="7">
        <f t="shared" si="78"/>
        <v>3.1873504162281159E-4</v>
      </c>
      <c r="K241" s="2"/>
      <c r="L241" s="6">
        <f t="shared" si="79"/>
        <v>-1290</v>
      </c>
      <c r="M241" s="2"/>
      <c r="N241" s="7">
        <f t="shared" si="80"/>
        <v>-0.91166077738515905</v>
      </c>
      <c r="O241" s="11"/>
      <c r="P241" s="6">
        <v>6283.41</v>
      </c>
      <c r="Q241" s="2"/>
      <c r="R241" s="7">
        <f t="shared" si="81"/>
        <v>1.0974991955443611E-3</v>
      </c>
      <c r="S241" s="2"/>
      <c r="T241" s="6">
        <v>5230</v>
      </c>
      <c r="U241" s="2"/>
      <c r="V241" s="7">
        <f t="shared" si="82"/>
        <v>8.6016077813649893E-4</v>
      </c>
      <c r="W241" s="2"/>
      <c r="X241" s="6">
        <f t="shared" si="83"/>
        <v>1053.4099999999999</v>
      </c>
      <c r="Y241" s="2"/>
      <c r="Z241" s="7">
        <f t="shared" si="84"/>
        <v>0.20141682600382407</v>
      </c>
    </row>
    <row r="242" spans="1:26" s="26" customFormat="1" outlineLevel="1" collapsed="1" x14ac:dyDescent="0.25">
      <c r="A242" s="25"/>
      <c r="B242" s="13" t="str">
        <f>CONCATENATE("     ","R/H Commissions                                   ")</f>
        <v xml:space="preserve">     R/H Commissions                                   </v>
      </c>
      <c r="C242" s="13"/>
      <c r="D242" s="1">
        <f>SUM(OSRRefD22_16x_0)</f>
        <v>32320.179999999997</v>
      </c>
      <c r="E242" s="1"/>
      <c r="F242" s="5">
        <f t="shared" si="77"/>
        <v>7.661905055467255E-3</v>
      </c>
      <c r="G242" s="1"/>
      <c r="H242" s="1">
        <f>SUM(OSRRefH22_16x_0)</f>
        <v>37900</v>
      </c>
      <c r="I242" s="1"/>
      <c r="J242" s="5">
        <f t="shared" si="78"/>
        <v>8.537143517671068E-3</v>
      </c>
      <c r="K242" s="1"/>
      <c r="L242" s="1">
        <f t="shared" si="79"/>
        <v>-5579.8200000000033</v>
      </c>
      <c r="M242" s="1"/>
      <c r="N242" s="5">
        <f t="shared" si="80"/>
        <v>-0.14722480211081804</v>
      </c>
      <c r="O242" s="13"/>
      <c r="P242" s="1">
        <f>SUM(OSRRefP22_16x_0)</f>
        <v>72032.83</v>
      </c>
      <c r="Q242" s="1"/>
      <c r="R242" s="5">
        <f t="shared" si="81"/>
        <v>1.2581698946556683E-2</v>
      </c>
      <c r="S242" s="1"/>
      <c r="T242" s="1">
        <f>SUM(OSRRefT22_16x_0)</f>
        <v>77724</v>
      </c>
      <c r="U242" s="1"/>
      <c r="V242" s="5">
        <f t="shared" si="82"/>
        <v>1.2783008856573852E-2</v>
      </c>
      <c r="W242" s="1"/>
      <c r="X242" s="1">
        <f t="shared" si="83"/>
        <v>-5691.1699999999983</v>
      </c>
      <c r="Y242" s="1"/>
      <c r="Z242" s="5">
        <f t="shared" si="84"/>
        <v>-7.3222814060007177E-2</v>
      </c>
    </row>
    <row r="243" spans="1:26" s="24" customFormat="1" hidden="1" outlineLevel="2" x14ac:dyDescent="0.25">
      <c r="A243" s="27"/>
      <c r="B243" s="11" t="str">
        <f>CONCATENATE("          ", "6387", " - ", "COMMISSION DUE HOUSING")</f>
        <v xml:space="preserve">          6387 - COMMISSION DUE HOUSING</v>
      </c>
      <c r="C243" s="11"/>
      <c r="D243" s="6">
        <v>32320.179999999997</v>
      </c>
      <c r="E243" s="2"/>
      <c r="F243" s="7">
        <f t="shared" si="77"/>
        <v>7.661905055467255E-3</v>
      </c>
      <c r="G243" s="2"/>
      <c r="H243" s="6">
        <v>37900</v>
      </c>
      <c r="I243" s="2"/>
      <c r="J243" s="7">
        <f t="shared" si="78"/>
        <v>8.537143517671068E-3</v>
      </c>
      <c r="K243" s="2"/>
      <c r="L243" s="6">
        <f t="shared" si="79"/>
        <v>-5579.8200000000033</v>
      </c>
      <c r="M243" s="2"/>
      <c r="N243" s="7">
        <f t="shared" si="80"/>
        <v>-0.14722480211081804</v>
      </c>
      <c r="O243" s="11"/>
      <c r="P243" s="6">
        <v>72032.83</v>
      </c>
      <c r="Q243" s="2"/>
      <c r="R243" s="7">
        <f t="shared" si="81"/>
        <v>1.2581698946556683E-2</v>
      </c>
      <c r="S243" s="2"/>
      <c r="T243" s="6">
        <v>77724</v>
      </c>
      <c r="U243" s="2"/>
      <c r="V243" s="7">
        <f t="shared" si="82"/>
        <v>1.2783008856573852E-2</v>
      </c>
      <c r="W243" s="2"/>
      <c r="X243" s="6">
        <f t="shared" si="83"/>
        <v>-5691.1699999999983</v>
      </c>
      <c r="Y243" s="2"/>
      <c r="Z243" s="7">
        <f t="shared" si="84"/>
        <v>-7.3222814060007177E-2</v>
      </c>
    </row>
    <row r="244" spans="1:26" s="26" customFormat="1" outlineLevel="1" collapsed="1" x14ac:dyDescent="0.25">
      <c r="A244" s="25"/>
      <c r="B244" s="13" t="str">
        <f>CONCATENATE("     ","Rent                                              ")</f>
        <v xml:space="preserve">     Rent                                              </v>
      </c>
      <c r="C244" s="13"/>
      <c r="D244" s="1">
        <f>SUM(OSRRefD22_17x_0)</f>
        <v>9900</v>
      </c>
      <c r="E244" s="1"/>
      <c r="F244" s="5">
        <f t="shared" si="77"/>
        <v>2.3469194803100056E-3</v>
      </c>
      <c r="G244" s="1"/>
      <c r="H244" s="1">
        <f>SUM(OSRRefH22_17x_0)</f>
        <v>10200</v>
      </c>
      <c r="I244" s="1"/>
      <c r="J244" s="5">
        <f t="shared" si="78"/>
        <v>2.2975953530407624E-3</v>
      </c>
      <c r="K244" s="1"/>
      <c r="L244" s="1">
        <f t="shared" si="79"/>
        <v>-300</v>
      </c>
      <c r="M244" s="1"/>
      <c r="N244" s="5">
        <f t="shared" si="80"/>
        <v>-2.9411764705882353E-2</v>
      </c>
      <c r="O244" s="13"/>
      <c r="P244" s="1">
        <f>SUM(OSRRefP22_17x_0)</f>
        <v>19800</v>
      </c>
      <c r="Q244" s="1"/>
      <c r="R244" s="5">
        <f t="shared" si="81"/>
        <v>3.4583902804016212E-3</v>
      </c>
      <c r="S244" s="1"/>
      <c r="T244" s="1">
        <f>SUM(OSRRefT22_17x_0)</f>
        <v>20400</v>
      </c>
      <c r="U244" s="1"/>
      <c r="V244" s="5">
        <f t="shared" si="82"/>
        <v>3.3551204347962863E-3</v>
      </c>
      <c r="W244" s="1"/>
      <c r="X244" s="1">
        <f t="shared" si="83"/>
        <v>-600</v>
      </c>
      <c r="Y244" s="1"/>
      <c r="Z244" s="5">
        <f t="shared" si="84"/>
        <v>-2.9411764705882353E-2</v>
      </c>
    </row>
    <row r="245" spans="1:26" s="24" customFormat="1" hidden="1" outlineLevel="2" x14ac:dyDescent="0.25">
      <c r="A245" s="27"/>
      <c r="B245" s="11" t="str">
        <f>CONCATENATE("          ", "6273", " - ", "RENT")</f>
        <v xml:space="preserve">          6273 - RENT</v>
      </c>
      <c r="C245" s="11"/>
      <c r="D245" s="6">
        <v>9900</v>
      </c>
      <c r="E245" s="2"/>
      <c r="F245" s="7">
        <f t="shared" si="77"/>
        <v>2.3469194803100056E-3</v>
      </c>
      <c r="G245" s="2"/>
      <c r="H245" s="6">
        <v>10200</v>
      </c>
      <c r="I245" s="2"/>
      <c r="J245" s="7">
        <f t="shared" si="78"/>
        <v>2.2975953530407624E-3</v>
      </c>
      <c r="K245" s="2"/>
      <c r="L245" s="6">
        <f t="shared" si="79"/>
        <v>-300</v>
      </c>
      <c r="M245" s="2"/>
      <c r="N245" s="7">
        <f t="shared" si="80"/>
        <v>-2.9411764705882353E-2</v>
      </c>
      <c r="O245" s="11"/>
      <c r="P245" s="6">
        <v>19800</v>
      </c>
      <c r="Q245" s="2"/>
      <c r="R245" s="7">
        <f t="shared" si="81"/>
        <v>3.4583902804016212E-3</v>
      </c>
      <c r="S245" s="2"/>
      <c r="T245" s="6">
        <v>20400</v>
      </c>
      <c r="U245" s="2"/>
      <c r="V245" s="7">
        <f t="shared" si="82"/>
        <v>3.3551204347962863E-3</v>
      </c>
      <c r="W245" s="2"/>
      <c r="X245" s="6">
        <f t="shared" si="83"/>
        <v>-600</v>
      </c>
      <c r="Y245" s="2"/>
      <c r="Z245" s="7">
        <f t="shared" si="84"/>
        <v>-2.9411764705882353E-2</v>
      </c>
    </row>
    <row r="246" spans="1:26" s="26" customFormat="1" outlineLevel="1" collapsed="1" x14ac:dyDescent="0.25">
      <c r="A246" s="25"/>
      <c r="B246" s="13" t="str">
        <f>CONCATENATE("     ","Repair and Maintenance                            ")</f>
        <v xml:space="preserve">     Repair and Maintenance                            </v>
      </c>
      <c r="C246" s="13"/>
      <c r="D246" s="1">
        <f>SUM(OSRRefD22_18x_0)</f>
        <v>38125.15</v>
      </c>
      <c r="E246" s="1"/>
      <c r="F246" s="5">
        <f t="shared" si="77"/>
        <v>9.0380461843172742E-3</v>
      </c>
      <c r="G246" s="1"/>
      <c r="H246" s="1">
        <f>SUM(OSRRefH22_18x_0)</f>
        <v>174962</v>
      </c>
      <c r="I246" s="1"/>
      <c r="J246" s="5">
        <f t="shared" si="78"/>
        <v>3.941096844693312E-2</v>
      </c>
      <c r="K246" s="1"/>
      <c r="L246" s="1">
        <f t="shared" si="79"/>
        <v>-136836.85</v>
      </c>
      <c r="M246" s="1"/>
      <c r="N246" s="5">
        <f t="shared" si="80"/>
        <v>-0.78209468341697053</v>
      </c>
      <c r="O246" s="13"/>
      <c r="P246" s="1">
        <f>SUM(OSRRefP22_18x_0)</f>
        <v>88509.62</v>
      </c>
      <c r="Q246" s="1"/>
      <c r="R246" s="5">
        <f t="shared" si="81"/>
        <v>1.5459636844951561E-2</v>
      </c>
      <c r="S246" s="1"/>
      <c r="T246" s="1">
        <f>SUM(OSRRefT22_18x_0)</f>
        <v>257154</v>
      </c>
      <c r="U246" s="1"/>
      <c r="V246" s="5">
        <f t="shared" si="82"/>
        <v>4.2293266680862952E-2</v>
      </c>
      <c r="W246" s="1"/>
      <c r="X246" s="1">
        <f t="shared" si="83"/>
        <v>-168644.38</v>
      </c>
      <c r="Y246" s="1"/>
      <c r="Z246" s="5">
        <f t="shared" si="84"/>
        <v>-0.65581083708594856</v>
      </c>
    </row>
    <row r="247" spans="1:26" s="24" customFormat="1" hidden="1" outlineLevel="2" x14ac:dyDescent="0.25">
      <c r="A247" s="27"/>
      <c r="B247" s="11" t="str">
        <f>CONCATENATE("          ", "6371", " - ", "COMPUTER SOFTWARE MAINTENANCE")</f>
        <v xml:space="preserve">          6371 - COMPUTER SOFTWARE MAINTENANCE</v>
      </c>
      <c r="C247" s="11"/>
      <c r="D247" s="6">
        <v>7887.25</v>
      </c>
      <c r="E247" s="2"/>
      <c r="F247" s="7">
        <f t="shared" si="77"/>
        <v>1.8697717849570799E-3</v>
      </c>
      <c r="G247" s="2"/>
      <c r="H247" s="6">
        <v>126547</v>
      </c>
      <c r="I247" s="2"/>
      <c r="J247" s="7">
        <f t="shared" si="78"/>
        <v>2.8505274425612678E-2</v>
      </c>
      <c r="K247" s="2"/>
      <c r="L247" s="6">
        <f t="shared" si="79"/>
        <v>-118659.75</v>
      </c>
      <c r="M247" s="2"/>
      <c r="N247" s="7">
        <f t="shared" si="80"/>
        <v>-0.93767335456391698</v>
      </c>
      <c r="O247" s="11"/>
      <c r="P247" s="6">
        <v>8488.25</v>
      </c>
      <c r="Q247" s="2"/>
      <c r="R247" s="7">
        <f t="shared" si="81"/>
        <v>1.4826101665464172E-3</v>
      </c>
      <c r="S247" s="2"/>
      <c r="T247" s="6">
        <v>177129</v>
      </c>
      <c r="U247" s="2"/>
      <c r="V247" s="7">
        <f t="shared" si="82"/>
        <v>2.9131819975246637E-2</v>
      </c>
      <c r="W247" s="2"/>
      <c r="X247" s="6">
        <f t="shared" si="83"/>
        <v>-168640.75</v>
      </c>
      <c r="Y247" s="2"/>
      <c r="Z247" s="7">
        <f t="shared" si="84"/>
        <v>-0.95207871099594077</v>
      </c>
    </row>
    <row r="248" spans="1:26" s="24" customFormat="1" hidden="1" outlineLevel="2" x14ac:dyDescent="0.25">
      <c r="A248" s="27"/>
      <c r="B248" s="11" t="str">
        <f>CONCATENATE("          ", "6372", " - ", "COMPUTER HARDWARE MAINTENANCE")</f>
        <v xml:space="preserve">          6372 - COMPUTER HARDWARE MAINTENANCE</v>
      </c>
      <c r="C248" s="11"/>
      <c r="D248" s="6"/>
      <c r="E248" s="2"/>
      <c r="F248" s="7">
        <f t="shared" si="77"/>
        <v>0</v>
      </c>
      <c r="G248" s="2"/>
      <c r="H248" s="6">
        <v>2000</v>
      </c>
      <c r="I248" s="2"/>
      <c r="J248" s="7">
        <f t="shared" si="78"/>
        <v>4.505088927530906E-4</v>
      </c>
      <c r="K248" s="2"/>
      <c r="L248" s="6">
        <f t="shared" si="79"/>
        <v>-2000</v>
      </c>
      <c r="M248" s="2"/>
      <c r="N248" s="7">
        <f t="shared" si="80"/>
        <v>-1</v>
      </c>
      <c r="O248" s="11"/>
      <c r="P248" s="6"/>
      <c r="Q248" s="2"/>
      <c r="R248" s="7">
        <f t="shared" si="81"/>
        <v>0</v>
      </c>
      <c r="S248" s="2"/>
      <c r="T248" s="6">
        <v>4200</v>
      </c>
      <c r="U248" s="2"/>
      <c r="V248" s="7">
        <f t="shared" si="82"/>
        <v>6.9076008951688252E-4</v>
      </c>
      <c r="W248" s="2"/>
      <c r="X248" s="6">
        <f t="shared" si="83"/>
        <v>-4200</v>
      </c>
      <c r="Y248" s="2"/>
      <c r="Z248" s="7">
        <f t="shared" si="84"/>
        <v>-1</v>
      </c>
    </row>
    <row r="249" spans="1:26" s="24" customFormat="1" hidden="1" outlineLevel="2" x14ac:dyDescent="0.25">
      <c r="A249" s="27"/>
      <c r="B249" s="11" t="str">
        <f>CONCATENATE("          ", "6373", " - ", "MAINTENANCE CONTRACTS")</f>
        <v xml:space="preserve">          6373 - MAINTENANCE CONTRACTS</v>
      </c>
      <c r="C249" s="11"/>
      <c r="D249" s="6">
        <v>15979.289999999999</v>
      </c>
      <c r="E249" s="2"/>
      <c r="F249" s="7">
        <f t="shared" si="77"/>
        <v>3.7880916143962491E-3</v>
      </c>
      <c r="G249" s="2"/>
      <c r="H249" s="6">
        <v>11145</v>
      </c>
      <c r="I249" s="2"/>
      <c r="J249" s="7">
        <f t="shared" si="78"/>
        <v>2.5104608048665974E-3</v>
      </c>
      <c r="K249" s="2"/>
      <c r="L249" s="6">
        <f t="shared" si="79"/>
        <v>4834.2899999999991</v>
      </c>
      <c r="M249" s="2"/>
      <c r="N249" s="7">
        <f t="shared" si="80"/>
        <v>0.43376312247644677</v>
      </c>
      <c r="O249" s="11"/>
      <c r="P249" s="6">
        <v>28495.85</v>
      </c>
      <c r="Q249" s="2"/>
      <c r="R249" s="7">
        <f t="shared" si="81"/>
        <v>4.9772611450395214E-3</v>
      </c>
      <c r="S249" s="2"/>
      <c r="T249" s="6">
        <v>20415</v>
      </c>
      <c r="U249" s="2"/>
      <c r="V249" s="7">
        <f t="shared" si="82"/>
        <v>3.3575874351159897E-3</v>
      </c>
      <c r="W249" s="2"/>
      <c r="X249" s="6">
        <f t="shared" si="83"/>
        <v>8080.8499999999985</v>
      </c>
      <c r="Y249" s="2"/>
      <c r="Z249" s="7">
        <f t="shared" si="84"/>
        <v>0.39582904726916474</v>
      </c>
    </row>
    <row r="250" spans="1:26" s="24" customFormat="1" hidden="1" outlineLevel="2" x14ac:dyDescent="0.25">
      <c r="A250" s="27"/>
      <c r="B250" s="11" t="str">
        <f>CONCATENATE("          ", "6375", " - ", "OUTSIDE REPAIRS &amp; MAINTENANCE")</f>
        <v xml:space="preserve">          6375 - OUTSIDE REPAIRS &amp; MAINTENANCE</v>
      </c>
      <c r="C250" s="11"/>
      <c r="D250" s="6">
        <v>14258.61</v>
      </c>
      <c r="E250" s="2"/>
      <c r="F250" s="7">
        <f t="shared" si="77"/>
        <v>3.3801827849639443E-3</v>
      </c>
      <c r="G250" s="2"/>
      <c r="H250" s="6">
        <v>35270</v>
      </c>
      <c r="I250" s="2"/>
      <c r="J250" s="7">
        <f t="shared" si="78"/>
        <v>7.9447243237007522E-3</v>
      </c>
      <c r="K250" s="2"/>
      <c r="L250" s="6">
        <f t="shared" si="79"/>
        <v>-21011.39</v>
      </c>
      <c r="M250" s="2"/>
      <c r="N250" s="7">
        <f t="shared" si="80"/>
        <v>-0.59572979869577547</v>
      </c>
      <c r="O250" s="11"/>
      <c r="P250" s="6">
        <v>51525.52</v>
      </c>
      <c r="Q250" s="2"/>
      <c r="R250" s="7">
        <f t="shared" si="81"/>
        <v>8.9997655333656223E-3</v>
      </c>
      <c r="S250" s="2"/>
      <c r="T250" s="6">
        <v>55410</v>
      </c>
      <c r="U250" s="2"/>
      <c r="V250" s="7">
        <f t="shared" si="82"/>
        <v>9.113099180983443E-3</v>
      </c>
      <c r="W250" s="2"/>
      <c r="X250" s="6">
        <f t="shared" si="83"/>
        <v>-3884.4800000000032</v>
      </c>
      <c r="Y250" s="2"/>
      <c r="Z250" s="7">
        <f t="shared" si="84"/>
        <v>-7.0104313300848278E-2</v>
      </c>
    </row>
    <row r="251" spans="1:26" s="26" customFormat="1" outlineLevel="1" collapsed="1" x14ac:dyDescent="0.25">
      <c r="A251" s="25"/>
      <c r="B251" s="13" t="str">
        <f>CONCATENATE("     ","Royalty &amp; Commissions                             ")</f>
        <v xml:space="preserve">     Royalty &amp; Commissions                             </v>
      </c>
      <c r="C251" s="13"/>
      <c r="D251" s="1">
        <f>SUM(OSRRefD22_19x_0)</f>
        <v>20629.509999999998</v>
      </c>
      <c r="E251" s="1"/>
      <c r="F251" s="5">
        <f t="shared" ref="F251:F255" si="85">IF(D$12=0,0,D251/D$12)</f>
        <v>4.890484736186875E-3</v>
      </c>
      <c r="G251" s="1"/>
      <c r="H251" s="1">
        <f>SUM(OSRRefH22_19x_0)</f>
        <v>35215</v>
      </c>
      <c r="I251" s="1"/>
      <c r="J251" s="5">
        <f t="shared" ref="J251:J255" si="86">IF(H$12=0,0,H251/H$12)</f>
        <v>7.9323353291500427E-3</v>
      </c>
      <c r="K251" s="1"/>
      <c r="L251" s="1">
        <f t="shared" ref="L251:L255" si="87">+D251-H251</f>
        <v>-14585.490000000002</v>
      </c>
      <c r="M251" s="1"/>
      <c r="N251" s="5">
        <f t="shared" ref="N251:N255" si="88">IF(H251=0,0,L251/H251)</f>
        <v>-0.41418401249467562</v>
      </c>
      <c r="O251" s="13"/>
      <c r="P251" s="1">
        <f>SUM(OSRRefP22_19x_0)</f>
        <v>42573.659999999996</v>
      </c>
      <c r="Q251" s="1"/>
      <c r="R251" s="5">
        <f t="shared" ref="R251:R255" si="89">IF(P$12=0,0,P251/P$12)</f>
        <v>7.4361783810668316E-3</v>
      </c>
      <c r="S251" s="1"/>
      <c r="T251" s="1">
        <f>SUM(OSRRefT22_19x_0)</f>
        <v>61390</v>
      </c>
      <c r="U251" s="1"/>
      <c r="V251" s="5">
        <f t="shared" ref="V251:V255" si="90">IF(T$12=0,0,T251/T$12)</f>
        <v>1.0096609975105099E-2</v>
      </c>
      <c r="W251" s="1"/>
      <c r="X251" s="1">
        <f t="shared" ref="X251:X255" si="91">+P251-T251</f>
        <v>-18816.340000000004</v>
      </c>
      <c r="Y251" s="1"/>
      <c r="Z251" s="5">
        <f t="shared" ref="Z251:Z255" si="92">IF(T251=0,0,X251/T251)</f>
        <v>-0.30650496823586909</v>
      </c>
    </row>
    <row r="252" spans="1:26" s="24" customFormat="1" hidden="1" outlineLevel="2" x14ac:dyDescent="0.25">
      <c r="A252" s="27"/>
      <c r="B252" s="11" t="str">
        <f>CONCATENATE("          ", "6252", " - ", "ROYALTY DUE CSTV")</f>
        <v xml:space="preserve">          6252 - ROYALTY DUE CSTV</v>
      </c>
      <c r="C252" s="11"/>
      <c r="D252" s="6"/>
      <c r="E252" s="2"/>
      <c r="F252" s="7">
        <f t="shared" si="85"/>
        <v>0</v>
      </c>
      <c r="G252" s="2"/>
      <c r="H252" s="6">
        <v>1085</v>
      </c>
      <c r="I252" s="2"/>
      <c r="J252" s="7">
        <f t="shared" si="86"/>
        <v>2.4440107431855169E-4</v>
      </c>
      <c r="K252" s="2"/>
      <c r="L252" s="6">
        <f t="shared" si="87"/>
        <v>-1085</v>
      </c>
      <c r="M252" s="2"/>
      <c r="N252" s="7">
        <f t="shared" si="88"/>
        <v>-1</v>
      </c>
      <c r="O252" s="11"/>
      <c r="P252" s="6"/>
      <c r="Q252" s="2"/>
      <c r="R252" s="7">
        <f t="shared" si="89"/>
        <v>0</v>
      </c>
      <c r="S252" s="2"/>
      <c r="T252" s="6">
        <v>2170</v>
      </c>
      <c r="U252" s="2"/>
      <c r="V252" s="7">
        <f t="shared" si="90"/>
        <v>3.5689271291705594E-4</v>
      </c>
      <c r="W252" s="2"/>
      <c r="X252" s="6">
        <f t="shared" si="91"/>
        <v>-2170</v>
      </c>
      <c r="Y252" s="2"/>
      <c r="Z252" s="7">
        <f t="shared" si="92"/>
        <v>-1</v>
      </c>
    </row>
    <row r="253" spans="1:26" s="24" customFormat="1" hidden="1" outlineLevel="2" x14ac:dyDescent="0.25">
      <c r="A253" s="27"/>
      <c r="B253" s="11" t="str">
        <f>CONCATENATE("          ", "6253", " - ", "ROYALTY DUE ATHLETICS-LRG")</f>
        <v xml:space="preserve">          6253 - ROYALTY DUE ATHLETICS-LRG</v>
      </c>
      <c r="C253" s="11"/>
      <c r="D253" s="6"/>
      <c r="E253" s="2"/>
      <c r="F253" s="7">
        <f t="shared" si="85"/>
        <v>0</v>
      </c>
      <c r="G253" s="2"/>
      <c r="H253" s="6">
        <v>9700</v>
      </c>
      <c r="I253" s="2"/>
      <c r="J253" s="7">
        <f t="shared" si="86"/>
        <v>2.1849681298524897E-3</v>
      </c>
      <c r="K253" s="2"/>
      <c r="L253" s="6">
        <f t="shared" si="87"/>
        <v>-9700</v>
      </c>
      <c r="M253" s="2"/>
      <c r="N253" s="7">
        <f t="shared" si="88"/>
        <v>-1</v>
      </c>
      <c r="O253" s="11"/>
      <c r="P253" s="6">
        <v>4366.95</v>
      </c>
      <c r="Q253" s="2"/>
      <c r="R253" s="7">
        <f t="shared" si="89"/>
        <v>7.6275845631312421E-4</v>
      </c>
      <c r="S253" s="2"/>
      <c r="T253" s="6">
        <v>13400</v>
      </c>
      <c r="U253" s="2"/>
      <c r="V253" s="7">
        <f t="shared" si="90"/>
        <v>2.2038536189348157E-3</v>
      </c>
      <c r="W253" s="2"/>
      <c r="X253" s="6">
        <f t="shared" si="91"/>
        <v>-9033.0499999999993</v>
      </c>
      <c r="Y253" s="2"/>
      <c r="Z253" s="7">
        <f t="shared" si="92"/>
        <v>-0.67410820895522383</v>
      </c>
    </row>
    <row r="254" spans="1:26" s="24" customFormat="1" hidden="1" outlineLevel="2" x14ac:dyDescent="0.25">
      <c r="A254" s="27"/>
      <c r="B254" s="11" t="str">
        <f>CONCATENATE("          ", "6254", " - ", "ROYALTY &amp; COMMISSIONS")</f>
        <v xml:space="preserve">          6254 - ROYALTY &amp; COMMISSIONS</v>
      </c>
      <c r="C254" s="11"/>
      <c r="D254" s="6">
        <v>11007.38</v>
      </c>
      <c r="E254" s="2"/>
      <c r="F254" s="7">
        <f t="shared" si="85"/>
        <v>2.6094378332499743E-3</v>
      </c>
      <c r="G254" s="2"/>
      <c r="H254" s="6">
        <v>11700</v>
      </c>
      <c r="I254" s="2"/>
      <c r="J254" s="7">
        <f t="shared" si="86"/>
        <v>2.63547702260558E-3</v>
      </c>
      <c r="K254" s="2"/>
      <c r="L254" s="6">
        <f t="shared" si="87"/>
        <v>-692.6200000000008</v>
      </c>
      <c r="M254" s="2"/>
      <c r="N254" s="7">
        <f t="shared" si="88"/>
        <v>-5.9198290598290668E-2</v>
      </c>
      <c r="O254" s="11"/>
      <c r="P254" s="6">
        <v>25094.129999999997</v>
      </c>
      <c r="Q254" s="2"/>
      <c r="R254" s="7">
        <f t="shared" si="89"/>
        <v>4.3830957215724607E-3</v>
      </c>
      <c r="S254" s="2"/>
      <c r="T254" s="6">
        <v>27517</v>
      </c>
      <c r="U254" s="2"/>
      <c r="V254" s="7">
        <f t="shared" si="90"/>
        <v>4.5256298531514416E-3</v>
      </c>
      <c r="W254" s="2"/>
      <c r="X254" s="6">
        <f t="shared" si="91"/>
        <v>-2422.8700000000026</v>
      </c>
      <c r="Y254" s="2"/>
      <c r="Z254" s="7">
        <f t="shared" si="92"/>
        <v>-8.8049932768833911E-2</v>
      </c>
    </row>
    <row r="255" spans="1:26" s="24" customFormat="1" hidden="1" outlineLevel="2" x14ac:dyDescent="0.25">
      <c r="A255" s="27"/>
      <c r="B255" s="11" t="str">
        <f>CONCATENATE("          ", "6259", " - ", "ROYALTY &amp; COMMISSIONS")</f>
        <v xml:space="preserve">          6259 - ROYALTY &amp; COMMISSIONS</v>
      </c>
      <c r="C255" s="11"/>
      <c r="D255" s="6">
        <v>9622.1299999999992</v>
      </c>
      <c r="E255" s="2"/>
      <c r="F255" s="7">
        <f t="shared" si="85"/>
        <v>2.2810469029369003E-3</v>
      </c>
      <c r="G255" s="2"/>
      <c r="H255" s="6">
        <v>12730</v>
      </c>
      <c r="I255" s="2"/>
      <c r="J255" s="7">
        <f t="shared" si="86"/>
        <v>2.8674891023734218E-3</v>
      </c>
      <c r="K255" s="2"/>
      <c r="L255" s="6">
        <f t="shared" si="87"/>
        <v>-3107.8700000000008</v>
      </c>
      <c r="M255" s="2"/>
      <c r="N255" s="7">
        <f t="shared" si="88"/>
        <v>-0.24413747054202678</v>
      </c>
      <c r="O255" s="11"/>
      <c r="P255" s="6">
        <v>13112.58</v>
      </c>
      <c r="Q255" s="2"/>
      <c r="R255" s="7">
        <f t="shared" si="89"/>
        <v>2.2903242031812468E-3</v>
      </c>
      <c r="S255" s="2"/>
      <c r="T255" s="6">
        <v>18303</v>
      </c>
      <c r="U255" s="2"/>
      <c r="V255" s="7">
        <f t="shared" si="90"/>
        <v>3.0102337901017858E-3</v>
      </c>
      <c r="W255" s="2"/>
      <c r="X255" s="6">
        <f t="shared" si="91"/>
        <v>-5190.42</v>
      </c>
      <c r="Y255" s="2"/>
      <c r="Z255" s="7">
        <f t="shared" si="92"/>
        <v>-0.28358301917718409</v>
      </c>
    </row>
    <row r="256" spans="1:26" s="26" customFormat="1" outlineLevel="1" collapsed="1" x14ac:dyDescent="0.25">
      <c r="A256" s="25"/>
      <c r="B256" s="13" t="str">
        <f>CONCATENATE("     ","Services                                          ")</f>
        <v xml:space="preserve">     Services                                          </v>
      </c>
      <c r="C256" s="13"/>
      <c r="D256" s="1">
        <f>SUM(OSRRefD22_20x_0)</f>
        <v>42189.189999999995</v>
      </c>
      <c r="E256" s="1"/>
      <c r="F256" s="5">
        <f t="shared" ref="F256:F262" si="93">IF(D$12=0,0,D256/D$12)</f>
        <v>1.0001477966616169E-2</v>
      </c>
      <c r="G256" s="1"/>
      <c r="H256" s="1">
        <f>SUM(OSRRefH22_20x_0)</f>
        <v>44923.5</v>
      </c>
      <c r="I256" s="1"/>
      <c r="J256" s="5">
        <f t="shared" ref="J256:J262" si="94">IF(H$12=0,0,H256/H$12)</f>
        <v>1.0119218121796733E-2</v>
      </c>
      <c r="K256" s="1"/>
      <c r="L256" s="1">
        <f t="shared" ref="L256:L262" si="95">+D256-H256</f>
        <v>-2734.3100000000049</v>
      </c>
      <c r="M256" s="1"/>
      <c r="N256" s="5">
        <f t="shared" ref="N256:N262" si="96">IF(H256=0,0,L256/H256)</f>
        <v>-6.0865916502498806E-2</v>
      </c>
      <c r="O256" s="13"/>
      <c r="P256" s="1">
        <f>SUM(OSRRefP22_20x_0)</f>
        <v>89507.650000000009</v>
      </c>
      <c r="Q256" s="1"/>
      <c r="R256" s="5">
        <f t="shared" ref="R256:R262" si="97">IF(P$12=0,0,P256/P$12)</f>
        <v>1.563395892836314E-2</v>
      </c>
      <c r="S256" s="1"/>
      <c r="T256" s="1">
        <f>SUM(OSRRefT22_20x_0)</f>
        <v>87618</v>
      </c>
      <c r="U256" s="1"/>
      <c r="V256" s="5">
        <f t="shared" ref="V256:V262" si="98">IF(T$12=0,0,T256/T$12)</f>
        <v>1.441024226745005E-2</v>
      </c>
      <c r="W256" s="1"/>
      <c r="X256" s="1">
        <f t="shared" ref="X256:X262" si="99">+P256-T256</f>
        <v>1889.6500000000087</v>
      </c>
      <c r="Y256" s="1"/>
      <c r="Z256" s="5">
        <f t="shared" ref="Z256:Z262" si="100">IF(T256=0,0,X256/T256)</f>
        <v>2.1566915473989461E-2</v>
      </c>
    </row>
    <row r="257" spans="1:26" s="24" customFormat="1" hidden="1" outlineLevel="2" x14ac:dyDescent="0.25">
      <c r="A257" s="27"/>
      <c r="B257" s="11" t="str">
        <f>CONCATENATE("          ", "6281", " - ", "STORAGE FEE")</f>
        <v xml:space="preserve">          6281 - STORAGE FEE</v>
      </c>
      <c r="C257" s="11"/>
      <c r="D257" s="6"/>
      <c r="E257" s="2"/>
      <c r="F257" s="7">
        <f t="shared" si="93"/>
        <v>0</v>
      </c>
      <c r="G257" s="2"/>
      <c r="H257" s="6"/>
      <c r="I257" s="2"/>
      <c r="J257" s="7">
        <f t="shared" si="94"/>
        <v>0</v>
      </c>
      <c r="K257" s="2"/>
      <c r="L257" s="6">
        <f t="shared" si="95"/>
        <v>0</v>
      </c>
      <c r="M257" s="2"/>
      <c r="N257" s="7">
        <f t="shared" si="96"/>
        <v>0</v>
      </c>
      <c r="O257" s="11"/>
      <c r="P257" s="6"/>
      <c r="Q257" s="2"/>
      <c r="R257" s="7">
        <f t="shared" si="97"/>
        <v>0</v>
      </c>
      <c r="S257" s="2"/>
      <c r="T257" s="6">
        <v>0</v>
      </c>
      <c r="U257" s="2"/>
      <c r="V257" s="7">
        <f t="shared" si="98"/>
        <v>0</v>
      </c>
      <c r="W257" s="2"/>
      <c r="X257" s="6">
        <f t="shared" si="99"/>
        <v>0</v>
      </c>
      <c r="Y257" s="2"/>
      <c r="Z257" s="7">
        <f t="shared" si="100"/>
        <v>0</v>
      </c>
    </row>
    <row r="258" spans="1:26" s="24" customFormat="1" hidden="1" outlineLevel="2" x14ac:dyDescent="0.25">
      <c r="A258" s="27"/>
      <c r="B258" s="11" t="str">
        <f>CONCATENATE("          ", "6282", " - ", "JANITORIAL/EXTERMINATOR EXPENS")</f>
        <v xml:space="preserve">          6282 - JANITORIAL/EXTERMINATOR EXPENS</v>
      </c>
      <c r="C258" s="11"/>
      <c r="D258" s="6">
        <v>4249.2</v>
      </c>
      <c r="E258" s="2"/>
      <c r="F258" s="7">
        <f t="shared" si="93"/>
        <v>1.0073262884579067E-3</v>
      </c>
      <c r="G258" s="2"/>
      <c r="H258" s="6">
        <v>3328</v>
      </c>
      <c r="I258" s="2"/>
      <c r="J258" s="7">
        <f t="shared" si="94"/>
        <v>7.496467975411428E-4</v>
      </c>
      <c r="K258" s="2"/>
      <c r="L258" s="6">
        <f t="shared" si="95"/>
        <v>921.19999999999982</v>
      </c>
      <c r="M258" s="2"/>
      <c r="N258" s="7">
        <f t="shared" si="96"/>
        <v>0.27680288461538455</v>
      </c>
      <c r="O258" s="11"/>
      <c r="P258" s="6">
        <v>7903.66</v>
      </c>
      <c r="Q258" s="2"/>
      <c r="R258" s="7">
        <f t="shared" si="97"/>
        <v>1.3805020668484383E-3</v>
      </c>
      <c r="S258" s="2"/>
      <c r="T258" s="6">
        <v>6363</v>
      </c>
      <c r="U258" s="2"/>
      <c r="V258" s="7">
        <f t="shared" si="98"/>
        <v>1.046501535618077E-3</v>
      </c>
      <c r="W258" s="2"/>
      <c r="X258" s="6">
        <f t="shared" si="99"/>
        <v>1540.6599999999999</v>
      </c>
      <c r="Y258" s="2"/>
      <c r="Z258" s="7">
        <f t="shared" si="100"/>
        <v>0.24212792707842209</v>
      </c>
    </row>
    <row r="259" spans="1:26" s="24" customFormat="1" hidden="1" outlineLevel="2" x14ac:dyDescent="0.25">
      <c r="A259" s="27"/>
      <c r="B259" s="11" t="str">
        <f>CONCATENATE("          ", "6283", " - ", "PLANT SERVICE")</f>
        <v xml:space="preserve">          6283 - PLANT SERVICE</v>
      </c>
      <c r="C259" s="11"/>
      <c r="D259" s="6">
        <v>380.44</v>
      </c>
      <c r="E259" s="2"/>
      <c r="F259" s="7">
        <f t="shared" si="93"/>
        <v>9.018808556455945E-5</v>
      </c>
      <c r="G259" s="2"/>
      <c r="H259" s="6">
        <v>245</v>
      </c>
      <c r="I259" s="2"/>
      <c r="J259" s="7">
        <f t="shared" si="94"/>
        <v>5.5187339362253602E-5</v>
      </c>
      <c r="K259" s="2"/>
      <c r="L259" s="6">
        <f t="shared" si="95"/>
        <v>135.44</v>
      </c>
      <c r="M259" s="2"/>
      <c r="N259" s="7">
        <f t="shared" si="96"/>
        <v>0.55281632653061219</v>
      </c>
      <c r="O259" s="11"/>
      <c r="P259" s="6">
        <v>760.88</v>
      </c>
      <c r="Q259" s="2"/>
      <c r="R259" s="7">
        <f t="shared" si="97"/>
        <v>1.3289999982585784E-4</v>
      </c>
      <c r="S259" s="2"/>
      <c r="T259" s="6">
        <v>455</v>
      </c>
      <c r="U259" s="2"/>
      <c r="V259" s="7">
        <f t="shared" si="98"/>
        <v>7.4832343030995608E-5</v>
      </c>
      <c r="W259" s="2"/>
      <c r="X259" s="6">
        <f t="shared" si="99"/>
        <v>305.88</v>
      </c>
      <c r="Y259" s="2"/>
      <c r="Z259" s="7">
        <f t="shared" si="100"/>
        <v>0.67226373626373626</v>
      </c>
    </row>
    <row r="260" spans="1:26" s="24" customFormat="1" hidden="1" outlineLevel="2" x14ac:dyDescent="0.25">
      <c r="A260" s="27"/>
      <c r="B260" s="11" t="str">
        <f>CONCATENATE("          ", "6284", " - ", "TRASH REMOVAL EXPENSE")</f>
        <v xml:space="preserve">          6284 - TRASH REMOVAL EXPENSE</v>
      </c>
      <c r="C260" s="11"/>
      <c r="D260" s="6">
        <v>134.82</v>
      </c>
      <c r="E260" s="2"/>
      <c r="F260" s="7">
        <f t="shared" si="93"/>
        <v>3.196077619549444E-5</v>
      </c>
      <c r="G260" s="2"/>
      <c r="H260" s="6">
        <v>4277.5</v>
      </c>
      <c r="I260" s="2"/>
      <c r="J260" s="7">
        <f t="shared" si="94"/>
        <v>9.635258943756726E-4</v>
      </c>
      <c r="K260" s="2"/>
      <c r="L260" s="6">
        <f t="shared" si="95"/>
        <v>-4142.68</v>
      </c>
      <c r="M260" s="2"/>
      <c r="N260" s="7">
        <f t="shared" si="96"/>
        <v>-0.96848158971361786</v>
      </c>
      <c r="O260" s="11"/>
      <c r="P260" s="6">
        <v>4705.6400000000003</v>
      </c>
      <c r="Q260" s="2"/>
      <c r="R260" s="7">
        <f t="shared" si="97"/>
        <v>8.2191614338732752E-4</v>
      </c>
      <c r="S260" s="2"/>
      <c r="T260" s="6">
        <v>8555</v>
      </c>
      <c r="U260" s="2"/>
      <c r="V260" s="7">
        <f t="shared" si="98"/>
        <v>1.4070125156706976E-3</v>
      </c>
      <c r="W260" s="2"/>
      <c r="X260" s="6">
        <f t="shared" si="99"/>
        <v>-3849.3599999999997</v>
      </c>
      <c r="Y260" s="2"/>
      <c r="Z260" s="7">
        <f t="shared" si="100"/>
        <v>-0.44995441262419633</v>
      </c>
    </row>
    <row r="261" spans="1:26" s="24" customFormat="1" hidden="1" outlineLevel="2" x14ac:dyDescent="0.25">
      <c r="A261" s="27"/>
      <c r="B261" s="11" t="str">
        <f>CONCATENATE("          ", "6285", " - ", "JANITORIAL SERVICES")</f>
        <v xml:space="preserve">          6285 - JANITORIAL SERVICES</v>
      </c>
      <c r="C261" s="11"/>
      <c r="D261" s="6">
        <v>29125.27</v>
      </c>
      <c r="E261" s="2"/>
      <c r="F261" s="7">
        <f t="shared" si="93"/>
        <v>6.9045114679079393E-3</v>
      </c>
      <c r="G261" s="2"/>
      <c r="H261" s="6">
        <v>29205</v>
      </c>
      <c r="I261" s="2"/>
      <c r="J261" s="7">
        <f t="shared" si="94"/>
        <v>6.5785561064270054E-3</v>
      </c>
      <c r="K261" s="2"/>
      <c r="L261" s="6">
        <f t="shared" si="95"/>
        <v>-79.729999999999563</v>
      </c>
      <c r="M261" s="2"/>
      <c r="N261" s="7">
        <f t="shared" si="96"/>
        <v>-2.7300119842492573E-3</v>
      </c>
      <c r="O261" s="11"/>
      <c r="P261" s="6">
        <v>59100.460000000006</v>
      </c>
      <c r="Q261" s="2"/>
      <c r="R261" s="7">
        <f t="shared" si="97"/>
        <v>1.0322851334912364E-2</v>
      </c>
      <c r="S261" s="2"/>
      <c r="T261" s="6">
        <v>56964</v>
      </c>
      <c r="U261" s="2"/>
      <c r="V261" s="7">
        <f t="shared" si="98"/>
        <v>9.3686804141046888E-3</v>
      </c>
      <c r="W261" s="2"/>
      <c r="X261" s="6">
        <f t="shared" si="99"/>
        <v>2136.4600000000064</v>
      </c>
      <c r="Y261" s="2"/>
      <c r="Z261" s="7">
        <f t="shared" si="100"/>
        <v>3.7505442033565171E-2</v>
      </c>
    </row>
    <row r="262" spans="1:26" s="24" customFormat="1" hidden="1" outlineLevel="2" x14ac:dyDescent="0.25">
      <c r="A262" s="27"/>
      <c r="B262" s="11" t="str">
        <f>CONCATENATE("          ", "6286", " - ", "LAUNDRY EXPENSE")</f>
        <v xml:space="preserve">          6286 - LAUNDRY EXPENSE</v>
      </c>
      <c r="C262" s="11"/>
      <c r="D262" s="6">
        <v>8299.4599999999991</v>
      </c>
      <c r="E262" s="2"/>
      <c r="F262" s="7">
        <f t="shared" si="93"/>
        <v>1.9674913484902705E-3</v>
      </c>
      <c r="G262" s="2"/>
      <c r="H262" s="6">
        <v>7868</v>
      </c>
      <c r="I262" s="2"/>
      <c r="J262" s="7">
        <f t="shared" si="94"/>
        <v>1.7723019840906586E-3</v>
      </c>
      <c r="K262" s="2"/>
      <c r="L262" s="6">
        <f t="shared" si="95"/>
        <v>431.45999999999913</v>
      </c>
      <c r="M262" s="2"/>
      <c r="N262" s="7">
        <f t="shared" si="96"/>
        <v>5.4837315709201716E-2</v>
      </c>
      <c r="O262" s="11"/>
      <c r="P262" s="6">
        <v>17037.009999999998</v>
      </c>
      <c r="Q262" s="2"/>
      <c r="R262" s="7">
        <f t="shared" si="97"/>
        <v>2.9757893833891524E-3</v>
      </c>
      <c r="S262" s="2"/>
      <c r="T262" s="6">
        <v>15281</v>
      </c>
      <c r="U262" s="2"/>
      <c r="V262" s="7">
        <f t="shared" si="98"/>
        <v>2.513215459025591E-3</v>
      </c>
      <c r="W262" s="2"/>
      <c r="X262" s="6">
        <f t="shared" si="99"/>
        <v>1756.0099999999984</v>
      </c>
      <c r="Y262" s="2"/>
      <c r="Z262" s="7">
        <f t="shared" si="100"/>
        <v>0.11491459982985396</v>
      </c>
    </row>
    <row r="263" spans="1:26" s="26" customFormat="1" outlineLevel="1" collapsed="1" x14ac:dyDescent="0.25">
      <c r="A263" s="25"/>
      <c r="B263" s="13" t="str">
        <f>CONCATENATE("     ","Subscriptions &amp; Dues                              ")</f>
        <v xml:space="preserve">     Subscriptions &amp; Dues                              </v>
      </c>
      <c r="C263" s="13"/>
      <c r="D263" s="1">
        <f>SUM(OSRRefD22_21x_0)</f>
        <v>-3838.84</v>
      </c>
      <c r="E263" s="1"/>
      <c r="F263" s="5">
        <f t="shared" ref="F263:F265" si="101">IF(D$12=0,0,D263/D$12)</f>
        <v>-9.1004529068618807E-4</v>
      </c>
      <c r="G263" s="1"/>
      <c r="H263" s="1">
        <f>SUM(OSRRefH22_21x_0)</f>
        <v>1589</v>
      </c>
      <c r="I263" s="1"/>
      <c r="J263" s="5">
        <f t="shared" ref="J263:J265" si="102">IF(H$12=0,0,H263/H$12)</f>
        <v>3.5792931529233049E-4</v>
      </c>
      <c r="K263" s="1"/>
      <c r="L263" s="1">
        <f t="shared" ref="L263:L265" si="103">+D263-H263</f>
        <v>-5427.84</v>
      </c>
      <c r="M263" s="1"/>
      <c r="N263" s="5">
        <f t="shared" ref="N263:N265" si="104">IF(H263=0,0,L263/H263)</f>
        <v>-3.4158842039018253</v>
      </c>
      <c r="O263" s="13"/>
      <c r="P263" s="1">
        <f>SUM(OSRRefP22_21x_0)</f>
        <v>-2806.7699999999995</v>
      </c>
      <c r="Q263" s="1"/>
      <c r="R263" s="5">
        <f t="shared" ref="R263:R265" si="105">IF(P$12=0,0,P263/P$12)</f>
        <v>-4.9024778218802309E-4</v>
      </c>
      <c r="S263" s="1"/>
      <c r="T263" s="1">
        <f>SUM(OSRRefT22_21x_0)</f>
        <v>4848</v>
      </c>
      <c r="U263" s="1"/>
      <c r="V263" s="5">
        <f t="shared" ref="V263:V265" si="106">IF(T$12=0,0,T263/T$12)</f>
        <v>7.9733450332805861E-4</v>
      </c>
      <c r="W263" s="1"/>
      <c r="X263" s="1">
        <f t="shared" ref="X263:X265" si="107">+P263-T263</f>
        <v>-7654.7699999999995</v>
      </c>
      <c r="Y263" s="1"/>
      <c r="Z263" s="5">
        <f t="shared" ref="Z263:Z265" si="108">IF(T263=0,0,X263/T263)</f>
        <v>-1.5789542079207919</v>
      </c>
    </row>
    <row r="264" spans="1:26" s="24" customFormat="1" hidden="1" outlineLevel="2" x14ac:dyDescent="0.25">
      <c r="A264" s="27"/>
      <c r="B264" s="11" t="str">
        <f>CONCATENATE("          ", "6258", " - ", "MEMBERSHIP DUES")</f>
        <v xml:space="preserve">          6258 - MEMBERSHIP DUES</v>
      </c>
      <c r="C264" s="11"/>
      <c r="D264" s="6">
        <v>-4630</v>
      </c>
      <c r="E264" s="2"/>
      <c r="F264" s="7">
        <f t="shared" si="101"/>
        <v>-1.0975997165490229E-3</v>
      </c>
      <c r="G264" s="2"/>
      <c r="H264" s="6">
        <v>500</v>
      </c>
      <c r="I264" s="2"/>
      <c r="J264" s="7">
        <f t="shared" si="102"/>
        <v>1.1262722318827265E-4</v>
      </c>
      <c r="K264" s="2"/>
      <c r="L264" s="6">
        <f t="shared" si="103"/>
        <v>-5130</v>
      </c>
      <c r="M264" s="2"/>
      <c r="N264" s="7">
        <f t="shared" si="104"/>
        <v>-10.26</v>
      </c>
      <c r="O264" s="11"/>
      <c r="P264" s="6">
        <v>-4341.1499999999996</v>
      </c>
      <c r="Q264" s="2"/>
      <c r="R264" s="7">
        <f t="shared" si="105"/>
        <v>-7.5825206897805531E-4</v>
      </c>
      <c r="S264" s="2"/>
      <c r="T264" s="6">
        <v>2395</v>
      </c>
      <c r="U264" s="2"/>
      <c r="V264" s="7">
        <f t="shared" si="106"/>
        <v>3.9389771771260326E-4</v>
      </c>
      <c r="W264" s="2"/>
      <c r="X264" s="6">
        <f t="shared" si="107"/>
        <v>-6736.15</v>
      </c>
      <c r="Y264" s="2"/>
      <c r="Z264" s="7">
        <f t="shared" si="108"/>
        <v>-2.8125887265135696</v>
      </c>
    </row>
    <row r="265" spans="1:26" s="24" customFormat="1" hidden="1" outlineLevel="2" x14ac:dyDescent="0.25">
      <c r="A265" s="27"/>
      <c r="B265" s="11" t="str">
        <f>CONCATENATE("          ", "6275", " - ", "SUBSCRIPTIONS")</f>
        <v xml:space="preserve">          6275 - SUBSCRIPTIONS</v>
      </c>
      <c r="C265" s="11"/>
      <c r="D265" s="6">
        <v>791.16</v>
      </c>
      <c r="E265" s="2"/>
      <c r="F265" s="7">
        <f t="shared" si="101"/>
        <v>1.8755442586283473E-4</v>
      </c>
      <c r="G265" s="2"/>
      <c r="H265" s="6">
        <v>1089</v>
      </c>
      <c r="I265" s="2"/>
      <c r="J265" s="7">
        <f t="shared" si="102"/>
        <v>2.4530209210405786E-4</v>
      </c>
      <c r="K265" s="2"/>
      <c r="L265" s="6">
        <f t="shared" si="103"/>
        <v>-297.84000000000003</v>
      </c>
      <c r="M265" s="2"/>
      <c r="N265" s="7">
        <f t="shared" si="104"/>
        <v>-0.27349862258953173</v>
      </c>
      <c r="O265" s="11"/>
      <c r="P265" s="6">
        <v>1534.38</v>
      </c>
      <c r="Q265" s="2"/>
      <c r="R265" s="7">
        <f t="shared" si="105"/>
        <v>2.6800428679003233E-4</v>
      </c>
      <c r="S265" s="2"/>
      <c r="T265" s="6">
        <v>2453</v>
      </c>
      <c r="U265" s="2"/>
      <c r="V265" s="7">
        <f t="shared" si="106"/>
        <v>4.0343678561545541E-4</v>
      </c>
      <c r="W265" s="2"/>
      <c r="X265" s="6">
        <f t="shared" si="107"/>
        <v>-918.61999999999989</v>
      </c>
      <c r="Y265" s="2"/>
      <c r="Z265" s="7">
        <f t="shared" si="108"/>
        <v>-0.37448838157358333</v>
      </c>
    </row>
    <row r="266" spans="1:26" s="26" customFormat="1" outlineLevel="1" collapsed="1" x14ac:dyDescent="0.25">
      <c r="A266" s="25"/>
      <c r="B266" s="13" t="str">
        <f>CONCATENATE("     ","Supplies                                          ")</f>
        <v xml:space="preserve">     Supplies                                          </v>
      </c>
      <c r="C266" s="13"/>
      <c r="D266" s="1">
        <f>SUM(OSRRefD22_22x_0)</f>
        <v>57214.96</v>
      </c>
      <c r="E266" s="1"/>
      <c r="F266" s="5">
        <f t="shared" ref="F266:F276" si="109">IF(D$12=0,0,D266/D$12)</f>
        <v>1.35635256756725E-2</v>
      </c>
      <c r="G266" s="1"/>
      <c r="H266" s="1">
        <f>SUM(OSRRefH22_22x_0)</f>
        <v>66392.429999999993</v>
      </c>
      <c r="I266" s="1"/>
      <c r="J266" s="5">
        <f t="shared" ref="J266:J276" si="110">IF(H$12=0,0,H266/H$12)</f>
        <v>1.4955190063243537E-2</v>
      </c>
      <c r="K266" s="1"/>
      <c r="L266" s="1">
        <f t="shared" ref="L266:L276" si="111">+D266-H266</f>
        <v>-9177.4699999999939</v>
      </c>
      <c r="M266" s="1"/>
      <c r="N266" s="5">
        <f t="shared" ref="N266:N276" si="112">IF(H266=0,0,L266/H266)</f>
        <v>-0.1382306687675085</v>
      </c>
      <c r="O266" s="13"/>
      <c r="P266" s="1">
        <f>SUM(OSRRefP22_22x_0)</f>
        <v>131577.19</v>
      </c>
      <c r="Q266" s="1"/>
      <c r="R266" s="5">
        <f t="shared" ref="R266:R276" si="113">IF(P$12=0,0,P266/P$12)</f>
        <v>2.2982084596896837E-2</v>
      </c>
      <c r="S266" s="1"/>
      <c r="T266" s="1">
        <f>SUM(OSRRefT22_22x_0)</f>
        <v>141097.33000000002</v>
      </c>
      <c r="U266" s="1"/>
      <c r="V266" s="5">
        <f t="shared" ref="V266:V276" si="114">IF(T$12=0,0,T266/T$12)</f>
        <v>2.3205810547950744E-2</v>
      </c>
      <c r="W266" s="1"/>
      <c r="X266" s="1">
        <f t="shared" ref="X266:X276" si="115">+P266-T266</f>
        <v>-9520.140000000014</v>
      </c>
      <c r="Y266" s="1"/>
      <c r="Z266" s="5">
        <f t="shared" ref="Z266:Z276" si="116">IF(T266=0,0,X266/T266)</f>
        <v>-6.7472148480768657E-2</v>
      </c>
    </row>
    <row r="267" spans="1:26" s="24" customFormat="1" hidden="1" outlineLevel="2" x14ac:dyDescent="0.25">
      <c r="A267" s="27"/>
      <c r="B267" s="11" t="str">
        <f>CONCATENATE("          ", "6234", " - ", "EXPENDABLE SUPPLIES &amp; EQUIPMEN")</f>
        <v xml:space="preserve">          6234 - EXPENDABLE SUPPLIES &amp; EQUIPMEN</v>
      </c>
      <c r="C267" s="11"/>
      <c r="D267" s="6">
        <v>2491.5300000000002</v>
      </c>
      <c r="E267" s="2"/>
      <c r="F267" s="7">
        <f t="shared" si="109"/>
        <v>5.9064851442189781E-4</v>
      </c>
      <c r="G267" s="2"/>
      <c r="H267" s="6">
        <v>8500</v>
      </c>
      <c r="I267" s="2"/>
      <c r="J267" s="7">
        <f t="shared" si="110"/>
        <v>1.9146627942006351E-3</v>
      </c>
      <c r="K267" s="2"/>
      <c r="L267" s="6">
        <f t="shared" si="111"/>
        <v>-6008.4699999999993</v>
      </c>
      <c r="M267" s="2"/>
      <c r="N267" s="7">
        <f t="shared" si="112"/>
        <v>-0.70687882352941167</v>
      </c>
      <c r="O267" s="11"/>
      <c r="P267" s="6">
        <v>3193.61</v>
      </c>
      <c r="Q267" s="2"/>
      <c r="R267" s="7">
        <f t="shared" si="113"/>
        <v>5.5781564562593035E-4</v>
      </c>
      <c r="S267" s="2"/>
      <c r="T267" s="6">
        <v>20800</v>
      </c>
      <c r="U267" s="2"/>
      <c r="V267" s="7">
        <f t="shared" si="114"/>
        <v>3.4209071099883703E-3</v>
      </c>
      <c r="W267" s="2"/>
      <c r="X267" s="6">
        <f t="shared" si="115"/>
        <v>-17606.39</v>
      </c>
      <c r="Y267" s="2"/>
      <c r="Z267" s="7">
        <f t="shared" si="116"/>
        <v>-0.84646105769230762</v>
      </c>
    </row>
    <row r="268" spans="1:26" s="24" customFormat="1" hidden="1" outlineLevel="2" x14ac:dyDescent="0.25">
      <c r="A268" s="27"/>
      <c r="B268" s="11" t="str">
        <f>CONCATENATE("          ", "6237", " - ", "JANITORIAL SUPPLIES")</f>
        <v xml:space="preserve">          6237 - JANITORIAL SUPPLIES</v>
      </c>
      <c r="C268" s="11"/>
      <c r="D268" s="6">
        <v>13111.33</v>
      </c>
      <c r="E268" s="2"/>
      <c r="F268" s="7">
        <f t="shared" si="109"/>
        <v>3.1082056353306047E-3</v>
      </c>
      <c r="G268" s="2"/>
      <c r="H268" s="6">
        <v>14901</v>
      </c>
      <c r="I268" s="2"/>
      <c r="J268" s="7">
        <f t="shared" si="110"/>
        <v>3.3565165054569015E-3</v>
      </c>
      <c r="K268" s="2"/>
      <c r="L268" s="6">
        <f t="shared" si="111"/>
        <v>-1789.67</v>
      </c>
      <c r="M268" s="2"/>
      <c r="N268" s="7">
        <f t="shared" si="112"/>
        <v>-0.12010401986443864</v>
      </c>
      <c r="O268" s="11"/>
      <c r="P268" s="6">
        <v>25063.25</v>
      </c>
      <c r="Q268" s="2"/>
      <c r="R268" s="7">
        <f t="shared" si="113"/>
        <v>4.3777020300644412E-3</v>
      </c>
      <c r="S268" s="2"/>
      <c r="T268" s="6">
        <v>28297</v>
      </c>
      <c r="U268" s="2"/>
      <c r="V268" s="7">
        <f t="shared" si="114"/>
        <v>4.6539138697760055E-3</v>
      </c>
      <c r="W268" s="2"/>
      <c r="X268" s="6">
        <f t="shared" si="115"/>
        <v>-3233.75</v>
      </c>
      <c r="Y268" s="2"/>
      <c r="Z268" s="7">
        <f t="shared" si="116"/>
        <v>-0.11427889882319681</v>
      </c>
    </row>
    <row r="269" spans="1:26" s="24" customFormat="1" hidden="1" outlineLevel="2" x14ac:dyDescent="0.25">
      <c r="A269" s="27"/>
      <c r="B269" s="11" t="str">
        <f>CONCATENATE("          ", "6239", " - ", "KITCHEN SUPPLIES")</f>
        <v xml:space="preserve">          6239 - KITCHEN SUPPLIES</v>
      </c>
      <c r="C269" s="11"/>
      <c r="D269" s="6">
        <v>8964.77</v>
      </c>
      <c r="E269" s="2"/>
      <c r="F269" s="7">
        <f t="shared" si="109"/>
        <v>2.1252114494443161E-3</v>
      </c>
      <c r="G269" s="2"/>
      <c r="H269" s="6">
        <v>6650</v>
      </c>
      <c r="I269" s="2"/>
      <c r="J269" s="7">
        <f t="shared" si="110"/>
        <v>1.4979420684040263E-3</v>
      </c>
      <c r="K269" s="2"/>
      <c r="L269" s="6">
        <f t="shared" si="111"/>
        <v>2314.7700000000004</v>
      </c>
      <c r="M269" s="2"/>
      <c r="N269" s="7">
        <f t="shared" si="112"/>
        <v>0.34808571428571433</v>
      </c>
      <c r="O269" s="11"/>
      <c r="P269" s="6">
        <v>16217.270000000002</v>
      </c>
      <c r="Q269" s="2"/>
      <c r="R269" s="7">
        <f t="shared" si="113"/>
        <v>2.8326085324570103E-3</v>
      </c>
      <c r="S269" s="2"/>
      <c r="T269" s="6">
        <v>21566</v>
      </c>
      <c r="U269" s="2"/>
      <c r="V269" s="7">
        <f t="shared" si="114"/>
        <v>3.5468885929812112E-3</v>
      </c>
      <c r="W269" s="2"/>
      <c r="X269" s="6">
        <f t="shared" si="115"/>
        <v>-5348.7299999999977</v>
      </c>
      <c r="Y269" s="2"/>
      <c r="Z269" s="7">
        <f t="shared" si="116"/>
        <v>-0.2480167856811647</v>
      </c>
    </row>
    <row r="270" spans="1:26" s="24" customFormat="1" hidden="1" outlineLevel="2" x14ac:dyDescent="0.25">
      <c r="A270" s="27"/>
      <c r="B270" s="11" t="str">
        <f>CONCATENATE("          ", "6241", " - ", "OFFICE EXPENSE")</f>
        <v xml:space="preserve">          6241 - OFFICE EXPENSE</v>
      </c>
      <c r="C270" s="11"/>
      <c r="D270" s="6">
        <v>10387.459999999999</v>
      </c>
      <c r="E270" s="2"/>
      <c r="F270" s="7">
        <f t="shared" si="109"/>
        <v>2.4624780025192896E-3</v>
      </c>
      <c r="G270" s="2"/>
      <c r="H270" s="6">
        <v>3644</v>
      </c>
      <c r="I270" s="2"/>
      <c r="J270" s="7">
        <f t="shared" si="110"/>
        <v>8.2082720259613105E-4</v>
      </c>
      <c r="K270" s="2"/>
      <c r="L270" s="6">
        <f t="shared" si="111"/>
        <v>6743.4599999999991</v>
      </c>
      <c r="M270" s="2"/>
      <c r="N270" s="7">
        <f t="shared" si="112"/>
        <v>1.8505653128430295</v>
      </c>
      <c r="O270" s="11"/>
      <c r="P270" s="6">
        <v>51162.780000000006</v>
      </c>
      <c r="Q270" s="2"/>
      <c r="R270" s="7">
        <f t="shared" si="113"/>
        <v>8.9364071247639634E-3</v>
      </c>
      <c r="S270" s="2"/>
      <c r="T270" s="6">
        <v>7200.25</v>
      </c>
      <c r="U270" s="2"/>
      <c r="V270" s="7">
        <f t="shared" si="114"/>
        <v>1.1842012701295079E-3</v>
      </c>
      <c r="W270" s="2"/>
      <c r="X270" s="6">
        <f t="shared" si="115"/>
        <v>43962.530000000006</v>
      </c>
      <c r="Y270" s="2"/>
      <c r="Z270" s="7">
        <f t="shared" si="116"/>
        <v>6.1056949411478776</v>
      </c>
    </row>
    <row r="271" spans="1:26" s="24" customFormat="1" hidden="1" outlineLevel="2" x14ac:dyDescent="0.25">
      <c r="A271" s="27"/>
      <c r="B271" s="11" t="str">
        <f>CONCATENATE("          ", "6243", " - ", "PAPER SUPPLIES")</f>
        <v xml:space="preserve">          6243 - PAPER SUPPLIES</v>
      </c>
      <c r="C271" s="11"/>
      <c r="D271" s="6">
        <v>11136.84</v>
      </c>
      <c r="E271" s="2"/>
      <c r="F271" s="7">
        <f t="shared" si="109"/>
        <v>2.6401279540500689E-3</v>
      </c>
      <c r="G271" s="2"/>
      <c r="H271" s="6">
        <v>11624</v>
      </c>
      <c r="I271" s="2"/>
      <c r="J271" s="7">
        <f t="shared" si="110"/>
        <v>2.6183576846809625E-3</v>
      </c>
      <c r="K271" s="2"/>
      <c r="L271" s="6">
        <f t="shared" si="111"/>
        <v>-487.15999999999985</v>
      </c>
      <c r="M271" s="2"/>
      <c r="N271" s="7">
        <f t="shared" si="112"/>
        <v>-4.1909841706813479E-2</v>
      </c>
      <c r="O271" s="11"/>
      <c r="P271" s="6">
        <v>19733.62</v>
      </c>
      <c r="Q271" s="2"/>
      <c r="R271" s="7">
        <f t="shared" si="113"/>
        <v>3.4467959396534864E-3</v>
      </c>
      <c r="S271" s="2"/>
      <c r="T271" s="6">
        <v>19204</v>
      </c>
      <c r="U271" s="2"/>
      <c r="V271" s="7">
        <f t="shared" si="114"/>
        <v>3.158418275971955E-3</v>
      </c>
      <c r="W271" s="2"/>
      <c r="X271" s="6">
        <f t="shared" si="115"/>
        <v>529.61999999999898</v>
      </c>
      <c r="Y271" s="2"/>
      <c r="Z271" s="7">
        <f t="shared" si="116"/>
        <v>2.7578629452197405E-2</v>
      </c>
    </row>
    <row r="272" spans="1:26" s="24" customFormat="1" hidden="1" outlineLevel="2" x14ac:dyDescent="0.25">
      <c r="A272" s="27"/>
      <c r="B272" s="11" t="str">
        <f>CONCATENATE("          ", "6244", " - ", "SAFETY SUPPLY EXPENSE")</f>
        <v xml:space="preserve">          6244 - SAFETY SUPPLY EXPENSE</v>
      </c>
      <c r="C272" s="11"/>
      <c r="D272" s="6"/>
      <c r="E272" s="2"/>
      <c r="F272" s="7">
        <f t="shared" si="109"/>
        <v>0</v>
      </c>
      <c r="G272" s="2"/>
      <c r="H272" s="6">
        <v>235</v>
      </c>
      <c r="I272" s="2"/>
      <c r="J272" s="7">
        <f t="shared" si="110"/>
        <v>5.2934794898488149E-5</v>
      </c>
      <c r="K272" s="2"/>
      <c r="L272" s="6">
        <f t="shared" si="111"/>
        <v>-235</v>
      </c>
      <c r="M272" s="2"/>
      <c r="N272" s="7">
        <f t="shared" si="112"/>
        <v>-1</v>
      </c>
      <c r="O272" s="11"/>
      <c r="P272" s="6"/>
      <c r="Q272" s="2"/>
      <c r="R272" s="7">
        <f t="shared" si="113"/>
        <v>0</v>
      </c>
      <c r="S272" s="2"/>
      <c r="T272" s="6">
        <v>500</v>
      </c>
      <c r="U272" s="2"/>
      <c r="V272" s="7">
        <f t="shared" si="114"/>
        <v>8.2233343990105061E-5</v>
      </c>
      <c r="W272" s="2"/>
      <c r="X272" s="6">
        <f t="shared" si="115"/>
        <v>-500</v>
      </c>
      <c r="Y272" s="2"/>
      <c r="Z272" s="7">
        <f t="shared" si="116"/>
        <v>-1</v>
      </c>
    </row>
    <row r="273" spans="1:26" s="24" customFormat="1" hidden="1" outlineLevel="2" x14ac:dyDescent="0.25">
      <c r="A273" s="27"/>
      <c r="B273" s="11" t="str">
        <f>CONCATENATE("          ", "6245", " - ", "PRINTING")</f>
        <v xml:space="preserve">          6245 - PRINTING</v>
      </c>
      <c r="C273" s="11"/>
      <c r="D273" s="6">
        <v>6341.27</v>
      </c>
      <c r="E273" s="2"/>
      <c r="F273" s="7">
        <f t="shared" si="109"/>
        <v>1.5032777871621646E-3</v>
      </c>
      <c r="G273" s="2"/>
      <c r="H273" s="6">
        <v>1260</v>
      </c>
      <c r="I273" s="2"/>
      <c r="J273" s="7">
        <f t="shared" si="110"/>
        <v>2.8382060243444711E-4</v>
      </c>
      <c r="K273" s="2"/>
      <c r="L273" s="6">
        <f t="shared" si="111"/>
        <v>5081.2700000000004</v>
      </c>
      <c r="M273" s="2"/>
      <c r="N273" s="7">
        <f t="shared" si="112"/>
        <v>4.032753968253969</v>
      </c>
      <c r="O273" s="11"/>
      <c r="P273" s="6">
        <v>6479.03</v>
      </c>
      <c r="Q273" s="2"/>
      <c r="R273" s="7">
        <f t="shared" si="113"/>
        <v>1.131667392850026E-3</v>
      </c>
      <c r="S273" s="2"/>
      <c r="T273" s="6">
        <v>1560</v>
      </c>
      <c r="U273" s="2"/>
      <c r="V273" s="7">
        <f t="shared" si="114"/>
        <v>2.5656803324912778E-4</v>
      </c>
      <c r="W273" s="2"/>
      <c r="X273" s="6">
        <f t="shared" si="115"/>
        <v>4919.03</v>
      </c>
      <c r="Y273" s="2"/>
      <c r="Z273" s="7">
        <f t="shared" si="116"/>
        <v>3.1532243589743589</v>
      </c>
    </row>
    <row r="274" spans="1:26" s="24" customFormat="1" hidden="1" outlineLevel="2" x14ac:dyDescent="0.25">
      <c r="A274" s="27"/>
      <c r="B274" s="11" t="str">
        <f>CONCATENATE("          ", "6246", " - ", "REPLACEMENTS")</f>
        <v xml:space="preserve">          6246 - REPLACEMENTS</v>
      </c>
      <c r="C274" s="11"/>
      <c r="D274" s="6"/>
      <c r="E274" s="2"/>
      <c r="F274" s="7">
        <f t="shared" si="109"/>
        <v>0</v>
      </c>
      <c r="G274" s="2"/>
      <c r="H274" s="6"/>
      <c r="I274" s="2"/>
      <c r="J274" s="7">
        <f t="shared" si="110"/>
        <v>0</v>
      </c>
      <c r="K274" s="2"/>
      <c r="L274" s="6">
        <f t="shared" si="111"/>
        <v>0</v>
      </c>
      <c r="M274" s="2"/>
      <c r="N274" s="7">
        <f t="shared" si="112"/>
        <v>0</v>
      </c>
      <c r="O274" s="11"/>
      <c r="P274" s="6"/>
      <c r="Q274" s="2"/>
      <c r="R274" s="7">
        <f t="shared" si="113"/>
        <v>0</v>
      </c>
      <c r="S274" s="2"/>
      <c r="T274" s="6">
        <v>2400</v>
      </c>
      <c r="U274" s="2"/>
      <c r="V274" s="7">
        <f t="shared" si="114"/>
        <v>3.9472005115250426E-4</v>
      </c>
      <c r="W274" s="2"/>
      <c r="X274" s="6">
        <f t="shared" si="115"/>
        <v>-2400</v>
      </c>
      <c r="Y274" s="2"/>
      <c r="Z274" s="7">
        <f t="shared" si="116"/>
        <v>-1</v>
      </c>
    </row>
    <row r="275" spans="1:26" s="24" customFormat="1" hidden="1" outlineLevel="2" x14ac:dyDescent="0.25">
      <c r="A275" s="27"/>
      <c r="B275" s="11" t="str">
        <f>CONCATENATE("          ", "6247", " - ", "STORE SUPPLIES")</f>
        <v xml:space="preserve">          6247 - STORE SUPPLIES</v>
      </c>
      <c r="C275" s="11"/>
      <c r="D275" s="6">
        <v>1573.12</v>
      </c>
      <c r="E275" s="2"/>
      <c r="F275" s="7">
        <f t="shared" si="109"/>
        <v>3.7292787604699753E-4</v>
      </c>
      <c r="G275" s="2"/>
      <c r="H275" s="6">
        <v>16403.43</v>
      </c>
      <c r="I275" s="2"/>
      <c r="J275" s="7">
        <f t="shared" si="110"/>
        <v>3.6949455433264145E-3</v>
      </c>
      <c r="K275" s="2"/>
      <c r="L275" s="6">
        <f t="shared" si="111"/>
        <v>-14830.310000000001</v>
      </c>
      <c r="M275" s="2"/>
      <c r="N275" s="7">
        <f t="shared" si="112"/>
        <v>-0.90409810631069243</v>
      </c>
      <c r="O275" s="11"/>
      <c r="P275" s="6">
        <v>11508.9</v>
      </c>
      <c r="Q275" s="2"/>
      <c r="R275" s="7">
        <f t="shared" si="113"/>
        <v>2.010215550409809E-3</v>
      </c>
      <c r="S275" s="2"/>
      <c r="T275" s="6">
        <v>25120.080000000002</v>
      </c>
      <c r="U275" s="2"/>
      <c r="V275" s="7">
        <f t="shared" si="114"/>
        <v>4.1314163593979165E-3</v>
      </c>
      <c r="W275" s="2"/>
      <c r="X275" s="6">
        <f t="shared" si="115"/>
        <v>-13611.180000000002</v>
      </c>
      <c r="Y275" s="2"/>
      <c r="Z275" s="7">
        <f t="shared" si="116"/>
        <v>-0.54184461195983458</v>
      </c>
    </row>
    <row r="276" spans="1:26" s="24" customFormat="1" hidden="1" outlineLevel="2" x14ac:dyDescent="0.25">
      <c r="A276" s="27"/>
      <c r="B276" s="11" t="str">
        <f>CONCATENATE("          ", "6248", " - ", "UNIFORMS")</f>
        <v xml:space="preserve">          6248 - UNIFORMS</v>
      </c>
      <c r="C276" s="11"/>
      <c r="D276" s="6">
        <v>3208.64</v>
      </c>
      <c r="E276" s="2"/>
      <c r="F276" s="7">
        <f t="shared" si="109"/>
        <v>7.6064845669716126E-4</v>
      </c>
      <c r="G276" s="2"/>
      <c r="H276" s="6">
        <v>3175</v>
      </c>
      <c r="I276" s="2"/>
      <c r="J276" s="7">
        <f t="shared" si="110"/>
        <v>7.1518286724553133E-4</v>
      </c>
      <c r="K276" s="2"/>
      <c r="L276" s="6">
        <f t="shared" si="111"/>
        <v>33.639999999999873</v>
      </c>
      <c r="M276" s="2"/>
      <c r="N276" s="7">
        <f t="shared" si="112"/>
        <v>1.059527559055114E-2</v>
      </c>
      <c r="O276" s="11"/>
      <c r="P276" s="6">
        <v>-1781.27</v>
      </c>
      <c r="Q276" s="2"/>
      <c r="R276" s="7">
        <f t="shared" si="113"/>
        <v>-3.1112761892782806E-4</v>
      </c>
      <c r="S276" s="2"/>
      <c r="T276" s="6">
        <v>14450</v>
      </c>
      <c r="U276" s="2"/>
      <c r="V276" s="7">
        <f t="shared" si="114"/>
        <v>2.3765436413140362E-3</v>
      </c>
      <c r="W276" s="2"/>
      <c r="X276" s="6">
        <f t="shared" si="115"/>
        <v>-16231.27</v>
      </c>
      <c r="Y276" s="2"/>
      <c r="Z276" s="7">
        <f t="shared" si="116"/>
        <v>-1.1232712802768166</v>
      </c>
    </row>
    <row r="277" spans="1:26" s="26" customFormat="1" outlineLevel="1" collapsed="1" x14ac:dyDescent="0.25">
      <c r="A277" s="25"/>
      <c r="B277" s="13" t="str">
        <f>CONCATENATE("     ","Telephone/Data Lines                              ")</f>
        <v xml:space="preserve">     Telephone/Data Lines                              </v>
      </c>
      <c r="C277" s="13"/>
      <c r="D277" s="1">
        <f>SUM(OSRRefD22_23x_0)</f>
        <v>5533.95</v>
      </c>
      <c r="E277" s="1"/>
      <c r="F277" s="5">
        <f t="shared" ref="F277:F279" si="117">IF(D$12=0,0,D277/D$12)</f>
        <v>1.3118924301072279E-3</v>
      </c>
      <c r="G277" s="1"/>
      <c r="H277" s="1">
        <f>SUM(OSRRefH22_23x_0)</f>
        <v>6151</v>
      </c>
      <c r="I277" s="1"/>
      <c r="J277" s="5">
        <f t="shared" ref="J277:J279" si="118">IF(H$12=0,0,H277/H$12)</f>
        <v>1.3855400996621301E-3</v>
      </c>
      <c r="K277" s="1"/>
      <c r="L277" s="1">
        <f t="shared" ref="L277:L279" si="119">+D277-H277</f>
        <v>-617.05000000000018</v>
      </c>
      <c r="M277" s="1"/>
      <c r="N277" s="5">
        <f t="shared" ref="N277:N279" si="120">IF(H277=0,0,L277/H277)</f>
        <v>-0.10031702162250043</v>
      </c>
      <c r="O277" s="13"/>
      <c r="P277" s="1">
        <f>SUM(OSRRefP22_23x_0)</f>
        <v>8227.7200000000012</v>
      </c>
      <c r="Q277" s="1"/>
      <c r="R277" s="5">
        <f t="shared" ref="R277:R279" si="121">IF(P$12=0,0,P277/P$12)</f>
        <v>1.4371043877710115E-3</v>
      </c>
      <c r="S277" s="1"/>
      <c r="T277" s="1">
        <f>SUM(OSRRefT22_23x_0)</f>
        <v>11902</v>
      </c>
      <c r="U277" s="1"/>
      <c r="V277" s="5">
        <f t="shared" ref="V277:V279" si="122">IF(T$12=0,0,T277/T$12)</f>
        <v>1.9574825203404608E-3</v>
      </c>
      <c r="W277" s="1"/>
      <c r="X277" s="1">
        <f t="shared" ref="X277:X279" si="123">+P277-T277</f>
        <v>-3674.2799999999988</v>
      </c>
      <c r="Y277" s="1"/>
      <c r="Z277" s="5">
        <f t="shared" ref="Z277:Z279" si="124">IF(T277=0,0,X277/T277)</f>
        <v>-0.30871114098470837</v>
      </c>
    </row>
    <row r="278" spans="1:26" s="24" customFormat="1" hidden="1" outlineLevel="2" x14ac:dyDescent="0.25">
      <c r="A278" s="27"/>
      <c r="B278" s="11" t="str">
        <f>CONCATENATE("          ", "6303", " - ", "DATA PHONE LINES")</f>
        <v xml:space="preserve">          6303 - DATA PHONE LINES</v>
      </c>
      <c r="C278" s="11"/>
      <c r="D278" s="6">
        <v>295</v>
      </c>
      <c r="E278" s="2"/>
      <c r="F278" s="7">
        <f t="shared" si="117"/>
        <v>6.9933459261762798E-5</v>
      </c>
      <c r="G278" s="2"/>
      <c r="H278" s="6">
        <v>1603</v>
      </c>
      <c r="I278" s="2"/>
      <c r="J278" s="7">
        <f t="shared" si="118"/>
        <v>3.6108287754160214E-4</v>
      </c>
      <c r="K278" s="2"/>
      <c r="L278" s="6">
        <f t="shared" si="119"/>
        <v>-1308</v>
      </c>
      <c r="M278" s="2"/>
      <c r="N278" s="7">
        <f t="shared" si="120"/>
        <v>-0.81597005614472862</v>
      </c>
      <c r="O278" s="11"/>
      <c r="P278" s="6">
        <v>590</v>
      </c>
      <c r="Q278" s="2"/>
      <c r="R278" s="7">
        <f t="shared" si="121"/>
        <v>1.0305304370893719E-4</v>
      </c>
      <c r="S278" s="2"/>
      <c r="T278" s="6">
        <v>3131</v>
      </c>
      <c r="U278" s="2"/>
      <c r="V278" s="7">
        <f t="shared" si="122"/>
        <v>5.149452000660379E-4</v>
      </c>
      <c r="W278" s="2"/>
      <c r="X278" s="6">
        <f t="shared" si="123"/>
        <v>-2541</v>
      </c>
      <c r="Y278" s="2"/>
      <c r="Z278" s="7">
        <f t="shared" si="124"/>
        <v>-0.81156180134142442</v>
      </c>
    </row>
    <row r="279" spans="1:26" s="24" customFormat="1" hidden="1" outlineLevel="2" x14ac:dyDescent="0.25">
      <c r="A279" s="27"/>
      <c r="B279" s="11" t="str">
        <f>CONCATENATE("          ", "6309", " - ", "TELEPHONE")</f>
        <v xml:space="preserve">          6309 - TELEPHONE</v>
      </c>
      <c r="C279" s="11"/>
      <c r="D279" s="6">
        <v>5238.95</v>
      </c>
      <c r="E279" s="2"/>
      <c r="F279" s="7">
        <f t="shared" si="117"/>
        <v>1.241958970845465E-3</v>
      </c>
      <c r="G279" s="2"/>
      <c r="H279" s="6">
        <v>4548</v>
      </c>
      <c r="I279" s="2"/>
      <c r="J279" s="7">
        <f t="shared" si="118"/>
        <v>1.024457222120528E-3</v>
      </c>
      <c r="K279" s="2"/>
      <c r="L279" s="6">
        <f t="shared" si="119"/>
        <v>690.94999999999982</v>
      </c>
      <c r="M279" s="2"/>
      <c r="N279" s="7">
        <f t="shared" si="120"/>
        <v>0.15192392260334209</v>
      </c>
      <c r="O279" s="11"/>
      <c r="P279" s="6">
        <v>7637.72</v>
      </c>
      <c r="Q279" s="2"/>
      <c r="R279" s="7">
        <f t="shared" si="121"/>
        <v>1.3340513440620743E-3</v>
      </c>
      <c r="S279" s="2"/>
      <c r="T279" s="6">
        <v>8771</v>
      </c>
      <c r="U279" s="2"/>
      <c r="V279" s="7">
        <f t="shared" si="122"/>
        <v>1.4425373202744229E-3</v>
      </c>
      <c r="W279" s="2"/>
      <c r="X279" s="6">
        <f t="shared" si="123"/>
        <v>-1133.2799999999997</v>
      </c>
      <c r="Y279" s="2"/>
      <c r="Z279" s="7">
        <f t="shared" si="124"/>
        <v>-0.12920761600729674</v>
      </c>
    </row>
    <row r="280" spans="1:26" s="26" customFormat="1" outlineLevel="1" collapsed="1" x14ac:dyDescent="0.25">
      <c r="A280" s="25"/>
      <c r="B280" s="13" t="str">
        <f>CONCATENATE("     ","Training                                          ")</f>
        <v xml:space="preserve">     Training                                          </v>
      </c>
      <c r="C280" s="13"/>
      <c r="D280" s="1">
        <f>SUM(OSRRefD22_24x_0)</f>
        <v>6895.76</v>
      </c>
      <c r="E280" s="1"/>
      <c r="F280" s="5">
        <f t="shared" ref="F280:F285" si="125">IF(D$12=0,0,D280/D$12)</f>
        <v>1.634726613691164E-3</v>
      </c>
      <c r="G280" s="1"/>
      <c r="H280" s="1">
        <f>SUM(OSRRefH22_24x_0)</f>
        <v>9994</v>
      </c>
      <c r="I280" s="1"/>
      <c r="J280" s="5">
        <f t="shared" ref="J280:J285" si="126">IF(H$12=0,0,H280/H$12)</f>
        <v>2.2511929370871938E-3</v>
      </c>
      <c r="K280" s="1"/>
      <c r="L280" s="1">
        <f t="shared" ref="L280:L285" si="127">+D280-H280</f>
        <v>-3098.24</v>
      </c>
      <c r="M280" s="1"/>
      <c r="N280" s="5">
        <f t="shared" ref="N280:N285" si="128">IF(H280=0,0,L280/H280)</f>
        <v>-0.31001000600360212</v>
      </c>
      <c r="O280" s="13"/>
      <c r="P280" s="1">
        <f>SUM(OSRRefP22_24x_0)</f>
        <v>11762.65</v>
      </c>
      <c r="Q280" s="1"/>
      <c r="R280" s="5">
        <f t="shared" ref="R280:R285" si="129">IF(P$12=0,0,P280/P$12)</f>
        <v>2.0545370925134409E-3</v>
      </c>
      <c r="S280" s="1"/>
      <c r="T280" s="1">
        <f>SUM(OSRRefT22_24x_0)</f>
        <v>14988</v>
      </c>
      <c r="U280" s="1"/>
      <c r="V280" s="5">
        <f t="shared" ref="V280:V285" si="130">IF(T$12=0,0,T280/T$12)</f>
        <v>2.4650267194473892E-3</v>
      </c>
      <c r="W280" s="1"/>
      <c r="X280" s="1">
        <f t="shared" ref="X280:X285" si="131">+P280-T280</f>
        <v>-3225.3500000000004</v>
      </c>
      <c r="Y280" s="1"/>
      <c r="Z280" s="5">
        <f t="shared" ref="Z280:Z285" si="132">IF(T280=0,0,X280/T280)</f>
        <v>-0.21519548972511346</v>
      </c>
    </row>
    <row r="281" spans="1:26" s="24" customFormat="1" hidden="1" outlineLevel="2" x14ac:dyDescent="0.25">
      <c r="A281" s="27"/>
      <c r="B281" s="11" t="str">
        <f>CONCATENATE("          ", "6376", " - ", "TRAINING")</f>
        <v xml:space="preserve">          6376 - TRAINING</v>
      </c>
      <c r="C281" s="11"/>
      <c r="D281" s="6">
        <v>6895.76</v>
      </c>
      <c r="E281" s="2"/>
      <c r="F281" s="7">
        <f t="shared" si="125"/>
        <v>1.634726613691164E-3</v>
      </c>
      <c r="G281" s="2"/>
      <c r="H281" s="6">
        <v>9994</v>
      </c>
      <c r="I281" s="2"/>
      <c r="J281" s="7">
        <f t="shared" si="126"/>
        <v>2.2511929370871938E-3</v>
      </c>
      <c r="K281" s="2"/>
      <c r="L281" s="6">
        <f t="shared" si="127"/>
        <v>-3098.24</v>
      </c>
      <c r="M281" s="2"/>
      <c r="N281" s="7">
        <f t="shared" si="128"/>
        <v>-0.31001000600360212</v>
      </c>
      <c r="O281" s="11"/>
      <c r="P281" s="6">
        <v>11762.65</v>
      </c>
      <c r="Q281" s="2"/>
      <c r="R281" s="7">
        <f t="shared" si="129"/>
        <v>2.0545370925134409E-3</v>
      </c>
      <c r="S281" s="2"/>
      <c r="T281" s="6">
        <v>14988</v>
      </c>
      <c r="U281" s="2"/>
      <c r="V281" s="7">
        <f t="shared" si="130"/>
        <v>2.4650267194473892E-3</v>
      </c>
      <c r="W281" s="2"/>
      <c r="X281" s="6">
        <f t="shared" si="131"/>
        <v>-3225.3500000000004</v>
      </c>
      <c r="Y281" s="2"/>
      <c r="Z281" s="7">
        <f t="shared" si="132"/>
        <v>-0.21519548972511346</v>
      </c>
    </row>
    <row r="282" spans="1:26" s="26" customFormat="1" outlineLevel="1" collapsed="1" x14ac:dyDescent="0.25">
      <c r="A282" s="25"/>
      <c r="B282" s="13" t="str">
        <f>CONCATENATE("     ","Travel                                            ")</f>
        <v xml:space="preserve">     Travel                                            </v>
      </c>
      <c r="C282" s="13"/>
      <c r="D282" s="1">
        <f>SUM(OSRRefD22_25x_0)</f>
        <v>391.29</v>
      </c>
      <c r="E282" s="1"/>
      <c r="F282" s="5">
        <f t="shared" si="125"/>
        <v>9.2760214489949713E-5</v>
      </c>
      <c r="G282" s="1"/>
      <c r="H282" s="1">
        <f>SUM(OSRRefH22_25x_0)</f>
        <v>560</v>
      </c>
      <c r="I282" s="1"/>
      <c r="J282" s="5">
        <f t="shared" si="126"/>
        <v>1.2614248997086538E-4</v>
      </c>
      <c r="K282" s="1"/>
      <c r="L282" s="1">
        <f t="shared" si="127"/>
        <v>-168.70999999999998</v>
      </c>
      <c r="M282" s="1"/>
      <c r="N282" s="5">
        <f t="shared" si="128"/>
        <v>-0.30126785714285709</v>
      </c>
      <c r="O282" s="13"/>
      <c r="P282" s="1">
        <f>SUM(OSRRefP22_25x_0)</f>
        <v>2945.7999999999997</v>
      </c>
      <c r="Q282" s="1"/>
      <c r="R282" s="5">
        <f t="shared" si="129"/>
        <v>5.1453162060641894E-4</v>
      </c>
      <c r="S282" s="1"/>
      <c r="T282" s="1">
        <f>SUM(OSRRefT22_25x_0)</f>
        <v>6730</v>
      </c>
      <c r="U282" s="1"/>
      <c r="V282" s="5">
        <f t="shared" si="130"/>
        <v>1.1068608101068142E-3</v>
      </c>
      <c r="W282" s="1"/>
      <c r="X282" s="1">
        <f t="shared" si="131"/>
        <v>-3784.2000000000003</v>
      </c>
      <c r="Y282" s="1"/>
      <c r="Z282" s="5">
        <f t="shared" si="132"/>
        <v>-0.56228826151560185</v>
      </c>
    </row>
    <row r="283" spans="1:26" s="24" customFormat="1" hidden="1" outlineLevel="2" x14ac:dyDescent="0.25">
      <c r="A283" s="27"/>
      <c r="B283" s="11" t="str">
        <f>CONCATENATE("          ", "6292", " - ", "TRAVEL/CONFERENCE")</f>
        <v xml:space="preserve">          6292 - TRAVEL/CONFERENCE</v>
      </c>
      <c r="C283" s="11"/>
      <c r="D283" s="6">
        <v>260.52</v>
      </c>
      <c r="E283" s="2"/>
      <c r="F283" s="7">
        <f t="shared" si="125"/>
        <v>6.1759541718218449E-5</v>
      </c>
      <c r="G283" s="2"/>
      <c r="H283" s="6">
        <v>300</v>
      </c>
      <c r="I283" s="2"/>
      <c r="J283" s="7">
        <f t="shared" si="126"/>
        <v>6.7576333912963595E-5</v>
      </c>
      <c r="K283" s="2"/>
      <c r="L283" s="6">
        <f t="shared" si="127"/>
        <v>-39.480000000000018</v>
      </c>
      <c r="M283" s="2"/>
      <c r="N283" s="7">
        <f t="shared" si="128"/>
        <v>-0.13160000000000005</v>
      </c>
      <c r="O283" s="11"/>
      <c r="P283" s="6">
        <v>2484.7399999999998</v>
      </c>
      <c r="Q283" s="2"/>
      <c r="R283" s="7">
        <f t="shared" si="129"/>
        <v>4.3400003360227898E-4</v>
      </c>
      <c r="S283" s="2"/>
      <c r="T283" s="6">
        <v>5800</v>
      </c>
      <c r="U283" s="2"/>
      <c r="V283" s="7">
        <f t="shared" si="130"/>
        <v>9.5390679028521869E-4</v>
      </c>
      <c r="W283" s="2"/>
      <c r="X283" s="6">
        <f t="shared" si="131"/>
        <v>-3315.26</v>
      </c>
      <c r="Y283" s="2"/>
      <c r="Z283" s="7">
        <f t="shared" si="132"/>
        <v>-0.57159655172413792</v>
      </c>
    </row>
    <row r="284" spans="1:26" s="24" customFormat="1" hidden="1" outlineLevel="2" x14ac:dyDescent="0.25">
      <c r="A284" s="27"/>
      <c r="B284" s="11" t="str">
        <f>CONCATENATE("          ", "6294", " - ", "TRAVEL OPERATIONAL")</f>
        <v xml:space="preserve">          6294 - TRAVEL OPERATIONAL</v>
      </c>
      <c r="C284" s="11"/>
      <c r="D284" s="6">
        <v>68.67</v>
      </c>
      <c r="E284" s="2"/>
      <c r="F284" s="7">
        <f t="shared" si="125"/>
        <v>1.6279086940695767E-5</v>
      </c>
      <c r="G284" s="2"/>
      <c r="H284" s="6">
        <v>150</v>
      </c>
      <c r="I284" s="2"/>
      <c r="J284" s="7">
        <f t="shared" si="126"/>
        <v>3.3788166956481798E-5</v>
      </c>
      <c r="K284" s="2"/>
      <c r="L284" s="6">
        <f t="shared" si="127"/>
        <v>-81.33</v>
      </c>
      <c r="M284" s="2"/>
      <c r="N284" s="7">
        <f t="shared" si="128"/>
        <v>-0.54220000000000002</v>
      </c>
      <c r="O284" s="11"/>
      <c r="P284" s="6">
        <v>114.16</v>
      </c>
      <c r="Q284" s="2"/>
      <c r="R284" s="7">
        <f t="shared" si="129"/>
        <v>1.9939890626800459E-5</v>
      </c>
      <c r="S284" s="2"/>
      <c r="T284" s="6">
        <v>260</v>
      </c>
      <c r="U284" s="2"/>
      <c r="V284" s="7">
        <f t="shared" si="130"/>
        <v>4.2761338874854629E-5</v>
      </c>
      <c r="W284" s="2"/>
      <c r="X284" s="6">
        <f t="shared" si="131"/>
        <v>-145.84</v>
      </c>
      <c r="Y284" s="2"/>
      <c r="Z284" s="7">
        <f t="shared" si="132"/>
        <v>-0.56092307692307697</v>
      </c>
    </row>
    <row r="285" spans="1:26" s="24" customFormat="1" hidden="1" outlineLevel="2" x14ac:dyDescent="0.25">
      <c r="A285" s="27"/>
      <c r="B285" s="11" t="str">
        <f>CONCATENATE("          ", "6298", " - ", "VEHICLE MILEAGE")</f>
        <v xml:space="preserve">          6298 - VEHICLE MILEAGE</v>
      </c>
      <c r="C285" s="11"/>
      <c r="D285" s="6">
        <v>62.1</v>
      </c>
      <c r="E285" s="2"/>
      <c r="F285" s="7">
        <f t="shared" si="125"/>
        <v>1.472158583103549E-5</v>
      </c>
      <c r="G285" s="2"/>
      <c r="H285" s="6">
        <v>110</v>
      </c>
      <c r="I285" s="2"/>
      <c r="J285" s="7">
        <f t="shared" si="126"/>
        <v>2.4777989101419983E-5</v>
      </c>
      <c r="K285" s="2"/>
      <c r="L285" s="6">
        <f t="shared" si="127"/>
        <v>-47.9</v>
      </c>
      <c r="M285" s="2"/>
      <c r="N285" s="7">
        <f t="shared" si="128"/>
        <v>-0.43545454545454543</v>
      </c>
      <c r="O285" s="11"/>
      <c r="P285" s="6">
        <v>346.9</v>
      </c>
      <c r="Q285" s="2"/>
      <c r="R285" s="7">
        <f t="shared" si="129"/>
        <v>6.0591696377339511E-5</v>
      </c>
      <c r="S285" s="2"/>
      <c r="T285" s="6">
        <v>670</v>
      </c>
      <c r="U285" s="2"/>
      <c r="V285" s="7">
        <f t="shared" si="130"/>
        <v>1.1019268094674079E-4</v>
      </c>
      <c r="W285" s="2"/>
      <c r="X285" s="6">
        <f t="shared" si="131"/>
        <v>-323.10000000000002</v>
      </c>
      <c r="Y285" s="2"/>
      <c r="Z285" s="7">
        <f t="shared" si="132"/>
        <v>-0.48223880597014929</v>
      </c>
    </row>
    <row r="286" spans="1:26" s="26" customFormat="1" outlineLevel="1" collapsed="1" x14ac:dyDescent="0.25">
      <c r="A286" s="25"/>
      <c r="B286" s="13" t="str">
        <f>CONCATENATE("     ","Utilities                                         ")</f>
        <v xml:space="preserve">     Utilities                                         </v>
      </c>
      <c r="C286" s="13"/>
      <c r="D286" s="1">
        <f>SUM(OSRRefD22_26x_0)</f>
        <v>-849.1</v>
      </c>
      <c r="E286" s="1"/>
      <c r="F286" s="5">
        <f t="shared" ref="F286:F287" si="133">IF(D$12=0,0,D286/D$12)</f>
        <v>-2.0128983138699251E-4</v>
      </c>
      <c r="G286" s="1"/>
      <c r="H286" s="1">
        <f>SUM(OSRRefH22_26x_0)</f>
        <v>28642</v>
      </c>
      <c r="I286" s="1"/>
      <c r="J286" s="5">
        <f t="shared" ref="J286:J287" si="134">IF(H$12=0,0,H286/H$12)</f>
        <v>6.451737853117011E-3</v>
      </c>
      <c r="K286" s="1"/>
      <c r="L286" s="1">
        <f t="shared" ref="L286:L287" si="135">+D286-H286</f>
        <v>-29491.1</v>
      </c>
      <c r="M286" s="1"/>
      <c r="N286" s="5">
        <f t="shared" ref="N286:N287" si="136">IF(H286=0,0,L286/H286)</f>
        <v>-1.0296452761678654</v>
      </c>
      <c r="O286" s="13"/>
      <c r="P286" s="1">
        <f>SUM(OSRRefP22_26x_0)</f>
        <v>19436.900000000001</v>
      </c>
      <c r="Q286" s="1"/>
      <c r="R286" s="5">
        <f t="shared" ref="R286:R287" si="137">IF(P$12=0,0,P286/P$12)</f>
        <v>3.3949689919766804E-3</v>
      </c>
      <c r="S286" s="1"/>
      <c r="T286" s="1">
        <f>SUM(OSRRefT22_26x_0)</f>
        <v>52298</v>
      </c>
      <c r="U286" s="1"/>
      <c r="V286" s="5">
        <f t="shared" ref="V286:V287" si="138">IF(T$12=0,0,T286/T$12)</f>
        <v>8.6012788479890284E-3</v>
      </c>
      <c r="W286" s="1"/>
      <c r="X286" s="1">
        <f t="shared" ref="X286:X287" si="139">+P286-T286</f>
        <v>-32861.1</v>
      </c>
      <c r="Y286" s="1"/>
      <c r="Z286" s="5">
        <f t="shared" ref="Z286:Z287" si="140">IF(T286=0,0,X286/T286)</f>
        <v>-0.62834334008948711</v>
      </c>
    </row>
    <row r="287" spans="1:26" s="24" customFormat="1" hidden="1" outlineLevel="2" x14ac:dyDescent="0.25">
      <c r="A287" s="27"/>
      <c r="B287" s="11" t="str">
        <f>CONCATENATE("          ", "6274", " - ", "UTILITIES")</f>
        <v xml:space="preserve">          6274 - UTILITIES</v>
      </c>
      <c r="C287" s="11"/>
      <c r="D287" s="6">
        <v>-849.1</v>
      </c>
      <c r="E287" s="2"/>
      <c r="F287" s="7">
        <f t="shared" si="133"/>
        <v>-2.0128983138699251E-4</v>
      </c>
      <c r="G287" s="2"/>
      <c r="H287" s="6">
        <v>28642</v>
      </c>
      <c r="I287" s="2"/>
      <c r="J287" s="7">
        <f t="shared" si="134"/>
        <v>6.451737853117011E-3</v>
      </c>
      <c r="K287" s="2"/>
      <c r="L287" s="6">
        <f t="shared" si="135"/>
        <v>-29491.1</v>
      </c>
      <c r="M287" s="2"/>
      <c r="N287" s="7">
        <f t="shared" si="136"/>
        <v>-1.0296452761678654</v>
      </c>
      <c r="O287" s="11"/>
      <c r="P287" s="6">
        <v>19436.900000000001</v>
      </c>
      <c r="Q287" s="2"/>
      <c r="R287" s="7">
        <f t="shared" si="137"/>
        <v>3.3949689919766804E-3</v>
      </c>
      <c r="S287" s="2"/>
      <c r="T287" s="6">
        <v>52298</v>
      </c>
      <c r="U287" s="2"/>
      <c r="V287" s="7">
        <f t="shared" si="138"/>
        <v>8.6012788479890284E-3</v>
      </c>
      <c r="W287" s="2"/>
      <c r="X287" s="6">
        <f t="shared" si="139"/>
        <v>-32861.1</v>
      </c>
      <c r="Y287" s="2"/>
      <c r="Z287" s="7">
        <f t="shared" si="140"/>
        <v>-0.62834334008948711</v>
      </c>
    </row>
    <row r="288" spans="1:26" s="63" customFormat="1" x14ac:dyDescent="0.25">
      <c r="A288" s="36"/>
      <c r="B288" s="36"/>
      <c r="C288" s="36"/>
      <c r="D288" s="1"/>
      <c r="E288" s="1"/>
      <c r="F288" s="5"/>
      <c r="G288" s="1"/>
      <c r="H288" s="1"/>
      <c r="I288" s="1"/>
      <c r="J288" s="5"/>
      <c r="K288" s="1"/>
      <c r="L288" s="1"/>
      <c r="M288" s="1"/>
      <c r="N288" s="5"/>
      <c r="O288" s="36"/>
      <c r="P288" s="1"/>
      <c r="Q288" s="1"/>
      <c r="R288" s="5"/>
      <c r="S288" s="1"/>
      <c r="T288" s="1"/>
      <c r="U288" s="1"/>
      <c r="V288" s="5"/>
      <c r="W288" s="1"/>
      <c r="X288" s="1"/>
      <c r="Y288" s="1"/>
      <c r="Z288" s="5"/>
    </row>
    <row r="289" spans="1:26" s="23" customFormat="1" collapsed="1" x14ac:dyDescent="0.25">
      <c r="A289" s="10"/>
      <c r="B289" s="28" t="s">
        <v>0</v>
      </c>
      <c r="C289" s="10"/>
      <c r="D289" s="4">
        <f>SUM(OSRRefD25x_0)</f>
        <v>65307.56</v>
      </c>
      <c r="E289" s="4"/>
      <c r="F289" s="12">
        <f t="shared" ref="F289:F299" si="141">IF(D$12=0,0,D289/D$12)</f>
        <v>1.5481978260152979E-2</v>
      </c>
      <c r="G289" s="4"/>
      <c r="H289" s="4">
        <f>SUM(OSRRefH25x_0)</f>
        <v>91110</v>
      </c>
      <c r="I289" s="4"/>
      <c r="J289" s="12">
        <f t="shared" ref="J289:J299" si="142">IF(H$12=0,0,H289/H$12)</f>
        <v>2.0522932609367044E-2</v>
      </c>
      <c r="K289" s="4"/>
      <c r="L289" s="4">
        <f t="shared" ref="L289:L299" si="143">+D289-H289</f>
        <v>-25802.440000000002</v>
      </c>
      <c r="M289" s="4"/>
      <c r="N289" s="12">
        <f t="shared" ref="N289:N299" si="144">IF(H289=0,0,L289/H289)</f>
        <v>-0.28320096586543742</v>
      </c>
      <c r="O289" s="10"/>
      <c r="P289" s="4">
        <f>SUM(OSRRefP25x_0)</f>
        <v>187976.97</v>
      </c>
      <c r="Q289" s="4"/>
      <c r="R289" s="12">
        <f t="shared" ref="R289:R299" si="145">IF(P$12=0,0,P289/P$12)</f>
        <v>3.2833218484209448E-2</v>
      </c>
      <c r="S289" s="4"/>
      <c r="T289" s="4">
        <f>SUM(OSRRefT25x_0)</f>
        <v>183138</v>
      </c>
      <c r="U289" s="4"/>
      <c r="V289" s="12">
        <f t="shared" ref="V289:V299" si="146">IF(T$12=0,0,T289/T$12)</f>
        <v>3.012010030331972E-2</v>
      </c>
      <c r="W289" s="4"/>
      <c r="X289" s="4">
        <f t="shared" ref="X289:X299" si="147">+P289-T289</f>
        <v>4838.9700000000012</v>
      </c>
      <c r="Y289" s="4"/>
      <c r="Z289" s="12">
        <f t="shared" ref="Z289:Z299" si="148">IF(T289=0,0,X289/T289)</f>
        <v>2.6422533826950177E-2</v>
      </c>
    </row>
    <row r="290" spans="1:26" s="24" customFormat="1" hidden="1" outlineLevel="1" x14ac:dyDescent="0.25">
      <c r="A290" s="46"/>
      <c r="B290" s="11" t="str">
        <f>CONCATENATE("          ", "4098", " - ", "TAXABLE SALES-GRAD RENTALS")</f>
        <v xml:space="preserve">          4098 - TAXABLE SALES-GRAD RENTALS</v>
      </c>
      <c r="C290" s="11"/>
      <c r="D290" s="2">
        <f>--1552.15</f>
        <v>1552.15</v>
      </c>
      <c r="E290" s="2"/>
      <c r="F290" s="21">
        <f t="shared" si="141"/>
        <v>3.6795667387506823E-4</v>
      </c>
      <c r="G290" s="2"/>
      <c r="H290" s="2"/>
      <c r="I290" s="2"/>
      <c r="J290" s="21">
        <f t="shared" si="142"/>
        <v>0</v>
      </c>
      <c r="K290" s="2"/>
      <c r="L290" s="2">
        <f t="shared" si="143"/>
        <v>1552.15</v>
      </c>
      <c r="M290" s="2"/>
      <c r="N290" s="21">
        <f t="shared" si="144"/>
        <v>0</v>
      </c>
      <c r="O290" s="11"/>
      <c r="P290" s="2">
        <f>--1626.85</f>
        <v>1626.85</v>
      </c>
      <c r="Q290" s="2"/>
      <c r="R290" s="21">
        <f t="shared" si="145"/>
        <v>2.8415566806421096E-4</v>
      </c>
      <c r="S290" s="2"/>
      <c r="T290" s="2"/>
      <c r="U290" s="2"/>
      <c r="V290" s="21">
        <f t="shared" si="146"/>
        <v>0</v>
      </c>
      <c r="W290" s="2"/>
      <c r="X290" s="2">
        <f t="shared" si="147"/>
        <v>1626.85</v>
      </c>
      <c r="Y290" s="2"/>
      <c r="Z290" s="21">
        <f t="shared" si="148"/>
        <v>0</v>
      </c>
    </row>
    <row r="291" spans="1:26" s="24" customFormat="1" hidden="1" outlineLevel="1" x14ac:dyDescent="0.25">
      <c r="A291" s="46"/>
      <c r="B291" s="11" t="str">
        <f>CONCATENATE("          ", "4187", " - ", "NON-TAXABLE SALES-COMPUTER REP")</f>
        <v xml:space="preserve">          4187 - NON-TAXABLE SALES-COMPUTER REP</v>
      </c>
      <c r="C291" s="11"/>
      <c r="D291" s="2">
        <f>--1700.37</f>
        <v>1700.37</v>
      </c>
      <c r="E291" s="2"/>
      <c r="F291" s="21">
        <f t="shared" si="141"/>
        <v>4.0309408855906302E-4</v>
      </c>
      <c r="G291" s="2"/>
      <c r="H291" s="2"/>
      <c r="I291" s="2"/>
      <c r="J291" s="21">
        <f t="shared" si="142"/>
        <v>0</v>
      </c>
      <c r="K291" s="2"/>
      <c r="L291" s="2">
        <f t="shared" si="143"/>
        <v>1700.37</v>
      </c>
      <c r="M291" s="2"/>
      <c r="N291" s="21">
        <f t="shared" si="144"/>
        <v>0</v>
      </c>
      <c r="O291" s="11"/>
      <c r="P291" s="2">
        <f>--2482.26</f>
        <v>2482.2600000000002</v>
      </c>
      <c r="Q291" s="2"/>
      <c r="R291" s="21">
        <f t="shared" si="145"/>
        <v>4.3356686148634995E-4</v>
      </c>
      <c r="S291" s="2"/>
      <c r="T291" s="2"/>
      <c r="U291" s="2"/>
      <c r="V291" s="21">
        <f t="shared" si="146"/>
        <v>0</v>
      </c>
      <c r="W291" s="2"/>
      <c r="X291" s="2">
        <f t="shared" si="147"/>
        <v>2482.2600000000002</v>
      </c>
      <c r="Y291" s="2"/>
      <c r="Z291" s="21">
        <f t="shared" si="148"/>
        <v>0</v>
      </c>
    </row>
    <row r="292" spans="1:26" s="24" customFormat="1" hidden="1" outlineLevel="1" x14ac:dyDescent="0.25">
      <c r="A292" s="46"/>
      <c r="B292" s="11" t="str">
        <f>CONCATENATE("          ", "4197", " - ", "NON-TAXABLE SALES-RETURNED CHE")</f>
        <v xml:space="preserve">          4197 - NON-TAXABLE SALES-RETURNED CHE</v>
      </c>
      <c r="C292" s="11"/>
      <c r="D292" s="2">
        <f>--30</f>
        <v>30</v>
      </c>
      <c r="E292" s="2"/>
      <c r="F292" s="21">
        <f t="shared" si="141"/>
        <v>7.1118772130606229E-6</v>
      </c>
      <c r="G292" s="2"/>
      <c r="H292" s="2"/>
      <c r="I292" s="2"/>
      <c r="J292" s="21">
        <f t="shared" si="142"/>
        <v>0</v>
      </c>
      <c r="K292" s="2"/>
      <c r="L292" s="2">
        <f t="shared" si="143"/>
        <v>30</v>
      </c>
      <c r="M292" s="2"/>
      <c r="N292" s="21">
        <f t="shared" si="144"/>
        <v>0</v>
      </c>
      <c r="O292" s="11"/>
      <c r="P292" s="2">
        <f>--30</f>
        <v>30</v>
      </c>
      <c r="Q292" s="2"/>
      <c r="R292" s="21">
        <f t="shared" si="145"/>
        <v>5.2399852733357893E-6</v>
      </c>
      <c r="S292" s="2"/>
      <c r="T292" s="2"/>
      <c r="U292" s="2"/>
      <c r="V292" s="21">
        <f t="shared" si="146"/>
        <v>0</v>
      </c>
      <c r="W292" s="2"/>
      <c r="X292" s="2">
        <f t="shared" si="147"/>
        <v>30</v>
      </c>
      <c r="Y292" s="2"/>
      <c r="Z292" s="21">
        <f t="shared" si="148"/>
        <v>0</v>
      </c>
    </row>
    <row r="293" spans="1:26" s="24" customFormat="1" hidden="1" outlineLevel="1" x14ac:dyDescent="0.25">
      <c r="A293" s="46"/>
      <c r="B293" s="11" t="str">
        <f>CONCATENATE("          ", "4198", " - ", "NON-TAXABLE SALES-GRAD RENTALS")</f>
        <v xml:space="preserve">          4198 - NON-TAXABLE SALES-GRAD RENTALS</v>
      </c>
      <c r="C293" s="11"/>
      <c r="D293" s="2">
        <f>--210</f>
        <v>210</v>
      </c>
      <c r="E293" s="2"/>
      <c r="F293" s="21">
        <f t="shared" si="141"/>
        <v>4.9783140491424363E-5</v>
      </c>
      <c r="G293" s="2"/>
      <c r="H293" s="2"/>
      <c r="I293" s="2"/>
      <c r="J293" s="21">
        <f t="shared" si="142"/>
        <v>0</v>
      </c>
      <c r="K293" s="2"/>
      <c r="L293" s="2">
        <f t="shared" si="143"/>
        <v>210</v>
      </c>
      <c r="M293" s="2"/>
      <c r="N293" s="21">
        <f t="shared" si="144"/>
        <v>0</v>
      </c>
      <c r="O293" s="11"/>
      <c r="P293" s="2">
        <f>--465</f>
        <v>465</v>
      </c>
      <c r="Q293" s="2"/>
      <c r="R293" s="21">
        <f t="shared" si="145"/>
        <v>8.1219771736704743E-5</v>
      </c>
      <c r="S293" s="2"/>
      <c r="T293" s="2"/>
      <c r="U293" s="2"/>
      <c r="V293" s="21">
        <f t="shared" si="146"/>
        <v>0</v>
      </c>
      <c r="W293" s="2"/>
      <c r="X293" s="2">
        <f t="shared" si="147"/>
        <v>465</v>
      </c>
      <c r="Y293" s="2"/>
      <c r="Z293" s="21">
        <f t="shared" si="148"/>
        <v>0</v>
      </c>
    </row>
    <row r="294" spans="1:26" s="24" customFormat="1" hidden="1" outlineLevel="1" x14ac:dyDescent="0.25">
      <c r="A294" s="46"/>
      <c r="B294" s="11" t="str">
        <f>CONCATENATE("          ", "4387", " - ", "SALES RETURN NON TAXABLE-COMPU")</f>
        <v xml:space="preserve">          4387 - SALES RETURN NON TAXABLE-COMPU</v>
      </c>
      <c r="C294" s="11"/>
      <c r="D294" s="2">
        <f>-2820.7</f>
        <v>-2820.7</v>
      </c>
      <c r="E294" s="2"/>
      <c r="F294" s="21">
        <f t="shared" si="141"/>
        <v>-6.686824018293366E-4</v>
      </c>
      <c r="G294" s="2"/>
      <c r="H294" s="2"/>
      <c r="I294" s="2"/>
      <c r="J294" s="21">
        <f t="shared" si="142"/>
        <v>0</v>
      </c>
      <c r="K294" s="2"/>
      <c r="L294" s="2">
        <f t="shared" si="143"/>
        <v>-2820.7</v>
      </c>
      <c r="M294" s="2"/>
      <c r="N294" s="21">
        <f t="shared" si="144"/>
        <v>0</v>
      </c>
      <c r="O294" s="11"/>
      <c r="P294" s="2">
        <f>-3451.5</f>
        <v>-3451.5</v>
      </c>
      <c r="Q294" s="2"/>
      <c r="R294" s="21">
        <f t="shared" si="145"/>
        <v>-6.0286030569728258E-4</v>
      </c>
      <c r="S294" s="2"/>
      <c r="T294" s="2"/>
      <c r="U294" s="2"/>
      <c r="V294" s="21">
        <f t="shared" si="146"/>
        <v>0</v>
      </c>
      <c r="W294" s="2"/>
      <c r="X294" s="2">
        <f t="shared" si="147"/>
        <v>-3451.5</v>
      </c>
      <c r="Y294" s="2"/>
      <c r="Z294" s="21">
        <f t="shared" si="148"/>
        <v>0</v>
      </c>
    </row>
    <row r="295" spans="1:26" s="24" customFormat="1" hidden="1" outlineLevel="1" x14ac:dyDescent="0.25">
      <c r="A295" s="46"/>
      <c r="B295" s="11" t="str">
        <f>CONCATENATE("          ", "9150", " - ", "MISC. INCOME")</f>
        <v xml:space="preserve">          9150 - MISC. INCOME</v>
      </c>
      <c r="C295" s="11"/>
      <c r="D295" s="2">
        <f>--35694.77</f>
        <v>35694.769999999997</v>
      </c>
      <c r="E295" s="2"/>
      <c r="F295" s="21">
        <f t="shared" si="141"/>
        <v>8.4618940462813305E-3</v>
      </c>
      <c r="G295" s="2"/>
      <c r="H295" s="2">
        <v>60947.000000000007</v>
      </c>
      <c r="I295" s="2"/>
      <c r="J295" s="21">
        <f t="shared" si="142"/>
        <v>1.3728582743311308E-2</v>
      </c>
      <c r="K295" s="2"/>
      <c r="L295" s="2">
        <f t="shared" si="143"/>
        <v>-25252.23000000001</v>
      </c>
      <c r="M295" s="2"/>
      <c r="N295" s="21">
        <f t="shared" si="144"/>
        <v>-0.41433097609398339</v>
      </c>
      <c r="O295" s="11"/>
      <c r="P295" s="2">
        <f>--148304.73</f>
        <v>148304.73000000001</v>
      </c>
      <c r="Q295" s="2"/>
      <c r="R295" s="21">
        <f t="shared" si="145"/>
        <v>2.5903820038868017E-2</v>
      </c>
      <c r="S295" s="2"/>
      <c r="T295" s="2">
        <v>110444</v>
      </c>
      <c r="U295" s="2"/>
      <c r="V295" s="21">
        <f t="shared" si="146"/>
        <v>1.8164358887286326E-2</v>
      </c>
      <c r="W295" s="2"/>
      <c r="X295" s="2">
        <f t="shared" si="147"/>
        <v>37860.73000000001</v>
      </c>
      <c r="Y295" s="2"/>
      <c r="Z295" s="21">
        <f t="shared" si="148"/>
        <v>0.34280476983810809</v>
      </c>
    </row>
    <row r="296" spans="1:26" s="24" customFormat="1" hidden="1" outlineLevel="1" x14ac:dyDescent="0.25">
      <c r="A296" s="46"/>
      <c r="B296" s="11" t="str">
        <f>CONCATENATE("          ", "9151", " - ", "MISC. INCOME")</f>
        <v xml:space="preserve">          9151 - MISC. INCOME</v>
      </c>
      <c r="C296" s="11"/>
      <c r="D296" s="2">
        <f>-170.02</f>
        <v>-170.02</v>
      </c>
      <c r="E296" s="2"/>
      <c r="F296" s="21">
        <f t="shared" si="141"/>
        <v>-4.0305378792152241E-5</v>
      </c>
      <c r="G296" s="2"/>
      <c r="H296" s="2">
        <v>7363</v>
      </c>
      <c r="I296" s="2"/>
      <c r="J296" s="21">
        <f t="shared" si="142"/>
        <v>1.6585484886705031E-3</v>
      </c>
      <c r="K296" s="2"/>
      <c r="L296" s="2">
        <f t="shared" si="143"/>
        <v>-7533.02</v>
      </c>
      <c r="M296" s="2"/>
      <c r="N296" s="21">
        <f t="shared" si="144"/>
        <v>-1.0230911313323374</v>
      </c>
      <c r="O296" s="11"/>
      <c r="P296" s="2">
        <f>-264.51</f>
        <v>-264.51</v>
      </c>
      <c r="Q296" s="2"/>
      <c r="R296" s="21">
        <f t="shared" si="145"/>
        <v>-4.6200950155001653E-5</v>
      </c>
      <c r="S296" s="2"/>
      <c r="T296" s="2">
        <v>32294</v>
      </c>
      <c r="U296" s="2"/>
      <c r="V296" s="21">
        <f t="shared" si="146"/>
        <v>5.3112872216329052E-3</v>
      </c>
      <c r="W296" s="2"/>
      <c r="X296" s="2">
        <f t="shared" si="147"/>
        <v>-32558.51</v>
      </c>
      <c r="Y296" s="2"/>
      <c r="Z296" s="21">
        <f t="shared" si="148"/>
        <v>-1.0081906855762679</v>
      </c>
    </row>
    <row r="297" spans="1:26" s="24" customFormat="1" hidden="1" outlineLevel="1" x14ac:dyDescent="0.25">
      <c r="A297" s="46"/>
      <c r="B297" s="11" t="str">
        <f>CONCATENATE("          ", "9152", " - ", "MISC. INCOME")</f>
        <v xml:space="preserve">          9152 - MISC. INCOME</v>
      </c>
      <c r="C297" s="11"/>
      <c r="D297" s="2">
        <f>--7.43</f>
        <v>7.43</v>
      </c>
      <c r="E297" s="2"/>
      <c r="F297" s="21">
        <f t="shared" si="141"/>
        <v>1.7613749231013475E-6</v>
      </c>
      <c r="G297" s="2"/>
      <c r="H297" s="2"/>
      <c r="I297" s="2"/>
      <c r="J297" s="21">
        <f t="shared" si="142"/>
        <v>0</v>
      </c>
      <c r="K297" s="2"/>
      <c r="L297" s="2">
        <f t="shared" si="143"/>
        <v>7.43</v>
      </c>
      <c r="M297" s="2"/>
      <c r="N297" s="21">
        <f t="shared" si="144"/>
        <v>0</v>
      </c>
      <c r="O297" s="11"/>
      <c r="P297" s="2">
        <f>--7.43</f>
        <v>7.43</v>
      </c>
      <c r="Q297" s="2"/>
      <c r="R297" s="21">
        <f t="shared" si="145"/>
        <v>1.2977696860294971E-6</v>
      </c>
      <c r="S297" s="2"/>
      <c r="T297" s="2"/>
      <c r="U297" s="2"/>
      <c r="V297" s="21">
        <f t="shared" si="146"/>
        <v>0</v>
      </c>
      <c r="W297" s="2"/>
      <c r="X297" s="2">
        <f t="shared" si="147"/>
        <v>7.43</v>
      </c>
      <c r="Y297" s="2"/>
      <c r="Z297" s="21">
        <f t="shared" si="148"/>
        <v>0</v>
      </c>
    </row>
    <row r="298" spans="1:26" s="24" customFormat="1" hidden="1" outlineLevel="1" x14ac:dyDescent="0.25">
      <c r="A298" s="46"/>
      <c r="B298" s="11" t="str">
        <f>CONCATENATE("          ", "9160", " - ", "MISC. INCOME")</f>
        <v xml:space="preserve">          9160 - MISC. INCOME</v>
      </c>
      <c r="C298" s="11"/>
      <c r="D298" s="2">
        <f>--26151.17</f>
        <v>26151.17</v>
      </c>
      <c r="E298" s="2"/>
      <c r="F298" s="21">
        <f t="shared" si="141"/>
        <v>6.1994636672624854E-3</v>
      </c>
      <c r="G298" s="2"/>
      <c r="H298" s="2">
        <v>22800</v>
      </c>
      <c r="I298" s="2"/>
      <c r="J298" s="21">
        <f t="shared" si="142"/>
        <v>5.135801377385233E-3</v>
      </c>
      <c r="K298" s="2"/>
      <c r="L298" s="2">
        <f t="shared" si="143"/>
        <v>3351.1699999999983</v>
      </c>
      <c r="M298" s="2"/>
      <c r="N298" s="21">
        <f t="shared" si="144"/>
        <v>0.14698114035087712</v>
      </c>
      <c r="O298" s="11"/>
      <c r="P298" s="2">
        <f>--32143.27</f>
        <v>32143.27</v>
      </c>
      <c r="Q298" s="2"/>
      <c r="R298" s="21">
        <f t="shared" si="145"/>
        <v>5.614342047895203E-3</v>
      </c>
      <c r="S298" s="2"/>
      <c r="T298" s="2">
        <v>40400</v>
      </c>
      <c r="U298" s="2"/>
      <c r="V298" s="21">
        <f t="shared" si="146"/>
        <v>6.6444541944004889E-3</v>
      </c>
      <c r="W298" s="2"/>
      <c r="X298" s="2">
        <f t="shared" si="147"/>
        <v>-8256.73</v>
      </c>
      <c r="Y298" s="2"/>
      <c r="Z298" s="21">
        <f t="shared" si="148"/>
        <v>-0.20437450495049503</v>
      </c>
    </row>
    <row r="299" spans="1:26" s="24" customFormat="1" hidden="1" outlineLevel="1" x14ac:dyDescent="0.25">
      <c r="A299" s="46"/>
      <c r="B299" s="11" t="str">
        <f>CONCATENATE("          ", "9165", " - ", "OTHER INCOME")</f>
        <v xml:space="preserve">          9165 - OTHER INCOME</v>
      </c>
      <c r="C299" s="11"/>
      <c r="D299" s="2">
        <f>--2952.39</f>
        <v>2952.39</v>
      </c>
      <c r="E299" s="2"/>
      <c r="F299" s="21">
        <f t="shared" si="141"/>
        <v>6.9990117216893509E-4</v>
      </c>
      <c r="G299" s="2"/>
      <c r="H299" s="2"/>
      <c r="I299" s="2"/>
      <c r="J299" s="21">
        <f t="shared" si="142"/>
        <v>0</v>
      </c>
      <c r="K299" s="2"/>
      <c r="L299" s="2">
        <f t="shared" si="143"/>
        <v>2952.39</v>
      </c>
      <c r="M299" s="2"/>
      <c r="N299" s="21">
        <f t="shared" si="144"/>
        <v>0</v>
      </c>
      <c r="O299" s="11"/>
      <c r="P299" s="2">
        <f>--6633.44</f>
        <v>6633.44</v>
      </c>
      <c r="Q299" s="2"/>
      <c r="R299" s="21">
        <f t="shared" si="145"/>
        <v>1.1586375970518853E-3</v>
      </c>
      <c r="S299" s="2"/>
      <c r="T299" s="2"/>
      <c r="U299" s="2"/>
      <c r="V299" s="21">
        <f t="shared" si="146"/>
        <v>0</v>
      </c>
      <c r="W299" s="2"/>
      <c r="X299" s="2">
        <f t="shared" si="147"/>
        <v>6633.44</v>
      </c>
      <c r="Y299" s="2"/>
      <c r="Z299" s="21">
        <f t="shared" si="148"/>
        <v>0</v>
      </c>
    </row>
    <row r="300" spans="1:26" x14ac:dyDescent="0.25">
      <c r="A300" s="9"/>
      <c r="B300" s="10"/>
      <c r="C300" s="10"/>
      <c r="D300" s="3"/>
      <c r="E300" s="3"/>
      <c r="F300" s="8"/>
      <c r="G300" s="3"/>
      <c r="H300" s="3"/>
      <c r="I300" s="3"/>
      <c r="J300" s="8"/>
      <c r="K300" s="3"/>
      <c r="L300" s="3"/>
      <c r="M300" s="3"/>
      <c r="N300" s="8"/>
      <c r="O300" s="10"/>
      <c r="P300" s="3"/>
      <c r="Q300" s="3"/>
      <c r="R300" s="8"/>
      <c r="S300" s="3"/>
      <c r="T300" s="3"/>
      <c r="U300" s="3"/>
      <c r="V300" s="8"/>
      <c r="W300" s="3"/>
      <c r="X300" s="3"/>
      <c r="Y300" s="3"/>
      <c r="Z300" s="8"/>
    </row>
    <row r="301" spans="1:26" s="23" customFormat="1" x14ac:dyDescent="0.25">
      <c r="A301" s="10"/>
      <c r="B301" s="29" t="s">
        <v>3</v>
      </c>
      <c r="C301" s="29"/>
      <c r="D301" s="22">
        <f>+D180-D182+D289</f>
        <v>389926.99999999575</v>
      </c>
      <c r="E301" s="14"/>
      <c r="F301" s="20">
        <f>IF(D$12=0,0,D301/D$12)</f>
        <v>9.2437098201901977E-2</v>
      </c>
      <c r="G301" s="14"/>
      <c r="H301" s="22">
        <f>+H180-H182+H289</f>
        <v>493270.05112826522</v>
      </c>
      <c r="I301" s="14"/>
      <c r="J301" s="20">
        <f>IF(H$12=0,0,H301/H$12)</f>
        <v>0.11111127228102757</v>
      </c>
      <c r="K301" s="15"/>
      <c r="L301" s="22">
        <f>+D301-H301</f>
        <v>-103343.05112826946</v>
      </c>
      <c r="M301" s="15"/>
      <c r="N301" s="20">
        <f>IF(H301=0,0,L301/H301)</f>
        <v>-0.20950603202422505</v>
      </c>
      <c r="O301" s="28"/>
      <c r="P301" s="22">
        <f>+P180-P182+P289</f>
        <v>-82689.020000001619</v>
      </c>
      <c r="Q301" s="14"/>
      <c r="R301" s="20">
        <f>IF(P$12=0,0,P301/P$12)</f>
        <v>-1.4442974902219236E-2</v>
      </c>
      <c r="S301" s="14"/>
      <c r="T301" s="22">
        <f>+T180-T182+T289</f>
        <v>74231.061416685116</v>
      </c>
      <c r="U301" s="14"/>
      <c r="V301" s="20">
        <f>IF(T$12=0,0,T301/T$12)</f>
        <v>1.2208536816457765E-2</v>
      </c>
      <c r="W301" s="15"/>
      <c r="X301" s="22">
        <f>+P301-T301</f>
        <v>-156920.08141668673</v>
      </c>
      <c r="Y301" s="15"/>
      <c r="Z301" s="20">
        <f>IF(T301=0,0,X301/T301)</f>
        <v>-2.1139409624744419</v>
      </c>
    </row>
    <row r="302" spans="1:26" x14ac:dyDescent="0.25">
      <c r="A302" s="9"/>
      <c r="B302" s="10"/>
      <c r="C302" s="9"/>
      <c r="D302" s="3"/>
      <c r="E302" s="3"/>
      <c r="F302" s="8"/>
      <c r="G302" s="3"/>
      <c r="H302" s="3"/>
      <c r="I302" s="3"/>
      <c r="J302" s="8"/>
      <c r="K302" s="3"/>
      <c r="L302" s="3"/>
      <c r="M302" s="3"/>
      <c r="N302" s="8"/>
      <c r="P302" s="3"/>
      <c r="Q302" s="3"/>
      <c r="R302" s="8"/>
      <c r="S302" s="3"/>
      <c r="T302" s="3"/>
      <c r="U302" s="3"/>
      <c r="V302" s="8"/>
      <c r="W302" s="3"/>
      <c r="X302" s="3"/>
      <c r="Y302" s="3"/>
      <c r="Z302" s="8"/>
    </row>
    <row r="303" spans="1:26" s="23" customFormat="1" x14ac:dyDescent="0.25">
      <c r="A303" s="52"/>
      <c r="B303" s="10" t="s">
        <v>14</v>
      </c>
      <c r="C303" s="10"/>
      <c r="D303" s="4">
        <v>400497.59</v>
      </c>
      <c r="E303" s="4"/>
      <c r="F303" s="12">
        <f>IF(D$12=0,0,D303/D$12)</f>
        <v>9.4942989473556547E-2</v>
      </c>
      <c r="G303" s="4"/>
      <c r="H303" s="4">
        <v>587569</v>
      </c>
      <c r="I303" s="4"/>
      <c r="J303" s="12">
        <f>IF(H$12=0,0,H303/H$12)</f>
        <v>0.13235252980302034</v>
      </c>
      <c r="K303" s="4"/>
      <c r="L303" s="4">
        <f>+D303-H303</f>
        <v>-187071.40999999997</v>
      </c>
      <c r="M303" s="4"/>
      <c r="N303" s="12">
        <f>IF(H303=0,0,L303/H303)</f>
        <v>-0.31838202832348195</v>
      </c>
      <c r="O303" s="10"/>
      <c r="P303" s="4">
        <v>713828.86</v>
      </c>
      <c r="Q303" s="4"/>
      <c r="R303" s="12">
        <f>IF(P$12=0,0,P303/P$12)</f>
        <v>0.12468175713606916</v>
      </c>
      <c r="S303" s="4"/>
      <c r="T303" s="4">
        <v>987452</v>
      </c>
      <c r="U303" s="4"/>
      <c r="V303" s="12">
        <f>IF(T$12=0,0,T303/T$12)</f>
        <v>0.16240295997943444</v>
      </c>
      <c r="W303" s="4"/>
      <c r="X303" s="4">
        <f>+P303-T303</f>
        <v>-273623.14</v>
      </c>
      <c r="Y303" s="4"/>
      <c r="Z303" s="12">
        <f>IF(T303=0,0,X303/T303)</f>
        <v>-0.27710019322458207</v>
      </c>
    </row>
    <row r="304" spans="1:26" x14ac:dyDescent="0.25">
      <c r="A304" s="9"/>
      <c r="B304" s="10"/>
      <c r="C304" s="10"/>
      <c r="D304" s="3"/>
      <c r="E304" s="3"/>
      <c r="F304" s="8"/>
      <c r="G304" s="3"/>
      <c r="H304" s="3"/>
      <c r="I304" s="3"/>
      <c r="J304" s="8"/>
      <c r="K304" s="3"/>
      <c r="L304" s="3"/>
      <c r="M304" s="3"/>
      <c r="N304" s="8"/>
      <c r="O304" s="10"/>
      <c r="P304" s="3"/>
      <c r="Q304" s="3"/>
      <c r="R304" s="8"/>
      <c r="S304" s="3"/>
      <c r="T304" s="3"/>
      <c r="U304" s="3"/>
      <c r="V304" s="8"/>
      <c r="W304" s="3"/>
      <c r="X304" s="3"/>
      <c r="Y304" s="3"/>
      <c r="Z304" s="8"/>
    </row>
    <row r="305" spans="1:26" s="23" customFormat="1" ht="15.75" thickBot="1" x14ac:dyDescent="0.3">
      <c r="A305" s="10"/>
      <c r="B305" s="29" t="s">
        <v>4</v>
      </c>
      <c r="C305" s="29"/>
      <c r="D305" s="31">
        <f>+D301-D303</f>
        <v>-10570.590000004275</v>
      </c>
      <c r="E305" s="14"/>
      <c r="F305" s="32">
        <f>IF(D$12=0,0,D305/D$12)</f>
        <v>-2.5058912716545631E-3</v>
      </c>
      <c r="G305" s="14"/>
      <c r="H305" s="31">
        <f>+H301-H303</f>
        <v>-94298.948871734785</v>
      </c>
      <c r="I305" s="14"/>
      <c r="J305" s="32">
        <f>IF(H$12=0,0,H305/H$12)</f>
        <v>-2.1241257521992771E-2</v>
      </c>
      <c r="K305" s="15"/>
      <c r="L305" s="31">
        <f>D305-H305</f>
        <v>83728.35887173051</v>
      </c>
      <c r="M305" s="15"/>
      <c r="N305" s="32">
        <f>IF(H305=0,0,L305/H305)</f>
        <v>-0.88790341645926119</v>
      </c>
      <c r="O305" s="28"/>
      <c r="P305" s="31">
        <f>+P301-P303</f>
        <v>-796517.88000000163</v>
      </c>
      <c r="Q305" s="14"/>
      <c r="R305" s="32">
        <f>IF(P$12=0,0,P305/P$12)</f>
        <v>-0.1391247320382884</v>
      </c>
      <c r="S305" s="14"/>
      <c r="T305" s="31">
        <f>+T301-T303</f>
        <v>-913220.93858331488</v>
      </c>
      <c r="U305" s="14"/>
      <c r="V305" s="32">
        <f>IF(T$12=0,0,T305/T$12)</f>
        <v>-0.15019442316297668</v>
      </c>
      <c r="W305" s="15"/>
      <c r="X305" s="31">
        <f>P305-T305</f>
        <v>116703.05858331325</v>
      </c>
      <c r="Y305" s="15"/>
      <c r="Z305" s="32">
        <f>IF(T305=0,0,X305/T305)</f>
        <v>-0.12779279761626514</v>
      </c>
    </row>
    <row r="306" spans="1:26" ht="15.75" thickTop="1" x14ac:dyDescent="0.25">
      <c r="A306" s="9"/>
      <c r="B306" s="9"/>
      <c r="C306" s="9"/>
      <c r="D306" s="3"/>
      <c r="E306" s="3"/>
      <c r="F306" s="8"/>
      <c r="G306" s="3"/>
      <c r="H306" s="3"/>
      <c r="I306" s="3"/>
      <c r="J306" s="8"/>
      <c r="K306" s="3"/>
      <c r="L306" s="3"/>
      <c r="M306" s="3"/>
      <c r="N306" s="8"/>
      <c r="P306" s="3"/>
      <c r="Q306" s="3"/>
      <c r="R306" s="8"/>
      <c r="S306" s="3"/>
      <c r="T306" s="3"/>
      <c r="U306" s="3"/>
      <c r="V306" s="8"/>
      <c r="W306" s="3"/>
      <c r="X306" s="3"/>
      <c r="Y306" s="3"/>
      <c r="Z306" s="8"/>
    </row>
    <row r="307" spans="1:26" s="23" customFormat="1" x14ac:dyDescent="0.25">
      <c r="A307" s="52"/>
      <c r="B307" s="10" t="s">
        <v>2</v>
      </c>
      <c r="C307" s="10"/>
      <c r="D307" s="4">
        <f>-209613.95</f>
        <v>-209613.95</v>
      </c>
      <c r="E307" s="4"/>
      <c r="F307" s="12">
        <f t="shared" ref="F307:F308" si="149">IF(D$12=0,0,D307/D$12)</f>
        <v>-4.9691622484820959E-2</v>
      </c>
      <c r="G307" s="4"/>
      <c r="H307" s="4">
        <f t="shared" ref="H307:H308" si="150">--25000</f>
        <v>25000</v>
      </c>
      <c r="I307" s="4"/>
      <c r="J307" s="12">
        <f t="shared" ref="J307:J308" si="151">IF(H$12=0,0,H307/H$12)</f>
        <v>5.631361159413633E-3</v>
      </c>
      <c r="K307" s="4"/>
      <c r="L307" s="4">
        <f t="shared" ref="L307:L308" si="152">+D307-H307</f>
        <v>-234613.95</v>
      </c>
      <c r="M307" s="4"/>
      <c r="N307" s="12">
        <f t="shared" ref="N307:N308" si="153">IF(H307=0,0,L307/H307)</f>
        <v>-9.3845580000000002</v>
      </c>
      <c r="O307" s="10"/>
      <c r="P307" s="4">
        <f>-180605.81</f>
        <v>-180605.81</v>
      </c>
      <c r="Q307" s="4"/>
      <c r="R307" s="12">
        <f t="shared" ref="R307:R308" si="154">IF(P$12=0,0,P307/P$12)</f>
        <v>-3.1545726155962725E-2</v>
      </c>
      <c r="S307" s="4"/>
      <c r="T307" s="4">
        <f t="shared" ref="T307:T308" si="155">--50000</f>
        <v>50000</v>
      </c>
      <c r="U307" s="4"/>
      <c r="V307" s="12">
        <f t="shared" ref="V307:V308" si="156">IF(T$12=0,0,T307/T$12)</f>
        <v>8.2233343990105057E-3</v>
      </c>
      <c r="W307" s="4"/>
      <c r="X307" s="4">
        <f t="shared" ref="X307:X308" si="157">+P307-T307</f>
        <v>-230605.81</v>
      </c>
      <c r="Y307" s="4"/>
      <c r="Z307" s="12">
        <f t="shared" ref="Z307:Z308" si="158">IF(T307=0,0,X307/T307)</f>
        <v>-4.6121162</v>
      </c>
    </row>
    <row r="308" spans="1:26" s="23" customFormat="1" x14ac:dyDescent="0.25">
      <c r="A308" s="52"/>
      <c r="B308" s="10" t="s">
        <v>1</v>
      </c>
      <c r="C308" s="10"/>
      <c r="D308" s="4">
        <f>--15286.66</f>
        <v>15286.66</v>
      </c>
      <c r="E308" s="4"/>
      <c r="F308" s="12">
        <f t="shared" si="149"/>
        <v>3.6238949639268432E-3</v>
      </c>
      <c r="G308" s="4"/>
      <c r="H308" s="4">
        <f t="shared" si="150"/>
        <v>25000</v>
      </c>
      <c r="I308" s="4"/>
      <c r="J308" s="12">
        <f t="shared" si="151"/>
        <v>5.631361159413633E-3</v>
      </c>
      <c r="K308" s="4"/>
      <c r="L308" s="4">
        <f t="shared" si="152"/>
        <v>-9713.34</v>
      </c>
      <c r="M308" s="4"/>
      <c r="N308" s="12">
        <f t="shared" si="153"/>
        <v>-0.38853359999999998</v>
      </c>
      <c r="O308" s="10"/>
      <c r="P308" s="4">
        <f>--31820.95</f>
        <v>31820.95</v>
      </c>
      <c r="Q308" s="4"/>
      <c r="R308" s="12">
        <f t="shared" si="154"/>
        <v>5.5580436461184829E-3</v>
      </c>
      <c r="S308" s="4"/>
      <c r="T308" s="4">
        <f t="shared" si="155"/>
        <v>50000</v>
      </c>
      <c r="U308" s="4"/>
      <c r="V308" s="12">
        <f t="shared" si="156"/>
        <v>8.2233343990105057E-3</v>
      </c>
      <c r="W308" s="4"/>
      <c r="X308" s="4">
        <f t="shared" si="157"/>
        <v>-18179.05</v>
      </c>
      <c r="Y308" s="4"/>
      <c r="Z308" s="12">
        <f t="shared" si="158"/>
        <v>-0.36358099999999999</v>
      </c>
    </row>
    <row r="309" spans="1:26" x14ac:dyDescent="0.25">
      <c r="A309" s="9"/>
      <c r="B309" s="9"/>
      <c r="C309" s="9"/>
      <c r="D309" s="3"/>
      <c r="E309" s="3"/>
      <c r="F309" s="8"/>
      <c r="G309" s="3"/>
      <c r="H309" s="3"/>
      <c r="I309" s="3"/>
      <c r="J309" s="8"/>
      <c r="K309" s="3"/>
      <c r="L309" s="3"/>
      <c r="M309" s="3"/>
      <c r="N309" s="8"/>
      <c r="P309" s="3"/>
      <c r="Q309" s="3"/>
      <c r="R309" s="8"/>
      <c r="S309" s="3"/>
      <c r="T309" s="3"/>
      <c r="U309" s="3"/>
      <c r="V309" s="8"/>
      <c r="W309" s="3"/>
      <c r="X309" s="3"/>
      <c r="Y309" s="3"/>
      <c r="Z309" s="8"/>
    </row>
    <row r="310" spans="1:26" s="23" customFormat="1" ht="15.75" thickBot="1" x14ac:dyDescent="0.3">
      <c r="A310" s="10"/>
      <c r="B310" s="29" t="s">
        <v>5</v>
      </c>
      <c r="C310" s="29"/>
      <c r="D310" s="33">
        <f>SUM(D305:D309)</f>
        <v>-204897.88000000428</v>
      </c>
      <c r="E310" s="14"/>
      <c r="F310" s="35">
        <f>IF(D$12=0,0,D310/D$12)</f>
        <v>-4.8573618792548678E-2</v>
      </c>
      <c r="G310" s="14"/>
      <c r="H310" s="33">
        <f>SUM(H305:H309)</f>
        <v>-44298.948871734785</v>
      </c>
      <c r="I310" s="14"/>
      <c r="J310" s="35">
        <f>IF(H$12=0,0,H310/H$12)</f>
        <v>-9.9785352031655054E-3</v>
      </c>
      <c r="K310" s="15"/>
      <c r="L310" s="33">
        <f>+D310-H310</f>
        <v>-160598.9311282695</v>
      </c>
      <c r="M310" s="15"/>
      <c r="N310" s="35">
        <f>IF(H310=0,0,L310/H310)</f>
        <v>3.6253440593652693</v>
      </c>
      <c r="O310" s="28"/>
      <c r="P310" s="33">
        <f>SUM(P305:P309)</f>
        <v>-945302.74000000162</v>
      </c>
      <c r="Q310" s="14"/>
      <c r="R310" s="35">
        <f>IF(P$12=0,0,P310/P$12)</f>
        <v>-0.16511241454813264</v>
      </c>
      <c r="S310" s="14"/>
      <c r="T310" s="33">
        <f>SUM(T305:T309)</f>
        <v>-813220.93858331488</v>
      </c>
      <c r="U310" s="14"/>
      <c r="V310" s="35">
        <f>IF(T$12=0,0,T310/T$12)</f>
        <v>-0.13374775436495567</v>
      </c>
      <c r="W310" s="15"/>
      <c r="X310" s="33">
        <f>+P310-T310</f>
        <v>-132081.80141668674</v>
      </c>
      <c r="Y310" s="15"/>
      <c r="Z310" s="35">
        <f>IF(T310=0,0,X310/T310)</f>
        <v>0.16241810208033017</v>
      </c>
    </row>
    <row r="311" spans="1:26" ht="15.75" thickTop="1" x14ac:dyDescent="0.25">
      <c r="A311" s="9"/>
      <c r="C311" s="9"/>
      <c r="D311" s="17"/>
      <c r="E311" s="17"/>
      <c r="G311" s="17"/>
      <c r="H311" s="17"/>
      <c r="I311" s="17"/>
      <c r="J311" s="42"/>
      <c r="K311" s="17"/>
      <c r="L311" s="17"/>
      <c r="M311" s="17"/>
      <c r="P311" s="17"/>
      <c r="Q311" s="17"/>
      <c r="R311" s="42"/>
      <c r="S311" s="17"/>
      <c r="T311" s="17"/>
      <c r="U311" s="17"/>
      <c r="V311" s="42"/>
      <c r="W311" s="17"/>
      <c r="X311" s="17"/>
    </row>
    <row r="312" spans="1:26" x14ac:dyDescent="0.25">
      <c r="A312" s="9"/>
      <c r="B312" s="61">
        <v>43732.705331134261</v>
      </c>
      <c r="D312" s="17"/>
      <c r="E312" s="17"/>
      <c r="G312" s="17"/>
      <c r="H312" s="17"/>
      <c r="I312" s="17"/>
      <c r="J312" s="42"/>
      <c r="K312" s="17"/>
      <c r="L312" s="17"/>
      <c r="M312" s="17"/>
      <c r="P312" s="17"/>
      <c r="Q312" s="17"/>
      <c r="R312" s="42"/>
      <c r="S312" s="17"/>
      <c r="T312" s="17"/>
      <c r="U312" s="17"/>
      <c r="V312" s="42"/>
      <c r="W312" s="17"/>
      <c r="X312" s="17"/>
    </row>
    <row r="313" spans="1:26" x14ac:dyDescent="0.25">
      <c r="A313" s="9"/>
      <c r="B313" s="62" t="s">
        <v>314</v>
      </c>
      <c r="D313" s="17"/>
      <c r="E313" s="17"/>
      <c r="G313" s="17"/>
      <c r="H313" s="17"/>
      <c r="I313" s="17"/>
      <c r="J313" s="42"/>
      <c r="K313" s="17"/>
      <c r="L313" s="17"/>
      <c r="M313" s="17"/>
      <c r="P313" s="17"/>
      <c r="Q313" s="17"/>
      <c r="R313" s="42"/>
      <c r="S313" s="17"/>
      <c r="T313" s="17"/>
      <c r="U313" s="17"/>
      <c r="V313" s="42"/>
      <c r="W313" s="17"/>
      <c r="X313" s="17"/>
    </row>
    <row r="314" spans="1:26" x14ac:dyDescent="0.25">
      <c r="A314" s="9"/>
      <c r="B314" s="58"/>
      <c r="D314" s="17"/>
      <c r="E314" s="17"/>
      <c r="G314" s="17"/>
      <c r="H314" s="17"/>
      <c r="I314" s="17"/>
      <c r="J314" s="42"/>
      <c r="K314" s="17"/>
      <c r="L314" s="17"/>
      <c r="M314" s="17"/>
      <c r="P314" s="17"/>
      <c r="Q314" s="17"/>
      <c r="R314" s="42"/>
      <c r="S314" s="17"/>
      <c r="T314" s="17"/>
      <c r="U314" s="17"/>
      <c r="V314" s="42"/>
      <c r="W314" s="17"/>
      <c r="X314" s="17"/>
    </row>
    <row r="315" spans="1:26" x14ac:dyDescent="0.25">
      <c r="D315" s="17"/>
      <c r="E315" s="17"/>
      <c r="G315" s="17"/>
      <c r="H315" s="17"/>
      <c r="I315" s="17"/>
      <c r="J315" s="42"/>
      <c r="K315" s="17"/>
      <c r="L315" s="17"/>
      <c r="M315" s="17"/>
      <c r="P315" s="17"/>
      <c r="Q315" s="17"/>
      <c r="R315" s="42"/>
      <c r="S315" s="17"/>
      <c r="T315" s="17"/>
      <c r="U315" s="17"/>
      <c r="V315" s="42"/>
      <c r="W315" s="17"/>
      <c r="X315" s="17"/>
    </row>
  </sheetData>
  <printOptions gridLines="1"/>
  <pageMargins left="0.25" right="0.25" top="0.75" bottom="0.75" header="0.3" footer="0.3"/>
  <pageSetup scale="55" fitToWidth="2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301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301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302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302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298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298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311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311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299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SUM(0)</f>
        <v>0</v>
      </c>
      <c r="E18" s="19"/>
      <c r="F18" s="34">
        <f>IF(D$12=0,0,D18/D$12)</f>
        <v>0</v>
      </c>
      <c r="G18" s="19"/>
      <c r="H18" s="19">
        <f>SUM(0)</f>
        <v>0</v>
      </c>
      <c r="I18" s="19"/>
      <c r="J18" s="34">
        <f>IF(H$12=0,0,H18/H$12)</f>
        <v>0</v>
      </c>
      <c r="K18" s="4"/>
      <c r="L18" s="19">
        <f>+D18-H18</f>
        <v>0</v>
      </c>
      <c r="M18" s="4"/>
      <c r="N18" s="34">
        <f>IF(H18=0,0,L18/H18)</f>
        <v>0</v>
      </c>
      <c r="O18" s="10"/>
      <c r="P18" s="19">
        <f>SUM(0)</f>
        <v>0</v>
      </c>
      <c r="Q18" s="19"/>
      <c r="R18" s="34">
        <f>IF(P$12=0,0,P18/P$12)</f>
        <v>0</v>
      </c>
      <c r="S18" s="19"/>
      <c r="T18" s="19">
        <f>SUM(0)</f>
        <v>0</v>
      </c>
      <c r="U18" s="19"/>
      <c r="V18" s="34">
        <f>IF(T$12=0,0,T18/T$12)</f>
        <v>0</v>
      </c>
      <c r="W18" s="4"/>
      <c r="X18" s="19">
        <f>+P18-T18</f>
        <v>0</v>
      </c>
      <c r="Y18" s="4"/>
      <c r="Z18" s="34">
        <f>IF(T18=0,0,X18/T18)</f>
        <v>0</v>
      </c>
    </row>
    <row r="19" spans="1:26" s="6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5"/>
      <c r="L26" s="31">
        <f>D26-H26</f>
        <v>0</v>
      </c>
      <c r="M26" s="15"/>
      <c r="N26" s="32">
        <f>IF(H26=0,0,L26/H26)</f>
        <v>0</v>
      </c>
      <c r="O26" s="28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5"/>
      <c r="X26" s="31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-209613.95</f>
        <v>-209613.95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-234613.95</v>
      </c>
      <c r="M28" s="4"/>
      <c r="N28" s="12">
        <f t="shared" ref="N28:N29" si="4">IF(H28=0,0,L28/H28)</f>
        <v>-9.3845580000000002</v>
      </c>
      <c r="O28" s="10"/>
      <c r="P28" s="4">
        <f>-180605.81</f>
        <v>-180605.81</v>
      </c>
      <c r="Q28" s="4"/>
      <c r="R28" s="12">
        <f t="shared" ref="R28:R29" si="5">IF(P$12=0,0,P28/P$12)</f>
        <v>0</v>
      </c>
      <c r="S28" s="4"/>
      <c r="T28" s="4">
        <f t="shared" ref="T28:T29" si="6">--50000</f>
        <v>50000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-230605.81</v>
      </c>
      <c r="Y28" s="4"/>
      <c r="Z28" s="12">
        <f t="shared" ref="Z28:Z29" si="9">IF(T28=0,0,X28/T28)</f>
        <v>-4.6121162</v>
      </c>
    </row>
    <row r="29" spans="1:26" s="23" customFormat="1" x14ac:dyDescent="0.25">
      <c r="A29" s="52"/>
      <c r="B29" s="10" t="s">
        <v>1</v>
      </c>
      <c r="C29" s="10"/>
      <c r="D29" s="4">
        <f>--15286.66</f>
        <v>15286.66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-9713.34</v>
      </c>
      <c r="M29" s="4"/>
      <c r="N29" s="12">
        <f t="shared" si="4"/>
        <v>-0.38853359999999998</v>
      </c>
      <c r="O29" s="10"/>
      <c r="P29" s="4">
        <f>--31820.95</f>
        <v>31820.95</v>
      </c>
      <c r="Q29" s="4"/>
      <c r="R29" s="12">
        <f t="shared" si="5"/>
        <v>0</v>
      </c>
      <c r="S29" s="4"/>
      <c r="T29" s="4">
        <f t="shared" si="6"/>
        <v>50000</v>
      </c>
      <c r="U29" s="4"/>
      <c r="V29" s="12">
        <f t="shared" si="7"/>
        <v>0</v>
      </c>
      <c r="W29" s="4"/>
      <c r="X29" s="4">
        <f t="shared" si="8"/>
        <v>-18179.05</v>
      </c>
      <c r="Y29" s="4"/>
      <c r="Z29" s="12">
        <f t="shared" si="9"/>
        <v>-0.36358099999999999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3">
        <f>SUM(D26:D30)</f>
        <v>-194327.29</v>
      </c>
      <c r="E31" s="14"/>
      <c r="F31" s="35">
        <f>IF(D$12=0,0,D31/D$12)</f>
        <v>0</v>
      </c>
      <c r="G31" s="14"/>
      <c r="H31" s="33">
        <f>SUM(H26:H30)</f>
        <v>50000</v>
      </c>
      <c r="I31" s="14"/>
      <c r="J31" s="35">
        <f>IF(H$12=0,0,H31/H$12)</f>
        <v>0</v>
      </c>
      <c r="K31" s="15"/>
      <c r="L31" s="33">
        <f>+D31-H31</f>
        <v>-244327.29</v>
      </c>
      <c r="M31" s="15"/>
      <c r="N31" s="35">
        <f>IF(H31=0,0,L31/H31)</f>
        <v>-4.8865458000000004</v>
      </c>
      <c r="O31" s="28"/>
      <c r="P31" s="33">
        <f>SUM(P26:P30)</f>
        <v>-148784.85999999999</v>
      </c>
      <c r="Q31" s="14"/>
      <c r="R31" s="35">
        <f>IF(P$12=0,0,P31/P$12)</f>
        <v>0</v>
      </c>
      <c r="S31" s="14"/>
      <c r="T31" s="33">
        <f>SUM(T26:T30)</f>
        <v>100000</v>
      </c>
      <c r="U31" s="14"/>
      <c r="V31" s="35">
        <f>IF(T$12=0,0,T31/T$12)</f>
        <v>0</v>
      </c>
      <c r="W31" s="15"/>
      <c r="X31" s="33">
        <f>+P31-T31</f>
        <v>-248784.86</v>
      </c>
      <c r="Y31" s="15"/>
      <c r="Z31" s="35">
        <f>IF(T31=0,0,X31/T31)</f>
        <v>-2.4878486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1">
        <v>43732.705366631948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62" t="s">
        <v>314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8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","100", " - ", "Corporate")</f>
        <v>Department 100 - Corporate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SUM(0)</f>
        <v>0</v>
      </c>
      <c r="E18" s="19"/>
      <c r="F18" s="34">
        <f>IF(D$12=0,0,D18/D$12)</f>
        <v>0</v>
      </c>
      <c r="G18" s="19"/>
      <c r="H18" s="19">
        <f>SUM(0)</f>
        <v>0</v>
      </c>
      <c r="I18" s="19"/>
      <c r="J18" s="34">
        <f>IF(H$12=0,0,H18/H$12)</f>
        <v>0</v>
      </c>
      <c r="K18" s="4"/>
      <c r="L18" s="19">
        <f>+D18-H18</f>
        <v>0</v>
      </c>
      <c r="M18" s="4"/>
      <c r="N18" s="34">
        <f>IF(H18=0,0,L18/H18)</f>
        <v>0</v>
      </c>
      <c r="O18" s="10"/>
      <c r="P18" s="19">
        <f>SUM(0)</f>
        <v>0</v>
      </c>
      <c r="Q18" s="19"/>
      <c r="R18" s="34">
        <f>IF(P$12=0,0,P18/P$12)</f>
        <v>0</v>
      </c>
      <c r="S18" s="19"/>
      <c r="T18" s="19">
        <f>SUM(0)</f>
        <v>0</v>
      </c>
      <c r="U18" s="19"/>
      <c r="V18" s="34">
        <f>IF(T$12=0,0,T18/T$12)</f>
        <v>0</v>
      </c>
      <c r="W18" s="4"/>
      <c r="X18" s="19">
        <f>+P18-T18</f>
        <v>0</v>
      </c>
      <c r="Y18" s="4"/>
      <c r="Z18" s="34">
        <f>IF(T18=0,0,X18/T18)</f>
        <v>0</v>
      </c>
    </row>
    <row r="19" spans="1:26" s="6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5"/>
      <c r="L26" s="31">
        <f>D26-H26</f>
        <v>0</v>
      </c>
      <c r="M26" s="15"/>
      <c r="N26" s="32">
        <f>IF(H26=0,0,L26/H26)</f>
        <v>0</v>
      </c>
      <c r="O26" s="28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5"/>
      <c r="X26" s="31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-209613.95</f>
        <v>-209613.95</v>
      </c>
      <c r="E28" s="4"/>
      <c r="F28" s="12">
        <f t="shared" ref="F28:F29" si="0">IF(D$12=0,0,D28/D$12)</f>
        <v>0</v>
      </c>
      <c r="G28" s="4"/>
      <c r="H28" s="4">
        <f t="shared" ref="H28:H29" si="1">--25000</f>
        <v>25000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-234613.95</v>
      </c>
      <c r="M28" s="4"/>
      <c r="N28" s="12">
        <f t="shared" ref="N28:N29" si="4">IF(H28=0,0,L28/H28)</f>
        <v>-9.3845580000000002</v>
      </c>
      <c r="O28" s="10"/>
      <c r="P28" s="4">
        <f>-180605.81</f>
        <v>-180605.81</v>
      </c>
      <c r="Q28" s="4"/>
      <c r="R28" s="12">
        <f t="shared" ref="R28:R29" si="5">IF(P$12=0,0,P28/P$12)</f>
        <v>0</v>
      </c>
      <c r="S28" s="4"/>
      <c r="T28" s="4">
        <f t="shared" ref="T28:T29" si="6">--50000</f>
        <v>50000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-230605.81</v>
      </c>
      <c r="Y28" s="4"/>
      <c r="Z28" s="12">
        <f t="shared" ref="Z28:Z29" si="9">IF(T28=0,0,X28/T28)</f>
        <v>-4.6121162</v>
      </c>
    </row>
    <row r="29" spans="1:26" s="23" customFormat="1" x14ac:dyDescent="0.25">
      <c r="A29" s="52"/>
      <c r="B29" s="10" t="s">
        <v>1</v>
      </c>
      <c r="C29" s="10"/>
      <c r="D29" s="4">
        <f>--15286.66</f>
        <v>15286.66</v>
      </c>
      <c r="E29" s="4"/>
      <c r="F29" s="12">
        <f t="shared" si="0"/>
        <v>0</v>
      </c>
      <c r="G29" s="4"/>
      <c r="H29" s="4">
        <f t="shared" si="1"/>
        <v>25000</v>
      </c>
      <c r="I29" s="4"/>
      <c r="J29" s="12">
        <f t="shared" si="2"/>
        <v>0</v>
      </c>
      <c r="K29" s="4"/>
      <c r="L29" s="4">
        <f t="shared" si="3"/>
        <v>-9713.34</v>
      </c>
      <c r="M29" s="4"/>
      <c r="N29" s="12">
        <f t="shared" si="4"/>
        <v>-0.38853359999999998</v>
      </c>
      <c r="O29" s="10"/>
      <c r="P29" s="4">
        <f>--31820.95</f>
        <v>31820.95</v>
      </c>
      <c r="Q29" s="4"/>
      <c r="R29" s="12">
        <f t="shared" si="5"/>
        <v>0</v>
      </c>
      <c r="S29" s="4"/>
      <c r="T29" s="4">
        <f t="shared" si="6"/>
        <v>50000</v>
      </c>
      <c r="U29" s="4"/>
      <c r="V29" s="12">
        <f t="shared" si="7"/>
        <v>0</v>
      </c>
      <c r="W29" s="4"/>
      <c r="X29" s="4">
        <f t="shared" si="8"/>
        <v>-18179.05</v>
      </c>
      <c r="Y29" s="4"/>
      <c r="Z29" s="12">
        <f t="shared" si="9"/>
        <v>-0.36358099999999999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5</v>
      </c>
      <c r="C31" s="29"/>
      <c r="D31" s="33">
        <f>SUM(D26:D30)</f>
        <v>-194327.29</v>
      </c>
      <c r="E31" s="14"/>
      <c r="F31" s="35">
        <f>IF(D$12=0,0,D31/D$12)</f>
        <v>0</v>
      </c>
      <c r="G31" s="14"/>
      <c r="H31" s="33">
        <f>SUM(H26:H30)</f>
        <v>50000</v>
      </c>
      <c r="I31" s="14"/>
      <c r="J31" s="35">
        <f>IF(H$12=0,0,H31/H$12)</f>
        <v>0</v>
      </c>
      <c r="K31" s="15"/>
      <c r="L31" s="33">
        <f>+D31-H31</f>
        <v>-244327.29</v>
      </c>
      <c r="M31" s="15"/>
      <c r="N31" s="35">
        <f>IF(H31=0,0,L31/H31)</f>
        <v>-4.8865458000000004</v>
      </c>
      <c r="O31" s="28"/>
      <c r="P31" s="33">
        <f>SUM(P26:P30)</f>
        <v>-148784.85999999999</v>
      </c>
      <c r="Q31" s="14"/>
      <c r="R31" s="35">
        <f>IF(P$12=0,0,P31/P$12)</f>
        <v>0</v>
      </c>
      <c r="S31" s="14"/>
      <c r="T31" s="33">
        <f>SUM(T26:T30)</f>
        <v>100000</v>
      </c>
      <c r="U31" s="14"/>
      <c r="V31" s="35">
        <f>IF(T$12=0,0,T31/T$12)</f>
        <v>0</v>
      </c>
      <c r="W31" s="15"/>
      <c r="X31" s="33">
        <f>+P31-T31</f>
        <v>-248784.86</v>
      </c>
      <c r="Y31" s="15"/>
      <c r="Z31" s="35">
        <f>IF(T31=0,0,X31/T31)</f>
        <v>-2.4878486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61">
        <v>43732.705698379628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A34" s="9"/>
      <c r="B34" s="62" t="s">
        <v>314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25">
      <c r="A35" s="9"/>
      <c r="B35" s="58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25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297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300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400497.58999999985</v>
      </c>
      <c r="E18" s="19"/>
      <c r="F18" s="34">
        <f t="shared" ref="F18:F30" si="0">IF(D$12=0,0,D18/D$12)</f>
        <v>0</v>
      </c>
      <c r="G18" s="19"/>
      <c r="H18" s="19">
        <f>SUM(OSRRefH22x_0)</f>
        <v>587570.35545137431</v>
      </c>
      <c r="I18" s="19"/>
      <c r="J18" s="34">
        <f t="shared" ref="J18:J30" si="1">IF(H$12=0,0,H18/H$12)</f>
        <v>0</v>
      </c>
      <c r="K18" s="4"/>
      <c r="L18" s="19">
        <f t="shared" ref="L18:L30" si="2">+D18-H18</f>
        <v>-187072.76545137446</v>
      </c>
      <c r="M18" s="4"/>
      <c r="N18" s="34">
        <f t="shared" ref="N18:N30" si="3">IF(H18=0,0,L18/H18)</f>
        <v>-0.31838360073095295</v>
      </c>
      <c r="O18" s="10"/>
      <c r="P18" s="19">
        <f>SUM(OSRRefP22x_0)</f>
        <v>713828.85999999975</v>
      </c>
      <c r="Q18" s="19"/>
      <c r="R18" s="34">
        <f t="shared" ref="R18:R30" si="4">IF(P$12=0,0,P18/P$12)</f>
        <v>0</v>
      </c>
      <c r="S18" s="19"/>
      <c r="T18" s="19">
        <f>SUM(OSRRefT22x_0)</f>
        <v>987452.59557115007</v>
      </c>
      <c r="U18" s="19"/>
      <c r="V18" s="34">
        <f t="shared" ref="V18:V30" si="5">IF(T$12=0,0,T18/T$12)</f>
        <v>0</v>
      </c>
      <c r="W18" s="4"/>
      <c r="X18" s="19">
        <f t="shared" ref="X18:X30" si="6">+P18-T18</f>
        <v>-273623.73557115032</v>
      </c>
      <c r="Y18" s="4"/>
      <c r="Z18" s="34">
        <f t="shared" ref="Z18:Z30" si="7">IF(T18=0,0,X18/T18)</f>
        <v>-0.27710062923363349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86652.94</v>
      </c>
      <c r="E19" s="1"/>
      <c r="F19" s="5">
        <f t="shared" si="0"/>
        <v>0</v>
      </c>
      <c r="G19" s="1"/>
      <c r="H19" s="1">
        <f>SUM(OSRRefH22_0x_0)</f>
        <v>99074.205294451385</v>
      </c>
      <c r="I19" s="1"/>
      <c r="J19" s="5">
        <f t="shared" si="1"/>
        <v>0</v>
      </c>
      <c r="K19" s="1"/>
      <c r="L19" s="1">
        <f t="shared" si="2"/>
        <v>-12421.265294451383</v>
      </c>
      <c r="M19" s="1"/>
      <c r="N19" s="5">
        <f t="shared" si="3"/>
        <v>-0.12537335280696954</v>
      </c>
      <c r="O19" s="13"/>
      <c r="P19" s="1">
        <f>SUM(OSRRefP22_0x_0)</f>
        <v>189514.23999999999</v>
      </c>
      <c r="Q19" s="1"/>
      <c r="R19" s="5">
        <f t="shared" si="4"/>
        <v>0</v>
      </c>
      <c r="S19" s="1"/>
      <c r="T19" s="1">
        <f>SUM(OSRRefT22_0x_0)</f>
        <v>206619.08996807333</v>
      </c>
      <c r="U19" s="1"/>
      <c r="V19" s="5">
        <f t="shared" si="5"/>
        <v>0</v>
      </c>
      <c r="W19" s="1"/>
      <c r="X19" s="1">
        <f t="shared" si="6"/>
        <v>-17104.849968073337</v>
      </c>
      <c r="Y19" s="1"/>
      <c r="Z19" s="5">
        <f t="shared" si="7"/>
        <v>-8.2784460868143256E-2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9409.27</v>
      </c>
      <c r="E20" s="2"/>
      <c r="F20" s="7">
        <f t="shared" si="0"/>
        <v>0</v>
      </c>
      <c r="G20" s="2"/>
      <c r="H20" s="6">
        <v>9374.0335762052273</v>
      </c>
      <c r="I20" s="2"/>
      <c r="J20" s="7">
        <f t="shared" si="1"/>
        <v>0</v>
      </c>
      <c r="K20" s="2"/>
      <c r="L20" s="6">
        <f t="shared" si="2"/>
        <v>35.236423794773145</v>
      </c>
      <c r="M20" s="2"/>
      <c r="N20" s="7">
        <f t="shared" si="3"/>
        <v>3.7589393624763894E-3</v>
      </c>
      <c r="O20" s="11"/>
      <c r="P20" s="6">
        <v>18946.009999999998</v>
      </c>
      <c r="Q20" s="2"/>
      <c r="R20" s="7">
        <f t="shared" si="4"/>
        <v>0</v>
      </c>
      <c r="S20" s="2"/>
      <c r="T20" s="6">
        <v>21452.033759711772</v>
      </c>
      <c r="U20" s="2"/>
      <c r="V20" s="7">
        <f t="shared" si="5"/>
        <v>0</v>
      </c>
      <c r="W20" s="2"/>
      <c r="X20" s="6">
        <f t="shared" si="6"/>
        <v>-2506.0237597117739</v>
      </c>
      <c r="Y20" s="2"/>
      <c r="Z20" s="7">
        <f t="shared" si="7"/>
        <v>-0.11681986835291297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720.31</v>
      </c>
      <c r="E21" s="2"/>
      <c r="F21" s="7">
        <f t="shared" si="0"/>
        <v>0</v>
      </c>
      <c r="G21" s="2"/>
      <c r="H21" s="6">
        <v>743.7473023876928</v>
      </c>
      <c r="I21" s="2"/>
      <c r="J21" s="7">
        <f t="shared" si="1"/>
        <v>0</v>
      </c>
      <c r="K21" s="2"/>
      <c r="L21" s="6">
        <f t="shared" si="2"/>
        <v>-23.437302387692853</v>
      </c>
      <c r="M21" s="2"/>
      <c r="N21" s="7">
        <f t="shared" si="3"/>
        <v>-3.1512453641782352E-2</v>
      </c>
      <c r="O21" s="11"/>
      <c r="P21" s="6">
        <v>1401.07</v>
      </c>
      <c r="Q21" s="2"/>
      <c r="R21" s="7">
        <f t="shared" si="4"/>
        <v>0</v>
      </c>
      <c r="S21" s="2"/>
      <c r="T21" s="6">
        <v>1668.267765372309</v>
      </c>
      <c r="U21" s="2"/>
      <c r="V21" s="7">
        <f t="shared" si="5"/>
        <v>0</v>
      </c>
      <c r="W21" s="2"/>
      <c r="X21" s="6">
        <f t="shared" si="6"/>
        <v>-267.19776537230905</v>
      </c>
      <c r="Y21" s="2"/>
      <c r="Z21" s="7">
        <f t="shared" si="7"/>
        <v>-0.16016479543538878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23338.41</v>
      </c>
      <c r="E22" s="2"/>
      <c r="F22" s="7">
        <f t="shared" si="0"/>
        <v>0</v>
      </c>
      <c r="G22" s="2"/>
      <c r="H22" s="6">
        <v>26690.038461538461</v>
      </c>
      <c r="I22" s="2"/>
      <c r="J22" s="7">
        <f t="shared" si="1"/>
        <v>0</v>
      </c>
      <c r="K22" s="2"/>
      <c r="L22" s="6">
        <f t="shared" si="2"/>
        <v>-3351.6284615384611</v>
      </c>
      <c r="M22" s="2"/>
      <c r="N22" s="7">
        <f t="shared" si="3"/>
        <v>-0.12557600718216677</v>
      </c>
      <c r="O22" s="11"/>
      <c r="P22" s="6">
        <v>46041.72</v>
      </c>
      <c r="Q22" s="2"/>
      <c r="R22" s="7">
        <f t="shared" si="4"/>
        <v>0</v>
      </c>
      <c r="S22" s="2"/>
      <c r="T22" s="6">
        <v>55242.269230769227</v>
      </c>
      <c r="U22" s="2"/>
      <c r="V22" s="7">
        <f t="shared" si="5"/>
        <v>0</v>
      </c>
      <c r="W22" s="2"/>
      <c r="X22" s="6">
        <f t="shared" si="6"/>
        <v>-9200.5492307692257</v>
      </c>
      <c r="Y22" s="2"/>
      <c r="Z22" s="7">
        <f t="shared" si="7"/>
        <v>-0.16654908205046434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332.05</v>
      </c>
      <c r="E23" s="2"/>
      <c r="F23" s="7">
        <f t="shared" si="0"/>
        <v>0</v>
      </c>
      <c r="G23" s="2"/>
      <c r="H23" s="6">
        <v>362.24591512000001</v>
      </c>
      <c r="I23" s="2"/>
      <c r="J23" s="7">
        <f t="shared" si="1"/>
        <v>0</v>
      </c>
      <c r="K23" s="2"/>
      <c r="L23" s="6">
        <f t="shared" si="2"/>
        <v>-30.195915119999995</v>
      </c>
      <c r="M23" s="2"/>
      <c r="N23" s="7">
        <f t="shared" si="3"/>
        <v>-8.3357503451756229E-2</v>
      </c>
      <c r="O23" s="11"/>
      <c r="P23" s="6">
        <v>649.34</v>
      </c>
      <c r="Q23" s="2"/>
      <c r="R23" s="7">
        <f t="shared" si="4"/>
        <v>0</v>
      </c>
      <c r="S23" s="2"/>
      <c r="T23" s="6">
        <v>811.10462401999996</v>
      </c>
      <c r="U23" s="2"/>
      <c r="V23" s="7">
        <f t="shared" si="5"/>
        <v>0</v>
      </c>
      <c r="W23" s="2"/>
      <c r="X23" s="6">
        <f t="shared" si="6"/>
        <v>-161.76462401999993</v>
      </c>
      <c r="Y23" s="2"/>
      <c r="Z23" s="7">
        <f t="shared" si="7"/>
        <v>-0.19943743289029897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8066.48</v>
      </c>
      <c r="E24" s="2"/>
      <c r="F24" s="7">
        <f t="shared" si="0"/>
        <v>0</v>
      </c>
      <c r="G24" s="2"/>
      <c r="H24" s="6">
        <v>8097.1122453538474</v>
      </c>
      <c r="I24" s="2"/>
      <c r="J24" s="7">
        <f t="shared" si="1"/>
        <v>0</v>
      </c>
      <c r="K24" s="2"/>
      <c r="L24" s="6">
        <f t="shared" si="2"/>
        <v>-30.632245353847793</v>
      </c>
      <c r="M24" s="2"/>
      <c r="N24" s="7">
        <f t="shared" si="3"/>
        <v>-3.7831074123277331E-3</v>
      </c>
      <c r="O24" s="11"/>
      <c r="P24" s="6">
        <v>16132.96</v>
      </c>
      <c r="Q24" s="2"/>
      <c r="R24" s="7">
        <f t="shared" si="4"/>
        <v>0</v>
      </c>
      <c r="S24" s="2"/>
      <c r="T24" s="6">
        <v>18218.50255204616</v>
      </c>
      <c r="U24" s="2"/>
      <c r="V24" s="7">
        <f t="shared" si="5"/>
        <v>0</v>
      </c>
      <c r="W24" s="2"/>
      <c r="X24" s="6">
        <f t="shared" si="6"/>
        <v>-2085.5425520461613</v>
      </c>
      <c r="Y24" s="2"/>
      <c r="Z24" s="7">
        <f t="shared" si="7"/>
        <v>-0.11447387325540262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500</v>
      </c>
      <c r="I25" s="2"/>
      <c r="J25" s="7">
        <f t="shared" si="1"/>
        <v>0</v>
      </c>
      <c r="K25" s="2"/>
      <c r="L25" s="6">
        <f t="shared" si="2"/>
        <v>-500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1000</v>
      </c>
      <c r="U25" s="2"/>
      <c r="V25" s="7">
        <f t="shared" si="5"/>
        <v>0</v>
      </c>
      <c r="W25" s="2"/>
      <c r="X25" s="6">
        <f t="shared" si="6"/>
        <v>-1000</v>
      </c>
      <c r="Y25" s="2"/>
      <c r="Z25" s="7">
        <f t="shared" si="7"/>
        <v>-1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808.45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808.45</v>
      </c>
      <c r="M26" s="2"/>
      <c r="N26" s="7">
        <f t="shared" si="3"/>
        <v>0</v>
      </c>
      <c r="O26" s="11"/>
      <c r="P26" s="6">
        <v>1440.77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1440.77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7800.7</v>
      </c>
      <c r="E27" s="2"/>
      <c r="F27" s="7">
        <f t="shared" si="0"/>
        <v>0</v>
      </c>
      <c r="G27" s="2"/>
      <c r="H27" s="6">
        <v>6830.8805984615401</v>
      </c>
      <c r="I27" s="2"/>
      <c r="J27" s="7">
        <f t="shared" si="1"/>
        <v>0</v>
      </c>
      <c r="K27" s="2"/>
      <c r="L27" s="6">
        <f t="shared" si="2"/>
        <v>969.81940153845972</v>
      </c>
      <c r="M27" s="2"/>
      <c r="N27" s="7">
        <f t="shared" si="3"/>
        <v>0.14197575079220148</v>
      </c>
      <c r="O27" s="11"/>
      <c r="P27" s="6">
        <v>22523.649999999998</v>
      </c>
      <c r="Q27" s="2"/>
      <c r="R27" s="7">
        <f t="shared" si="4"/>
        <v>0</v>
      </c>
      <c r="S27" s="2"/>
      <c r="T27" s="6">
        <v>15401.025096538469</v>
      </c>
      <c r="U27" s="2"/>
      <c r="V27" s="7">
        <f t="shared" si="5"/>
        <v>0</v>
      </c>
      <c r="W27" s="2"/>
      <c r="X27" s="6">
        <f t="shared" si="6"/>
        <v>7122.6249034615284</v>
      </c>
      <c r="Y27" s="2"/>
      <c r="Z27" s="7">
        <f t="shared" si="7"/>
        <v>0.46247732594516761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4767.32</v>
      </c>
      <c r="E28" s="2"/>
      <c r="F28" s="7">
        <f t="shared" si="0"/>
        <v>0</v>
      </c>
      <c r="G28" s="2"/>
      <c r="H28" s="6">
        <v>4826.1471953846158</v>
      </c>
      <c r="I28" s="2"/>
      <c r="J28" s="7">
        <f t="shared" si="1"/>
        <v>0</v>
      </c>
      <c r="K28" s="2"/>
      <c r="L28" s="6">
        <f t="shared" si="2"/>
        <v>-58.827195384616061</v>
      </c>
      <c r="M28" s="2"/>
      <c r="N28" s="7">
        <f t="shared" si="3"/>
        <v>-1.218926671794723E-2</v>
      </c>
      <c r="O28" s="11"/>
      <c r="P28" s="6">
        <v>19811.62</v>
      </c>
      <c r="Q28" s="2"/>
      <c r="R28" s="7">
        <f t="shared" si="4"/>
        <v>0</v>
      </c>
      <c r="S28" s="2"/>
      <c r="T28" s="6">
        <v>10825.886939615395</v>
      </c>
      <c r="U28" s="2"/>
      <c r="V28" s="7">
        <f t="shared" si="5"/>
        <v>0</v>
      </c>
      <c r="W28" s="2"/>
      <c r="X28" s="6">
        <f t="shared" si="6"/>
        <v>8985.733060384604</v>
      </c>
      <c r="Y28" s="2"/>
      <c r="Z28" s="7">
        <f t="shared" si="7"/>
        <v>0.83002280649199489</v>
      </c>
    </row>
    <row r="29" spans="1:26" s="24" customFormat="1" hidden="1" outlineLevel="2" x14ac:dyDescent="0.25">
      <c r="A29" s="27"/>
      <c r="B29" s="11" t="str">
        <f>CONCATENATE("          ", "6120", " - ", "RETIREES HEALTH INSURANCE")</f>
        <v xml:space="preserve">          6120 - RETIREES HEALTH INSURANCE</v>
      </c>
      <c r="C29" s="11"/>
      <c r="D29" s="6">
        <v>28957.26</v>
      </c>
      <c r="E29" s="2"/>
      <c r="F29" s="7">
        <f t="shared" si="0"/>
        <v>0</v>
      </c>
      <c r="G29" s="2"/>
      <c r="H29" s="6">
        <v>40300</v>
      </c>
      <c r="I29" s="2"/>
      <c r="J29" s="7">
        <f t="shared" si="1"/>
        <v>0</v>
      </c>
      <c r="K29" s="2"/>
      <c r="L29" s="6">
        <f t="shared" si="2"/>
        <v>-11342.740000000002</v>
      </c>
      <c r="M29" s="2"/>
      <c r="N29" s="7">
        <f t="shared" si="3"/>
        <v>-0.28145756823821344</v>
      </c>
      <c r="O29" s="11"/>
      <c r="P29" s="6">
        <v>57828.140000000007</v>
      </c>
      <c r="Q29" s="2"/>
      <c r="R29" s="7">
        <f t="shared" si="4"/>
        <v>0</v>
      </c>
      <c r="S29" s="2"/>
      <c r="T29" s="6">
        <v>79300</v>
      </c>
      <c r="U29" s="2"/>
      <c r="V29" s="7">
        <f t="shared" si="5"/>
        <v>0</v>
      </c>
      <c r="W29" s="2"/>
      <c r="X29" s="6">
        <f t="shared" si="6"/>
        <v>-21471.859999999993</v>
      </c>
      <c r="Y29" s="2"/>
      <c r="Z29" s="7">
        <f t="shared" si="7"/>
        <v>-0.27076746532156359</v>
      </c>
    </row>
    <row r="30" spans="1:26" s="24" customFormat="1" hidden="1" outlineLevel="2" x14ac:dyDescent="0.25">
      <c r="A30" s="27"/>
      <c r="B30" s="11" t="str">
        <f>CONCATENATE("          ", "6156", " - ", "EMPLOYEE MEALS")</f>
        <v xml:space="preserve">          6156 - EMPLOYEE MEALS</v>
      </c>
      <c r="C30" s="11"/>
      <c r="D30" s="6">
        <v>2452.69</v>
      </c>
      <c r="E30" s="2"/>
      <c r="F30" s="7">
        <f t="shared" si="0"/>
        <v>0</v>
      </c>
      <c r="G30" s="2"/>
      <c r="H30" s="6">
        <v>1350</v>
      </c>
      <c r="I30" s="2"/>
      <c r="J30" s="7">
        <f t="shared" si="1"/>
        <v>0</v>
      </c>
      <c r="K30" s="2"/>
      <c r="L30" s="6">
        <f t="shared" si="2"/>
        <v>1102.69</v>
      </c>
      <c r="M30" s="2"/>
      <c r="N30" s="7">
        <f t="shared" si="3"/>
        <v>0.81680740740740743</v>
      </c>
      <c r="O30" s="11"/>
      <c r="P30" s="6">
        <v>4738.96</v>
      </c>
      <c r="Q30" s="2"/>
      <c r="R30" s="7">
        <f t="shared" si="4"/>
        <v>0</v>
      </c>
      <c r="S30" s="2"/>
      <c r="T30" s="6">
        <v>2700</v>
      </c>
      <c r="U30" s="2"/>
      <c r="V30" s="7">
        <f t="shared" si="5"/>
        <v>0</v>
      </c>
      <c r="W30" s="2"/>
      <c r="X30" s="6">
        <f t="shared" si="6"/>
        <v>2038.96</v>
      </c>
      <c r="Y30" s="2"/>
      <c r="Z30" s="7">
        <f t="shared" si="7"/>
        <v>0.75517037037037038</v>
      </c>
    </row>
    <row r="31" spans="1:26" s="26" customFormat="1" outlineLevel="1" collapsed="1" x14ac:dyDescent="0.25">
      <c r="A31" s="25"/>
      <c r="B31" s="13" t="str">
        <f>CONCATENATE("     ","*Payroll                                          ")</f>
        <v xml:space="preserve">     *Payroll                                          </v>
      </c>
      <c r="C31" s="13"/>
      <c r="D31" s="1">
        <f>SUM(OSRRefD22_1x_0)</f>
        <v>116269.98</v>
      </c>
      <c r="E31" s="1"/>
      <c r="F31" s="5">
        <f t="shared" ref="F31:F41" si="8">IF(D$12=0,0,D31/D$12)</f>
        <v>0</v>
      </c>
      <c r="G31" s="1"/>
      <c r="H31" s="1">
        <f>SUM(OSRRefH22_1x_0)</f>
        <v>129293.15015692296</v>
      </c>
      <c r="I31" s="1"/>
      <c r="J31" s="5">
        <f t="shared" ref="J31:J41" si="9">IF(H$12=0,0,H31/H$12)</f>
        <v>0</v>
      </c>
      <c r="K31" s="1"/>
      <c r="L31" s="1">
        <f t="shared" ref="L31:L41" si="10">+D31-H31</f>
        <v>-13023.170156922963</v>
      </c>
      <c r="M31" s="1"/>
      <c r="N31" s="5">
        <f t="shared" ref="N31:N41" si="11">IF(H31=0,0,L31/H31)</f>
        <v>-0.10072590961792449</v>
      </c>
      <c r="O31" s="13"/>
      <c r="P31" s="1">
        <f>SUM(OSRRefP22_1x_0)</f>
        <v>257625.79</v>
      </c>
      <c r="Q31" s="1"/>
      <c r="R31" s="5">
        <f t="shared" ref="R31:R41" si="12">IF(P$12=0,0,P31/P$12)</f>
        <v>0</v>
      </c>
      <c r="S31" s="1"/>
      <c r="T31" s="1">
        <f>SUM(OSRRefT22_1x_0)</f>
        <v>289175.50560307672</v>
      </c>
      <c r="U31" s="1"/>
      <c r="V31" s="5">
        <f t="shared" ref="V31:V41" si="13">IF(T$12=0,0,T31/T$12)</f>
        <v>0</v>
      </c>
      <c r="W31" s="1"/>
      <c r="X31" s="1">
        <f t="shared" ref="X31:X41" si="14">+P31-T31</f>
        <v>-31549.715603076707</v>
      </c>
      <c r="Y31" s="1"/>
      <c r="Z31" s="5">
        <f t="shared" ref="Z31:Z41" si="15">IF(T31=0,0,X31/T31)</f>
        <v>-0.10910230981451781</v>
      </c>
    </row>
    <row r="32" spans="1:26" s="24" customFormat="1" hidden="1" outlineLevel="2" x14ac:dyDescent="0.25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>
        <v>29340.329999999998</v>
      </c>
      <c r="E32" s="2"/>
      <c r="F32" s="7">
        <f t="shared" si="8"/>
        <v>0</v>
      </c>
      <c r="G32" s="2"/>
      <c r="H32" s="6">
        <v>42696.154864615339</v>
      </c>
      <c r="I32" s="2"/>
      <c r="J32" s="7">
        <f t="shared" si="9"/>
        <v>0</v>
      </c>
      <c r="K32" s="2"/>
      <c r="L32" s="6">
        <f t="shared" si="10"/>
        <v>-13355.824864615341</v>
      </c>
      <c r="M32" s="2"/>
      <c r="N32" s="7">
        <f t="shared" si="11"/>
        <v>-0.31281095234372147</v>
      </c>
      <c r="O32" s="11"/>
      <c r="P32" s="6">
        <v>68943.41</v>
      </c>
      <c r="Q32" s="2"/>
      <c r="R32" s="7">
        <f t="shared" si="12"/>
        <v>0</v>
      </c>
      <c r="S32" s="2"/>
      <c r="T32" s="6">
        <v>96066.348445384559</v>
      </c>
      <c r="U32" s="2"/>
      <c r="V32" s="7">
        <f t="shared" si="13"/>
        <v>0</v>
      </c>
      <c r="W32" s="2"/>
      <c r="X32" s="6">
        <f t="shared" si="14"/>
        <v>-27122.938445384556</v>
      </c>
      <c r="Y32" s="2"/>
      <c r="Z32" s="7">
        <f t="shared" si="15"/>
        <v>-0.28233547838871415</v>
      </c>
    </row>
    <row r="33" spans="1:26" s="24" customFormat="1" hidden="1" outlineLevel="2" x14ac:dyDescent="0.25">
      <c r="A33" s="27"/>
      <c r="B33" s="11" t="str">
        <f>CONCATENATE("          ", "6002", " - ", "STAFF SALARIES")</f>
        <v xml:space="preserve">          6002 - STAFF SALARIES</v>
      </c>
      <c r="C33" s="11"/>
      <c r="D33" s="6">
        <v>41692.120000000003</v>
      </c>
      <c r="E33" s="2"/>
      <c r="F33" s="7">
        <f t="shared" si="8"/>
        <v>0</v>
      </c>
      <c r="G33" s="2"/>
      <c r="H33" s="6">
        <v>44196.157492307611</v>
      </c>
      <c r="I33" s="2"/>
      <c r="J33" s="7">
        <f t="shared" si="9"/>
        <v>0</v>
      </c>
      <c r="K33" s="2"/>
      <c r="L33" s="6">
        <f t="shared" si="10"/>
        <v>-2504.0374923076088</v>
      </c>
      <c r="M33" s="2"/>
      <c r="N33" s="7">
        <f t="shared" si="11"/>
        <v>-5.6657357435280185E-2</v>
      </c>
      <c r="O33" s="11"/>
      <c r="P33" s="6">
        <v>93246.09</v>
      </c>
      <c r="Q33" s="2"/>
      <c r="R33" s="7">
        <f t="shared" si="12"/>
        <v>0</v>
      </c>
      <c r="S33" s="2"/>
      <c r="T33" s="6">
        <v>99441.354357692195</v>
      </c>
      <c r="U33" s="2"/>
      <c r="V33" s="7">
        <f t="shared" si="13"/>
        <v>0</v>
      </c>
      <c r="W33" s="2"/>
      <c r="X33" s="6">
        <f t="shared" si="14"/>
        <v>-6195.2643576921982</v>
      </c>
      <c r="Y33" s="2"/>
      <c r="Z33" s="7">
        <f t="shared" si="15"/>
        <v>-6.2300683631155401E-2</v>
      </c>
    </row>
    <row r="34" spans="1:26" s="24" customFormat="1" hidden="1" outlineLevel="2" x14ac:dyDescent="0.25">
      <c r="A34" s="27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"6004", " - ", "STAFF HOURLY")</f>
        <v xml:space="preserve">          6004 - STAFF HOURLY</v>
      </c>
      <c r="C35" s="11"/>
      <c r="D35" s="6">
        <v>20760.870000000003</v>
      </c>
      <c r="E35" s="2"/>
      <c r="F35" s="7">
        <f t="shared" si="8"/>
        <v>0</v>
      </c>
      <c r="G35" s="2"/>
      <c r="H35" s="6">
        <v>22426.787800000002</v>
      </c>
      <c r="I35" s="2"/>
      <c r="J35" s="7">
        <f t="shared" si="9"/>
        <v>0</v>
      </c>
      <c r="K35" s="2"/>
      <c r="L35" s="6">
        <f t="shared" si="10"/>
        <v>-1665.9177999999993</v>
      </c>
      <c r="M35" s="2"/>
      <c r="N35" s="7">
        <f t="shared" si="11"/>
        <v>-7.4282497112671625E-2</v>
      </c>
      <c r="O35" s="11"/>
      <c r="P35" s="6">
        <v>41026.140000000007</v>
      </c>
      <c r="Q35" s="2"/>
      <c r="R35" s="7">
        <f t="shared" si="12"/>
        <v>0</v>
      </c>
      <c r="S35" s="2"/>
      <c r="T35" s="6">
        <v>51088.752799999995</v>
      </c>
      <c r="U35" s="2"/>
      <c r="V35" s="7">
        <f t="shared" si="13"/>
        <v>0</v>
      </c>
      <c r="W35" s="2"/>
      <c r="X35" s="6">
        <f t="shared" si="14"/>
        <v>-10062.612799999988</v>
      </c>
      <c r="Y35" s="2"/>
      <c r="Z35" s="7">
        <f t="shared" si="15"/>
        <v>-0.1969633676396968</v>
      </c>
    </row>
    <row r="36" spans="1:26" s="24" customFormat="1" hidden="1" outlineLevel="2" x14ac:dyDescent="0.25">
      <c r="A36" s="27"/>
      <c r="B36" s="11" t="str">
        <f>CONCATENATE("          ", "6005", " - ", "TEMPORARY WAGES-HOURLY")</f>
        <v xml:space="preserve">          6005 - TEMPORARY WAGES-HOURLY</v>
      </c>
      <c r="C36" s="11"/>
      <c r="D36" s="6">
        <v>10180.65</v>
      </c>
      <c r="E36" s="2"/>
      <c r="F36" s="7">
        <f t="shared" si="8"/>
        <v>0</v>
      </c>
      <c r="G36" s="2"/>
      <c r="H36" s="6">
        <v>7192</v>
      </c>
      <c r="I36" s="2"/>
      <c r="J36" s="7">
        <f t="shared" si="9"/>
        <v>0</v>
      </c>
      <c r="K36" s="2"/>
      <c r="L36" s="6">
        <f t="shared" si="10"/>
        <v>2988.6499999999996</v>
      </c>
      <c r="M36" s="2"/>
      <c r="N36" s="7">
        <f t="shared" si="11"/>
        <v>0.41555200222469407</v>
      </c>
      <c r="O36" s="11"/>
      <c r="P36" s="6">
        <v>18536.68</v>
      </c>
      <c r="Q36" s="2"/>
      <c r="R36" s="7">
        <f t="shared" si="12"/>
        <v>0</v>
      </c>
      <c r="S36" s="2"/>
      <c r="T36" s="6">
        <v>16182</v>
      </c>
      <c r="U36" s="2"/>
      <c r="V36" s="7">
        <f t="shared" si="13"/>
        <v>0</v>
      </c>
      <c r="W36" s="2"/>
      <c r="X36" s="6">
        <f t="shared" si="14"/>
        <v>2354.6800000000003</v>
      </c>
      <c r="Y36" s="2"/>
      <c r="Z36" s="7">
        <f t="shared" si="15"/>
        <v>0.14551229761463355</v>
      </c>
    </row>
    <row r="37" spans="1:26" s="24" customFormat="1" hidden="1" outlineLevel="2" x14ac:dyDescent="0.25">
      <c r="A37" s="27"/>
      <c r="B37" s="11" t="str">
        <f>CONCATENATE("          ", "6006", " - ", "TEMPORARY PART TIME")</f>
        <v xml:space="preserve">          6006 - TEMPORARY PART TIME</v>
      </c>
      <c r="C37" s="11"/>
      <c r="D37" s="6">
        <v>1153.93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1153.93</v>
      </c>
      <c r="M37" s="2"/>
      <c r="N37" s="7">
        <f t="shared" si="11"/>
        <v>0</v>
      </c>
      <c r="O37" s="11"/>
      <c r="P37" s="6">
        <v>1862.68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1862.68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"6007", " - ", "STUDENT HOURLY")</f>
        <v xml:space="preserve">          6007 - STUDENT HOURLY</v>
      </c>
      <c r="C38" s="11"/>
      <c r="D38" s="6">
        <v>11601.39</v>
      </c>
      <c r="E38" s="2"/>
      <c r="F38" s="7">
        <f t="shared" si="8"/>
        <v>0</v>
      </c>
      <c r="G38" s="2"/>
      <c r="H38" s="6">
        <v>3115</v>
      </c>
      <c r="I38" s="2"/>
      <c r="J38" s="7">
        <f t="shared" si="9"/>
        <v>0</v>
      </c>
      <c r="K38" s="2"/>
      <c r="L38" s="6">
        <f t="shared" si="10"/>
        <v>8486.39</v>
      </c>
      <c r="M38" s="2"/>
      <c r="N38" s="7">
        <f t="shared" si="11"/>
        <v>2.7243627608346705</v>
      </c>
      <c r="O38" s="11"/>
      <c r="P38" s="6">
        <v>30527.599999999999</v>
      </c>
      <c r="Q38" s="2"/>
      <c r="R38" s="7">
        <f t="shared" si="12"/>
        <v>0</v>
      </c>
      <c r="S38" s="2"/>
      <c r="T38" s="6">
        <v>10902.5</v>
      </c>
      <c r="U38" s="2"/>
      <c r="V38" s="7">
        <f t="shared" si="13"/>
        <v>0</v>
      </c>
      <c r="W38" s="2"/>
      <c r="X38" s="6">
        <f t="shared" si="14"/>
        <v>19625.099999999999</v>
      </c>
      <c r="Y38" s="2"/>
      <c r="Z38" s="7">
        <f t="shared" si="15"/>
        <v>1.8000550332492546</v>
      </c>
    </row>
    <row r="39" spans="1:26" s="24" customFormat="1" hidden="1" outlineLevel="2" x14ac:dyDescent="0.25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>
        <v>1540.69</v>
      </c>
      <c r="E39" s="2"/>
      <c r="F39" s="7">
        <f t="shared" si="8"/>
        <v>0</v>
      </c>
      <c r="G39" s="2"/>
      <c r="H39" s="6">
        <v>9667.0499999999993</v>
      </c>
      <c r="I39" s="2"/>
      <c r="J39" s="7">
        <f t="shared" si="9"/>
        <v>0</v>
      </c>
      <c r="K39" s="2"/>
      <c r="L39" s="6">
        <f t="shared" si="10"/>
        <v>-8126.3599999999988</v>
      </c>
      <c r="M39" s="2"/>
      <c r="N39" s="7">
        <f t="shared" si="11"/>
        <v>-0.8406245959211962</v>
      </c>
      <c r="O39" s="11"/>
      <c r="P39" s="6">
        <v>3483.19</v>
      </c>
      <c r="Q39" s="2"/>
      <c r="R39" s="7">
        <f t="shared" si="12"/>
        <v>0</v>
      </c>
      <c r="S39" s="2"/>
      <c r="T39" s="6">
        <v>15494.550000000001</v>
      </c>
      <c r="U39" s="2"/>
      <c r="V39" s="7">
        <f t="shared" si="13"/>
        <v>0</v>
      </c>
      <c r="W39" s="2"/>
      <c r="X39" s="6">
        <f t="shared" si="14"/>
        <v>-12011.36</v>
      </c>
      <c r="Y39" s="2"/>
      <c r="Z39" s="7">
        <f t="shared" si="15"/>
        <v>-0.77519902159146281</v>
      </c>
    </row>
    <row r="40" spans="1:26" s="24" customFormat="1" hidden="1" outlineLevel="2" x14ac:dyDescent="0.25">
      <c r="A40" s="27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4" customFormat="1" hidden="1" outlineLevel="2" x14ac:dyDescent="0.25">
      <c r="A41" s="27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8"/>
        <v>0</v>
      </c>
      <c r="G41" s="2"/>
      <c r="H41" s="6">
        <v>0</v>
      </c>
      <c r="I41" s="2"/>
      <c r="J41" s="7">
        <f t="shared" si="9"/>
        <v>0</v>
      </c>
      <c r="K41" s="2"/>
      <c r="L41" s="6">
        <f t="shared" si="10"/>
        <v>0</v>
      </c>
      <c r="M41" s="2"/>
      <c r="N41" s="7">
        <f t="shared" si="11"/>
        <v>0</v>
      </c>
      <c r="O41" s="11"/>
      <c r="P41" s="6"/>
      <c r="Q41" s="2"/>
      <c r="R41" s="7">
        <f t="shared" si="12"/>
        <v>0</v>
      </c>
      <c r="S41" s="2"/>
      <c r="T41" s="6">
        <v>0</v>
      </c>
      <c r="U41" s="2"/>
      <c r="V41" s="7">
        <f t="shared" si="13"/>
        <v>0</v>
      </c>
      <c r="W41" s="2"/>
      <c r="X41" s="6">
        <f t="shared" si="14"/>
        <v>0</v>
      </c>
      <c r="Y41" s="2"/>
      <c r="Z41" s="7">
        <f t="shared" si="15"/>
        <v>0</v>
      </c>
    </row>
    <row r="42" spans="1:26" s="26" customFormat="1" outlineLevel="1" collapsed="1" x14ac:dyDescent="0.25">
      <c r="A42" s="25"/>
      <c r="B42" s="13" t="str">
        <f>CONCATENATE("     ","Advertising/Promo                                 ")</f>
        <v xml:space="preserve">     Advertising/Promo                                 </v>
      </c>
      <c r="C42" s="13"/>
      <c r="D42" s="1">
        <f>SUM(OSRRefD22_2x_0)</f>
        <v>-988.85</v>
      </c>
      <c r="E42" s="1"/>
      <c r="F42" s="5">
        <f t="shared" ref="F42:F65" si="16">IF(D$12=0,0,D42/D$12)</f>
        <v>0</v>
      </c>
      <c r="G42" s="1"/>
      <c r="H42" s="1">
        <f>SUM(OSRRefH22_2x_0)</f>
        <v>260</v>
      </c>
      <c r="I42" s="1"/>
      <c r="J42" s="5">
        <f t="shared" ref="J42:J65" si="17">IF(H$12=0,0,H42/H$12)</f>
        <v>0</v>
      </c>
      <c r="K42" s="1"/>
      <c r="L42" s="1">
        <f t="shared" ref="L42:L65" si="18">+D42-H42</f>
        <v>-1248.8499999999999</v>
      </c>
      <c r="M42" s="1"/>
      <c r="N42" s="5">
        <f t="shared" ref="N42:N65" si="19">IF(H42=0,0,L42/H42)</f>
        <v>-4.8032692307692306</v>
      </c>
      <c r="O42" s="13"/>
      <c r="P42" s="1">
        <f>SUM(OSRRefP22_2x_0)</f>
        <v>-1958.59</v>
      </c>
      <c r="Q42" s="1"/>
      <c r="R42" s="5">
        <f t="shared" ref="R42:R65" si="20">IF(P$12=0,0,P42/P$12)</f>
        <v>0</v>
      </c>
      <c r="S42" s="1"/>
      <c r="T42" s="1">
        <f>SUM(OSRRefT22_2x_0)</f>
        <v>520</v>
      </c>
      <c r="U42" s="1"/>
      <c r="V42" s="5">
        <f t="shared" ref="V42:V65" si="21">IF(T$12=0,0,T42/T$12)</f>
        <v>0</v>
      </c>
      <c r="W42" s="1"/>
      <c r="X42" s="1">
        <f t="shared" ref="X42:X65" si="22">+P42-T42</f>
        <v>-2478.59</v>
      </c>
      <c r="Y42" s="1"/>
      <c r="Z42" s="5">
        <f t="shared" ref="Z42:Z65" si="23">IF(T42=0,0,X42/T42)</f>
        <v>-4.766519230769231</v>
      </c>
    </row>
    <row r="43" spans="1:26" s="24" customFormat="1" hidden="1" outlineLevel="2" x14ac:dyDescent="0.25">
      <c r="A43" s="27"/>
      <c r="B43" s="11" t="str">
        <f>CONCATENATE("          ", "6362", " - ", "ADVERTISING EXPENSE")</f>
        <v xml:space="preserve">          6362 - ADVERTISING EXPENSE</v>
      </c>
      <c r="C43" s="11"/>
      <c r="D43" s="6">
        <v>-988.85</v>
      </c>
      <c r="E43" s="2"/>
      <c r="F43" s="7">
        <f t="shared" si="16"/>
        <v>0</v>
      </c>
      <c r="G43" s="2"/>
      <c r="H43" s="6">
        <v>260</v>
      </c>
      <c r="I43" s="2"/>
      <c r="J43" s="7">
        <f t="shared" si="17"/>
        <v>0</v>
      </c>
      <c r="K43" s="2"/>
      <c r="L43" s="6">
        <f t="shared" si="18"/>
        <v>-1248.8499999999999</v>
      </c>
      <c r="M43" s="2"/>
      <c r="N43" s="7">
        <f t="shared" si="19"/>
        <v>-4.8032692307692306</v>
      </c>
      <c r="O43" s="11"/>
      <c r="P43" s="6">
        <v>-1958.59</v>
      </c>
      <c r="Q43" s="2"/>
      <c r="R43" s="7">
        <f t="shared" si="20"/>
        <v>0</v>
      </c>
      <c r="S43" s="2"/>
      <c r="T43" s="6">
        <v>520</v>
      </c>
      <c r="U43" s="2"/>
      <c r="V43" s="7">
        <f t="shared" si="21"/>
        <v>0</v>
      </c>
      <c r="W43" s="2"/>
      <c r="X43" s="6">
        <f t="shared" si="22"/>
        <v>-2478.59</v>
      </c>
      <c r="Y43" s="2"/>
      <c r="Z43" s="7">
        <f t="shared" si="23"/>
        <v>-4.766519230769231</v>
      </c>
    </row>
    <row r="44" spans="1:26" s="26" customFormat="1" outlineLevel="1" collapsed="1" x14ac:dyDescent="0.25">
      <c r="A44" s="25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SUM(OSRRefD22_3x_0)</f>
        <v>2611.65</v>
      </c>
      <c r="E44" s="1"/>
      <c r="F44" s="5">
        <f t="shared" si="16"/>
        <v>0</v>
      </c>
      <c r="G44" s="1"/>
      <c r="H44" s="1">
        <f>SUM(OSRRefH22_3x_0)</f>
        <v>1000</v>
      </c>
      <c r="I44" s="1"/>
      <c r="J44" s="5">
        <f t="shared" si="17"/>
        <v>0</v>
      </c>
      <c r="K44" s="1"/>
      <c r="L44" s="1">
        <f t="shared" si="18"/>
        <v>1611.65</v>
      </c>
      <c r="M44" s="1"/>
      <c r="N44" s="5">
        <f t="shared" si="19"/>
        <v>1.61165</v>
      </c>
      <c r="O44" s="13"/>
      <c r="P44" s="1">
        <f>SUM(OSRRefP22_3x_0)</f>
        <v>3438.04</v>
      </c>
      <c r="Q44" s="1"/>
      <c r="R44" s="5">
        <f t="shared" si="20"/>
        <v>0</v>
      </c>
      <c r="S44" s="1"/>
      <c r="T44" s="1">
        <f>SUM(OSRRefT22_3x_0)</f>
        <v>16000</v>
      </c>
      <c r="U44" s="1"/>
      <c r="V44" s="5">
        <f t="shared" si="21"/>
        <v>0</v>
      </c>
      <c r="W44" s="1"/>
      <c r="X44" s="1">
        <f t="shared" si="22"/>
        <v>-12561.96</v>
      </c>
      <c r="Y44" s="1"/>
      <c r="Z44" s="5">
        <f t="shared" si="23"/>
        <v>-0.78512249999999995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6">
        <v>2611.65</v>
      </c>
      <c r="E45" s="2"/>
      <c r="F45" s="7">
        <f t="shared" si="16"/>
        <v>0</v>
      </c>
      <c r="G45" s="2"/>
      <c r="H45" s="6">
        <v>1000</v>
      </c>
      <c r="I45" s="2"/>
      <c r="J45" s="7">
        <f t="shared" si="17"/>
        <v>0</v>
      </c>
      <c r="K45" s="2"/>
      <c r="L45" s="6">
        <f t="shared" si="18"/>
        <v>1611.65</v>
      </c>
      <c r="M45" s="2"/>
      <c r="N45" s="7">
        <f t="shared" si="19"/>
        <v>1.61165</v>
      </c>
      <c r="O45" s="11"/>
      <c r="P45" s="6">
        <v>3438.04</v>
      </c>
      <c r="Q45" s="2"/>
      <c r="R45" s="7">
        <f t="shared" si="20"/>
        <v>0</v>
      </c>
      <c r="S45" s="2"/>
      <c r="T45" s="6">
        <v>16000</v>
      </c>
      <c r="U45" s="2"/>
      <c r="V45" s="7">
        <f t="shared" si="21"/>
        <v>0</v>
      </c>
      <c r="W45" s="2"/>
      <c r="X45" s="6">
        <f t="shared" si="22"/>
        <v>-12561.96</v>
      </c>
      <c r="Y45" s="2"/>
      <c r="Z45" s="7">
        <f t="shared" si="23"/>
        <v>-0.78512249999999995</v>
      </c>
    </row>
    <row r="46" spans="1:26" s="26" customFormat="1" outlineLevel="1" collapsed="1" x14ac:dyDescent="0.25">
      <c r="A46" s="25"/>
      <c r="B46" s="13" t="str">
        <f>CONCATENATE("     ","Board                                             ")</f>
        <v xml:space="preserve">     Board                                             </v>
      </c>
      <c r="C46" s="13"/>
      <c r="D46" s="1">
        <f>SUM(OSRRefD22_4x_0)</f>
        <v>2489.2800000000002</v>
      </c>
      <c r="E46" s="1"/>
      <c r="F46" s="5">
        <f t="shared" si="16"/>
        <v>0</v>
      </c>
      <c r="G46" s="1"/>
      <c r="H46" s="1">
        <f>SUM(OSRRefH22_4x_0)</f>
        <v>2500</v>
      </c>
      <c r="I46" s="1"/>
      <c r="J46" s="5">
        <f t="shared" si="17"/>
        <v>0</v>
      </c>
      <c r="K46" s="1"/>
      <c r="L46" s="1">
        <f t="shared" si="18"/>
        <v>-10.7199999999998</v>
      </c>
      <c r="M46" s="1"/>
      <c r="N46" s="5">
        <f t="shared" si="19"/>
        <v>-4.2879999999999203E-3</v>
      </c>
      <c r="O46" s="13"/>
      <c r="P46" s="1">
        <f>SUM(OSRRefP22_4x_0)</f>
        <v>4914.68</v>
      </c>
      <c r="Q46" s="1"/>
      <c r="R46" s="5">
        <f t="shared" si="20"/>
        <v>0</v>
      </c>
      <c r="S46" s="1"/>
      <c r="T46" s="1">
        <f>SUM(OSRRefT22_4x_0)</f>
        <v>4700</v>
      </c>
      <c r="U46" s="1"/>
      <c r="V46" s="5">
        <f t="shared" si="21"/>
        <v>0</v>
      </c>
      <c r="W46" s="1"/>
      <c r="X46" s="1">
        <f t="shared" si="22"/>
        <v>214.68000000000029</v>
      </c>
      <c r="Y46" s="1"/>
      <c r="Z46" s="5">
        <f t="shared" si="23"/>
        <v>4.5676595744680915E-2</v>
      </c>
    </row>
    <row r="47" spans="1:26" s="24" customFormat="1" hidden="1" outlineLevel="2" x14ac:dyDescent="0.25">
      <c r="A47" s="27"/>
      <c r="B47" s="11" t="str">
        <f>CONCATENATE("          ", "6397", " - ", "BOARD EXPENSES")</f>
        <v xml:space="preserve">          6397 - BOARD EXPENSES</v>
      </c>
      <c r="C47" s="11"/>
      <c r="D47" s="6">
        <v>2489.2800000000002</v>
      </c>
      <c r="E47" s="2"/>
      <c r="F47" s="7">
        <f t="shared" si="16"/>
        <v>0</v>
      </c>
      <c r="G47" s="2"/>
      <c r="H47" s="6">
        <v>2500</v>
      </c>
      <c r="I47" s="2"/>
      <c r="J47" s="7">
        <f t="shared" si="17"/>
        <v>0</v>
      </c>
      <c r="K47" s="2"/>
      <c r="L47" s="6">
        <f t="shared" si="18"/>
        <v>-10.7199999999998</v>
      </c>
      <c r="M47" s="2"/>
      <c r="N47" s="7">
        <f t="shared" si="19"/>
        <v>-4.2879999999999203E-3</v>
      </c>
      <c r="O47" s="11"/>
      <c r="P47" s="6">
        <v>4914.68</v>
      </c>
      <c r="Q47" s="2"/>
      <c r="R47" s="7">
        <f t="shared" si="20"/>
        <v>0</v>
      </c>
      <c r="S47" s="2"/>
      <c r="T47" s="6">
        <v>4700</v>
      </c>
      <c r="U47" s="2"/>
      <c r="V47" s="7">
        <f t="shared" si="21"/>
        <v>0</v>
      </c>
      <c r="W47" s="2"/>
      <c r="X47" s="6">
        <f t="shared" si="22"/>
        <v>214.68000000000029</v>
      </c>
      <c r="Y47" s="2"/>
      <c r="Z47" s="7">
        <f t="shared" si="23"/>
        <v>4.5676595744680915E-2</v>
      </c>
    </row>
    <row r="48" spans="1:26" s="26" customFormat="1" outlineLevel="1" collapsed="1" x14ac:dyDescent="0.25">
      <c r="A48" s="25"/>
      <c r="B48" s="13" t="str">
        <f>CONCATENATE("     ","Depreciation                                      ")</f>
        <v xml:space="preserve">     Depreciation                                      </v>
      </c>
      <c r="C48" s="13"/>
      <c r="D48" s="1">
        <f>SUM(OSRRefD22_5x_0)</f>
        <v>8599.93</v>
      </c>
      <c r="E48" s="1"/>
      <c r="F48" s="5">
        <f t="shared" si="16"/>
        <v>0</v>
      </c>
      <c r="G48" s="1"/>
      <c r="H48" s="1">
        <f>SUM(OSRRefH22_5x_0)</f>
        <v>8593</v>
      </c>
      <c r="I48" s="1"/>
      <c r="J48" s="5">
        <f t="shared" si="17"/>
        <v>0</v>
      </c>
      <c r="K48" s="1"/>
      <c r="L48" s="1">
        <f t="shared" si="18"/>
        <v>6.930000000000291</v>
      </c>
      <c r="M48" s="1"/>
      <c r="N48" s="5">
        <f t="shared" si="19"/>
        <v>8.0647038286981159E-4</v>
      </c>
      <c r="O48" s="13"/>
      <c r="P48" s="1">
        <f>SUM(OSRRefP22_5x_0)</f>
        <v>17199.86</v>
      </c>
      <c r="Q48" s="1"/>
      <c r="R48" s="5">
        <f t="shared" si="20"/>
        <v>0</v>
      </c>
      <c r="S48" s="1"/>
      <c r="T48" s="1">
        <f>SUM(OSRRefT22_5x_0)</f>
        <v>17186</v>
      </c>
      <c r="U48" s="1"/>
      <c r="V48" s="5">
        <f t="shared" si="21"/>
        <v>0</v>
      </c>
      <c r="W48" s="1"/>
      <c r="X48" s="1">
        <f t="shared" si="22"/>
        <v>13.860000000000582</v>
      </c>
      <c r="Y48" s="1"/>
      <c r="Z48" s="5">
        <f t="shared" si="23"/>
        <v>8.0647038286981159E-4</v>
      </c>
    </row>
    <row r="49" spans="1:26" s="24" customFormat="1" hidden="1" outlineLevel="2" x14ac:dyDescent="0.25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8599.93</v>
      </c>
      <c r="E49" s="2"/>
      <c r="F49" s="7">
        <f t="shared" si="16"/>
        <v>0</v>
      </c>
      <c r="G49" s="2"/>
      <c r="H49" s="6">
        <v>8593</v>
      </c>
      <c r="I49" s="2"/>
      <c r="J49" s="7">
        <f t="shared" si="17"/>
        <v>0</v>
      </c>
      <c r="K49" s="2"/>
      <c r="L49" s="6">
        <f t="shared" si="18"/>
        <v>6.930000000000291</v>
      </c>
      <c r="M49" s="2"/>
      <c r="N49" s="7">
        <f t="shared" si="19"/>
        <v>8.0647038286981159E-4</v>
      </c>
      <c r="O49" s="11"/>
      <c r="P49" s="6">
        <v>17199.86</v>
      </c>
      <c r="Q49" s="2"/>
      <c r="R49" s="7">
        <f t="shared" si="20"/>
        <v>0</v>
      </c>
      <c r="S49" s="2"/>
      <c r="T49" s="6">
        <v>17186</v>
      </c>
      <c r="U49" s="2"/>
      <c r="V49" s="7">
        <f t="shared" si="21"/>
        <v>0</v>
      </c>
      <c r="W49" s="2"/>
      <c r="X49" s="6">
        <f t="shared" si="22"/>
        <v>13.860000000000582</v>
      </c>
      <c r="Y49" s="2"/>
      <c r="Z49" s="7">
        <f t="shared" si="23"/>
        <v>8.0647038286981159E-4</v>
      </c>
    </row>
    <row r="50" spans="1:26" s="26" customFormat="1" outlineLevel="1" collapsed="1" x14ac:dyDescent="0.25">
      <c r="A50" s="25"/>
      <c r="B50" s="13" t="str">
        <f>CONCATENATE("     ","Donations                                         ")</f>
        <v xml:space="preserve">     Donations                                         </v>
      </c>
      <c r="C50" s="13"/>
      <c r="D50" s="1">
        <f>SUM(OSRRefD22_6x_0)</f>
        <v>110000.75</v>
      </c>
      <c r="E50" s="1"/>
      <c r="F50" s="5">
        <f t="shared" si="16"/>
        <v>0</v>
      </c>
      <c r="G50" s="1"/>
      <c r="H50" s="1">
        <f>SUM(OSRRefH22_6x_0)</f>
        <v>300000</v>
      </c>
      <c r="I50" s="1"/>
      <c r="J50" s="5">
        <f t="shared" si="17"/>
        <v>0</v>
      </c>
      <c r="K50" s="1"/>
      <c r="L50" s="1">
        <f t="shared" si="18"/>
        <v>-189999.25</v>
      </c>
      <c r="M50" s="1"/>
      <c r="N50" s="5">
        <f t="shared" si="19"/>
        <v>-0.63333083333333329</v>
      </c>
      <c r="O50" s="13"/>
      <c r="P50" s="1">
        <f>SUM(OSRRefP22_6x_0)</f>
        <v>111668.6</v>
      </c>
      <c r="Q50" s="1"/>
      <c r="R50" s="5">
        <f t="shared" si="20"/>
        <v>0</v>
      </c>
      <c r="S50" s="1"/>
      <c r="T50" s="1">
        <f>SUM(OSRRefT22_6x_0)</f>
        <v>326500</v>
      </c>
      <c r="U50" s="1"/>
      <c r="V50" s="5">
        <f t="shared" si="21"/>
        <v>0</v>
      </c>
      <c r="W50" s="1"/>
      <c r="X50" s="1">
        <f t="shared" si="22"/>
        <v>-214831.4</v>
      </c>
      <c r="Y50" s="1"/>
      <c r="Z50" s="5">
        <f t="shared" si="23"/>
        <v>-0.65798284839203669</v>
      </c>
    </row>
    <row r="51" spans="1:26" s="24" customFormat="1" hidden="1" outlineLevel="2" x14ac:dyDescent="0.25">
      <c r="A51" s="27"/>
      <c r="B51" s="11" t="str">
        <f>CONCATENATE("          ", "6399", " - ", "DONATION-ON CAMPUS")</f>
        <v xml:space="preserve">          6399 - DONATION-ON CAMPUS</v>
      </c>
      <c r="C51" s="11"/>
      <c r="D51" s="6">
        <v>110000.75</v>
      </c>
      <c r="E51" s="2"/>
      <c r="F51" s="7">
        <f t="shared" si="16"/>
        <v>0</v>
      </c>
      <c r="G51" s="2"/>
      <c r="H51" s="6">
        <v>300000</v>
      </c>
      <c r="I51" s="2"/>
      <c r="J51" s="7">
        <f t="shared" si="17"/>
        <v>0</v>
      </c>
      <c r="K51" s="2"/>
      <c r="L51" s="6">
        <f t="shared" si="18"/>
        <v>-189999.25</v>
      </c>
      <c r="M51" s="2"/>
      <c r="N51" s="7">
        <f t="shared" si="19"/>
        <v>-0.63333083333333329</v>
      </c>
      <c r="O51" s="11"/>
      <c r="P51" s="6">
        <v>111668.6</v>
      </c>
      <c r="Q51" s="2"/>
      <c r="R51" s="7">
        <f t="shared" si="20"/>
        <v>0</v>
      </c>
      <c r="S51" s="2"/>
      <c r="T51" s="6">
        <v>326500</v>
      </c>
      <c r="U51" s="2"/>
      <c r="V51" s="7">
        <f t="shared" si="21"/>
        <v>0</v>
      </c>
      <c r="W51" s="2"/>
      <c r="X51" s="6">
        <f t="shared" si="22"/>
        <v>-214831.4</v>
      </c>
      <c r="Y51" s="2"/>
      <c r="Z51" s="7">
        <f t="shared" si="23"/>
        <v>-0.65798284839203669</v>
      </c>
    </row>
    <row r="52" spans="1:26" s="26" customFormat="1" outlineLevel="1" collapsed="1" x14ac:dyDescent="0.25">
      <c r="A52" s="25"/>
      <c r="B52" s="13" t="str">
        <f>CONCATENATE("     ","Employees' Appreciation                           ")</f>
        <v xml:space="preserve">     Employees' Appreciation                           </v>
      </c>
      <c r="C52" s="13"/>
      <c r="D52" s="1">
        <f>SUM(OSRRefD22_7x_0)</f>
        <v>5979.54</v>
      </c>
      <c r="E52" s="1"/>
      <c r="F52" s="5">
        <f t="shared" si="16"/>
        <v>0</v>
      </c>
      <c r="G52" s="1"/>
      <c r="H52" s="1">
        <f>SUM(OSRRefH22_7x_0)</f>
        <v>908</v>
      </c>
      <c r="I52" s="1"/>
      <c r="J52" s="5">
        <f t="shared" si="17"/>
        <v>0</v>
      </c>
      <c r="K52" s="1"/>
      <c r="L52" s="1">
        <f t="shared" si="18"/>
        <v>5071.54</v>
      </c>
      <c r="M52" s="1"/>
      <c r="N52" s="5">
        <f t="shared" si="19"/>
        <v>5.5853964757709251</v>
      </c>
      <c r="O52" s="13"/>
      <c r="P52" s="1">
        <f>SUM(OSRRefP22_7x_0)</f>
        <v>11127.12</v>
      </c>
      <c r="Q52" s="1"/>
      <c r="R52" s="5">
        <f t="shared" si="20"/>
        <v>0</v>
      </c>
      <c r="S52" s="1"/>
      <c r="T52" s="1">
        <f>SUM(OSRRefT22_7x_0)</f>
        <v>11816</v>
      </c>
      <c r="U52" s="1"/>
      <c r="V52" s="5">
        <f t="shared" si="21"/>
        <v>0</v>
      </c>
      <c r="W52" s="1"/>
      <c r="X52" s="1">
        <f t="shared" si="22"/>
        <v>-688.8799999999992</v>
      </c>
      <c r="Y52" s="1"/>
      <c r="Z52" s="5">
        <f t="shared" si="23"/>
        <v>-5.8300609343263303E-2</v>
      </c>
    </row>
    <row r="53" spans="1:26" s="24" customFormat="1" hidden="1" outlineLevel="2" x14ac:dyDescent="0.25">
      <c r="A53" s="27"/>
      <c r="B53" s="11" t="str">
        <f>CONCATENATE("          ", "6277", " - ", "EMPLOYEE APPRECIATION")</f>
        <v xml:space="preserve">          6277 - EMPLOYEE APPRECIATION</v>
      </c>
      <c r="C53" s="11"/>
      <c r="D53" s="6">
        <v>5979.54</v>
      </c>
      <c r="E53" s="2"/>
      <c r="F53" s="7">
        <f t="shared" si="16"/>
        <v>0</v>
      </c>
      <c r="G53" s="2"/>
      <c r="H53" s="6">
        <v>908</v>
      </c>
      <c r="I53" s="2"/>
      <c r="J53" s="7">
        <f t="shared" si="17"/>
        <v>0</v>
      </c>
      <c r="K53" s="2"/>
      <c r="L53" s="6">
        <f t="shared" si="18"/>
        <v>5071.54</v>
      </c>
      <c r="M53" s="2"/>
      <c r="N53" s="7">
        <f t="shared" si="19"/>
        <v>5.5853964757709251</v>
      </c>
      <c r="O53" s="11"/>
      <c r="P53" s="6">
        <v>11127.12</v>
      </c>
      <c r="Q53" s="2"/>
      <c r="R53" s="7">
        <f t="shared" si="20"/>
        <v>0</v>
      </c>
      <c r="S53" s="2"/>
      <c r="T53" s="6">
        <v>11816</v>
      </c>
      <c r="U53" s="2"/>
      <c r="V53" s="7">
        <f t="shared" si="21"/>
        <v>0</v>
      </c>
      <c r="W53" s="2"/>
      <c r="X53" s="6">
        <f t="shared" si="22"/>
        <v>-688.8799999999992</v>
      </c>
      <c r="Y53" s="2"/>
      <c r="Z53" s="7">
        <f t="shared" si="23"/>
        <v>-5.8300609343263303E-2</v>
      </c>
    </row>
    <row r="54" spans="1:26" s="26" customFormat="1" outlineLevel="1" collapsed="1" x14ac:dyDescent="0.25">
      <c r="A54" s="25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SUM(OSRRefD22_8x_0)</f>
        <v>300.24</v>
      </c>
      <c r="E54" s="1"/>
      <c r="F54" s="5">
        <f t="shared" si="16"/>
        <v>0</v>
      </c>
      <c r="G54" s="1"/>
      <c r="H54" s="1">
        <f>SUM(OSRRefH22_8x_0)</f>
        <v>299</v>
      </c>
      <c r="I54" s="1"/>
      <c r="J54" s="5">
        <f t="shared" si="17"/>
        <v>0</v>
      </c>
      <c r="K54" s="1"/>
      <c r="L54" s="1">
        <f t="shared" si="18"/>
        <v>1.2400000000000091</v>
      </c>
      <c r="M54" s="1"/>
      <c r="N54" s="5">
        <f t="shared" si="19"/>
        <v>4.1471571906354816E-3</v>
      </c>
      <c r="O54" s="13"/>
      <c r="P54" s="1">
        <f>SUM(OSRRefP22_8x_0)</f>
        <v>600.48</v>
      </c>
      <c r="Q54" s="1"/>
      <c r="R54" s="5">
        <f t="shared" si="20"/>
        <v>0</v>
      </c>
      <c r="S54" s="1"/>
      <c r="T54" s="1">
        <f>SUM(OSRRefT22_8x_0)</f>
        <v>508</v>
      </c>
      <c r="U54" s="1"/>
      <c r="V54" s="5">
        <f t="shared" si="21"/>
        <v>0</v>
      </c>
      <c r="W54" s="1"/>
      <c r="X54" s="1">
        <f t="shared" si="22"/>
        <v>92.480000000000018</v>
      </c>
      <c r="Y54" s="1"/>
      <c r="Z54" s="5">
        <f t="shared" si="23"/>
        <v>0.18204724409448822</v>
      </c>
    </row>
    <row r="55" spans="1:26" s="24" customFormat="1" hidden="1" outlineLevel="2" x14ac:dyDescent="0.25">
      <c r="A55" s="27"/>
      <c r="B55" s="11" t="str">
        <f>CONCATENATE("          ", "6351", " - ", "EQUIPMENT RENTAL")</f>
        <v xml:space="preserve">          6351 - EQUIPMENT RENTAL</v>
      </c>
      <c r="C55" s="11"/>
      <c r="D55" s="6">
        <v>300.24</v>
      </c>
      <c r="E55" s="2"/>
      <c r="F55" s="7">
        <f t="shared" si="16"/>
        <v>0</v>
      </c>
      <c r="G55" s="2"/>
      <c r="H55" s="6">
        <v>299</v>
      </c>
      <c r="I55" s="2"/>
      <c r="J55" s="7">
        <f t="shared" si="17"/>
        <v>0</v>
      </c>
      <c r="K55" s="2"/>
      <c r="L55" s="6">
        <f t="shared" si="18"/>
        <v>1.2400000000000091</v>
      </c>
      <c r="M55" s="2"/>
      <c r="N55" s="7">
        <f t="shared" si="19"/>
        <v>4.1471571906354816E-3</v>
      </c>
      <c r="O55" s="11"/>
      <c r="P55" s="6">
        <v>600.48</v>
      </c>
      <c r="Q55" s="2"/>
      <c r="R55" s="7">
        <f t="shared" si="20"/>
        <v>0</v>
      </c>
      <c r="S55" s="2"/>
      <c r="T55" s="6">
        <v>508</v>
      </c>
      <c r="U55" s="2"/>
      <c r="V55" s="7">
        <f t="shared" si="21"/>
        <v>0</v>
      </c>
      <c r="W55" s="2"/>
      <c r="X55" s="6">
        <f t="shared" si="22"/>
        <v>92.480000000000018</v>
      </c>
      <c r="Y55" s="2"/>
      <c r="Z55" s="7">
        <f t="shared" si="23"/>
        <v>0.18204724409448822</v>
      </c>
    </row>
    <row r="56" spans="1:26" s="26" customFormat="1" outlineLevel="1" collapsed="1" x14ac:dyDescent="0.25">
      <c r="A56" s="25"/>
      <c r="B56" s="13" t="str">
        <f>CONCATENATE("     ","Freight out/Postage                               ")</f>
        <v xml:space="preserve">     Freight out/Postage                               </v>
      </c>
      <c r="C56" s="13"/>
      <c r="D56" s="1">
        <f>SUM(OSRRefD22_9x_0)</f>
        <v>238.85</v>
      </c>
      <c r="E56" s="1"/>
      <c r="F56" s="5">
        <f t="shared" si="16"/>
        <v>0</v>
      </c>
      <c r="G56" s="1"/>
      <c r="H56" s="1">
        <f>SUM(OSRRefH22_9x_0)</f>
        <v>245</v>
      </c>
      <c r="I56" s="1"/>
      <c r="J56" s="5">
        <f t="shared" si="17"/>
        <v>0</v>
      </c>
      <c r="K56" s="1"/>
      <c r="L56" s="1">
        <f t="shared" si="18"/>
        <v>-6.1500000000000057</v>
      </c>
      <c r="M56" s="1"/>
      <c r="N56" s="5">
        <f t="shared" si="19"/>
        <v>-2.5102040816326554E-2</v>
      </c>
      <c r="O56" s="13"/>
      <c r="P56" s="1">
        <f>SUM(OSRRefP22_9x_0)</f>
        <v>347.5</v>
      </c>
      <c r="Q56" s="1"/>
      <c r="R56" s="5">
        <f t="shared" si="20"/>
        <v>0</v>
      </c>
      <c r="S56" s="1"/>
      <c r="T56" s="1">
        <f>SUM(OSRRefT22_9x_0)</f>
        <v>395</v>
      </c>
      <c r="U56" s="1"/>
      <c r="V56" s="5">
        <f t="shared" si="21"/>
        <v>0</v>
      </c>
      <c r="W56" s="1"/>
      <c r="X56" s="1">
        <f t="shared" si="22"/>
        <v>-47.5</v>
      </c>
      <c r="Y56" s="1"/>
      <c r="Z56" s="5">
        <f t="shared" si="23"/>
        <v>-0.12025316455696203</v>
      </c>
    </row>
    <row r="57" spans="1:26" s="24" customFormat="1" hidden="1" outlineLevel="2" x14ac:dyDescent="0.25">
      <c r="A57" s="27"/>
      <c r="B57" s="11" t="str">
        <f>CONCATENATE("          ", "6307", " - ", "POSTAGE")</f>
        <v xml:space="preserve">          6307 - POSTAGE</v>
      </c>
      <c r="C57" s="11"/>
      <c r="D57" s="6">
        <v>238.85</v>
      </c>
      <c r="E57" s="2"/>
      <c r="F57" s="7">
        <f t="shared" si="16"/>
        <v>0</v>
      </c>
      <c r="G57" s="2"/>
      <c r="H57" s="6">
        <v>245</v>
      </c>
      <c r="I57" s="2"/>
      <c r="J57" s="7">
        <f t="shared" si="17"/>
        <v>0</v>
      </c>
      <c r="K57" s="2"/>
      <c r="L57" s="6">
        <f t="shared" si="18"/>
        <v>-6.1500000000000057</v>
      </c>
      <c r="M57" s="2"/>
      <c r="N57" s="7">
        <f t="shared" si="19"/>
        <v>-2.5102040816326554E-2</v>
      </c>
      <c r="O57" s="11"/>
      <c r="P57" s="6">
        <v>347.5</v>
      </c>
      <c r="Q57" s="2"/>
      <c r="R57" s="7">
        <f t="shared" si="20"/>
        <v>0</v>
      </c>
      <c r="S57" s="2"/>
      <c r="T57" s="6">
        <v>395</v>
      </c>
      <c r="U57" s="2"/>
      <c r="V57" s="7">
        <f t="shared" si="21"/>
        <v>0</v>
      </c>
      <c r="W57" s="2"/>
      <c r="X57" s="6">
        <f t="shared" si="22"/>
        <v>-47.5</v>
      </c>
      <c r="Y57" s="2"/>
      <c r="Z57" s="7">
        <f t="shared" si="23"/>
        <v>-0.12025316455696203</v>
      </c>
    </row>
    <row r="58" spans="1:26" s="26" customFormat="1" outlineLevel="1" collapsed="1" x14ac:dyDescent="0.25">
      <c r="A58" s="25"/>
      <c r="B58" s="13" t="str">
        <f>CONCATENATE("     ","General                                           ")</f>
        <v xml:space="preserve">     General                                           </v>
      </c>
      <c r="C58" s="13"/>
      <c r="D58" s="1">
        <f>SUM(OSRRefD22_10x_0)</f>
        <v>2250</v>
      </c>
      <c r="E58" s="1"/>
      <c r="F58" s="5">
        <f t="shared" si="16"/>
        <v>0</v>
      </c>
      <c r="G58" s="1"/>
      <c r="H58" s="1">
        <f>SUM(OSRRefH22_10x_0)</f>
        <v>-85</v>
      </c>
      <c r="I58" s="1"/>
      <c r="J58" s="5">
        <f t="shared" si="17"/>
        <v>0</v>
      </c>
      <c r="K58" s="1"/>
      <c r="L58" s="1">
        <f t="shared" si="18"/>
        <v>2335</v>
      </c>
      <c r="M58" s="1"/>
      <c r="N58" s="5">
        <f t="shared" si="19"/>
        <v>-27.470588235294116</v>
      </c>
      <c r="O58" s="13"/>
      <c r="P58" s="1">
        <f>SUM(OSRRefP22_10x_0)</f>
        <v>2280.62</v>
      </c>
      <c r="Q58" s="1"/>
      <c r="R58" s="5">
        <f t="shared" si="20"/>
        <v>0</v>
      </c>
      <c r="S58" s="1"/>
      <c r="T58" s="1">
        <f>SUM(OSRRefT22_10x_0)</f>
        <v>-560</v>
      </c>
      <c r="U58" s="1"/>
      <c r="V58" s="5">
        <f t="shared" si="21"/>
        <v>0</v>
      </c>
      <c r="W58" s="1"/>
      <c r="X58" s="1">
        <f t="shared" si="22"/>
        <v>2840.62</v>
      </c>
      <c r="Y58" s="1"/>
      <c r="Z58" s="5">
        <f t="shared" si="23"/>
        <v>-5.0725357142857144</v>
      </c>
    </row>
    <row r="59" spans="1:26" s="24" customFormat="1" hidden="1" outlineLevel="2" x14ac:dyDescent="0.25">
      <c r="A59" s="27"/>
      <c r="B59" s="11" t="str">
        <f>CONCATENATE("          ", "6279", " - ", "GENERAL EXPENSE")</f>
        <v xml:space="preserve">          6279 - GENERAL EXPENSE</v>
      </c>
      <c r="C59" s="11"/>
      <c r="D59" s="6">
        <v>2250</v>
      </c>
      <c r="E59" s="2"/>
      <c r="F59" s="7">
        <f t="shared" si="16"/>
        <v>0</v>
      </c>
      <c r="G59" s="2"/>
      <c r="H59" s="6">
        <v>-85</v>
      </c>
      <c r="I59" s="2"/>
      <c r="J59" s="7">
        <f t="shared" si="17"/>
        <v>0</v>
      </c>
      <c r="K59" s="2"/>
      <c r="L59" s="6">
        <f t="shared" si="18"/>
        <v>2335</v>
      </c>
      <c r="M59" s="2"/>
      <c r="N59" s="7">
        <f t="shared" si="19"/>
        <v>-27.470588235294116</v>
      </c>
      <c r="O59" s="11"/>
      <c r="P59" s="6">
        <v>2280.62</v>
      </c>
      <c r="Q59" s="2"/>
      <c r="R59" s="7">
        <f t="shared" si="20"/>
        <v>0</v>
      </c>
      <c r="S59" s="2"/>
      <c r="T59" s="6">
        <v>-560</v>
      </c>
      <c r="U59" s="2"/>
      <c r="V59" s="7">
        <f t="shared" si="21"/>
        <v>0</v>
      </c>
      <c r="W59" s="2"/>
      <c r="X59" s="6">
        <f t="shared" si="22"/>
        <v>2840.62</v>
      </c>
      <c r="Y59" s="2"/>
      <c r="Z59" s="7">
        <f t="shared" si="23"/>
        <v>-5.0725357142857144</v>
      </c>
    </row>
    <row r="60" spans="1:26" s="26" customFormat="1" outlineLevel="1" collapsed="1" x14ac:dyDescent="0.25">
      <c r="A60" s="25"/>
      <c r="B60" s="13" t="str">
        <f>CONCATENATE("     ","Insurance                                         ")</f>
        <v xml:space="preserve">     Insurance                                         </v>
      </c>
      <c r="C60" s="13"/>
      <c r="D60" s="1">
        <f>SUM(OSRRefD22_11x_0)</f>
        <v>393.67</v>
      </c>
      <c r="E60" s="1"/>
      <c r="F60" s="5">
        <f t="shared" si="16"/>
        <v>0</v>
      </c>
      <c r="G60" s="1"/>
      <c r="H60" s="1">
        <f>SUM(OSRRefH22_11x_0)</f>
        <v>380</v>
      </c>
      <c r="I60" s="1"/>
      <c r="J60" s="5">
        <f t="shared" si="17"/>
        <v>0</v>
      </c>
      <c r="K60" s="1"/>
      <c r="L60" s="1">
        <f t="shared" si="18"/>
        <v>13.670000000000016</v>
      </c>
      <c r="M60" s="1"/>
      <c r="N60" s="5">
        <f t="shared" si="19"/>
        <v>3.5973684210526359E-2</v>
      </c>
      <c r="O60" s="13"/>
      <c r="P60" s="1">
        <f>SUM(OSRRefP22_11x_0)</f>
        <v>787.34</v>
      </c>
      <c r="Q60" s="1"/>
      <c r="R60" s="5">
        <f t="shared" si="20"/>
        <v>0</v>
      </c>
      <c r="S60" s="1"/>
      <c r="T60" s="1">
        <f>SUM(OSRRefT22_11x_0)</f>
        <v>760</v>
      </c>
      <c r="U60" s="1"/>
      <c r="V60" s="5">
        <f t="shared" si="21"/>
        <v>0</v>
      </c>
      <c r="W60" s="1"/>
      <c r="X60" s="1">
        <f t="shared" si="22"/>
        <v>27.340000000000032</v>
      </c>
      <c r="Y60" s="1"/>
      <c r="Z60" s="5">
        <f t="shared" si="23"/>
        <v>3.5973684210526359E-2</v>
      </c>
    </row>
    <row r="61" spans="1:26" s="24" customFormat="1" hidden="1" outlineLevel="2" x14ac:dyDescent="0.25">
      <c r="A61" s="27"/>
      <c r="B61" s="11" t="str">
        <f>CONCATENATE("          ", "6314", " - ", "LIABILITY INSURANCE")</f>
        <v xml:space="preserve">          6314 - LIABILITY INSURANCE</v>
      </c>
      <c r="C61" s="11"/>
      <c r="D61" s="6">
        <v>393.67</v>
      </c>
      <c r="E61" s="2"/>
      <c r="F61" s="7">
        <f t="shared" si="16"/>
        <v>0</v>
      </c>
      <c r="G61" s="2"/>
      <c r="H61" s="6">
        <v>380</v>
      </c>
      <c r="I61" s="2"/>
      <c r="J61" s="7">
        <f t="shared" si="17"/>
        <v>0</v>
      </c>
      <c r="K61" s="2"/>
      <c r="L61" s="6">
        <f t="shared" si="18"/>
        <v>13.670000000000016</v>
      </c>
      <c r="M61" s="2"/>
      <c r="N61" s="7">
        <f t="shared" si="19"/>
        <v>3.5973684210526359E-2</v>
      </c>
      <c r="O61" s="11"/>
      <c r="P61" s="6">
        <v>787.34</v>
      </c>
      <c r="Q61" s="2"/>
      <c r="R61" s="7">
        <f t="shared" si="20"/>
        <v>0</v>
      </c>
      <c r="S61" s="2"/>
      <c r="T61" s="6">
        <v>760</v>
      </c>
      <c r="U61" s="2"/>
      <c r="V61" s="7">
        <f t="shared" si="21"/>
        <v>0</v>
      </c>
      <c r="W61" s="2"/>
      <c r="X61" s="6">
        <f t="shared" si="22"/>
        <v>27.340000000000032</v>
      </c>
      <c r="Y61" s="2"/>
      <c r="Z61" s="7">
        <f t="shared" si="23"/>
        <v>3.5973684210526359E-2</v>
      </c>
    </row>
    <row r="62" spans="1:26" s="26" customFormat="1" outlineLevel="1" collapsed="1" x14ac:dyDescent="0.25">
      <c r="A62" s="25"/>
      <c r="B62" s="13" t="str">
        <f>CONCATENATE("     ","Interest                                          ")</f>
        <v xml:space="preserve">     Interest                                          </v>
      </c>
      <c r="C62" s="13"/>
      <c r="D62" s="1">
        <f>SUM(OSRRefD22_12x_0)</f>
        <v>0</v>
      </c>
      <c r="E62" s="1"/>
      <c r="F62" s="5">
        <f t="shared" si="16"/>
        <v>0</v>
      </c>
      <c r="G62" s="1"/>
      <c r="H62" s="1">
        <f>SUM(OSRRefH22_12x_0)</f>
        <v>0</v>
      </c>
      <c r="I62" s="1"/>
      <c r="J62" s="5">
        <f t="shared" si="17"/>
        <v>0</v>
      </c>
      <c r="K62" s="1"/>
      <c r="L62" s="1">
        <f t="shared" si="18"/>
        <v>0</v>
      </c>
      <c r="M62" s="1"/>
      <c r="N62" s="5">
        <f t="shared" si="19"/>
        <v>0</v>
      </c>
      <c r="O62" s="13"/>
      <c r="P62" s="1">
        <f>SUM(OSRRefP22_12x_0)</f>
        <v>0</v>
      </c>
      <c r="Q62" s="1"/>
      <c r="R62" s="5">
        <f t="shared" si="20"/>
        <v>0</v>
      </c>
      <c r="S62" s="1"/>
      <c r="T62" s="1">
        <f>SUM(OSRRefT22_12x_0)</f>
        <v>0</v>
      </c>
      <c r="U62" s="1"/>
      <c r="V62" s="5">
        <f t="shared" si="21"/>
        <v>0</v>
      </c>
      <c r="W62" s="1"/>
      <c r="X62" s="1">
        <f t="shared" si="22"/>
        <v>0</v>
      </c>
      <c r="Y62" s="1"/>
      <c r="Z62" s="5">
        <f t="shared" si="23"/>
        <v>0</v>
      </c>
    </row>
    <row r="63" spans="1:26" s="24" customFormat="1" hidden="1" outlineLevel="2" x14ac:dyDescent="0.25">
      <c r="A63" s="27"/>
      <c r="B63" s="11" t="str">
        <f>CONCATENATE("          ", "6401", " - ", "INTEREST EXPENSE")</f>
        <v xml:space="preserve">          6401 - INTEREST EXPENSE</v>
      </c>
      <c r="C63" s="11"/>
      <c r="D63" s="6"/>
      <c r="E63" s="2"/>
      <c r="F63" s="7">
        <f t="shared" si="16"/>
        <v>0</v>
      </c>
      <c r="G63" s="2"/>
      <c r="H63" s="6">
        <v>0</v>
      </c>
      <c r="I63" s="2"/>
      <c r="J63" s="7">
        <f t="shared" si="17"/>
        <v>0</v>
      </c>
      <c r="K63" s="2"/>
      <c r="L63" s="6">
        <f t="shared" si="18"/>
        <v>0</v>
      </c>
      <c r="M63" s="2"/>
      <c r="N63" s="7">
        <f t="shared" si="19"/>
        <v>0</v>
      </c>
      <c r="O63" s="11"/>
      <c r="P63" s="6"/>
      <c r="Q63" s="2"/>
      <c r="R63" s="7">
        <f t="shared" si="20"/>
        <v>0</v>
      </c>
      <c r="S63" s="2"/>
      <c r="T63" s="6">
        <v>0</v>
      </c>
      <c r="U63" s="2"/>
      <c r="V63" s="7">
        <f t="shared" si="21"/>
        <v>0</v>
      </c>
      <c r="W63" s="2"/>
      <c r="X63" s="6">
        <f t="shared" si="22"/>
        <v>0</v>
      </c>
      <c r="Y63" s="2"/>
      <c r="Z63" s="7">
        <f t="shared" si="23"/>
        <v>0</v>
      </c>
    </row>
    <row r="64" spans="1:26" s="24" customFormat="1" hidden="1" outlineLevel="2" x14ac:dyDescent="0.25">
      <c r="A64" s="27"/>
      <c r="B64" s="11" t="str">
        <f>CONCATENATE("          ", "6402", " - ", "INTEREST EXPENSE BOND ISSUANCE")</f>
        <v xml:space="preserve">          6402 - INTEREST EXPENSE BOND ISSUANCE</v>
      </c>
      <c r="C64" s="11"/>
      <c r="D64" s="6"/>
      <c r="E64" s="2"/>
      <c r="F64" s="7">
        <f t="shared" si="16"/>
        <v>0</v>
      </c>
      <c r="G64" s="2"/>
      <c r="H64" s="6">
        <v>0</v>
      </c>
      <c r="I64" s="2"/>
      <c r="J64" s="7">
        <f t="shared" si="17"/>
        <v>0</v>
      </c>
      <c r="K64" s="2"/>
      <c r="L64" s="6">
        <f t="shared" si="18"/>
        <v>0</v>
      </c>
      <c r="M64" s="2"/>
      <c r="N64" s="7">
        <f t="shared" si="19"/>
        <v>0</v>
      </c>
      <c r="O64" s="11"/>
      <c r="P64" s="6"/>
      <c r="Q64" s="2"/>
      <c r="R64" s="7">
        <f t="shared" si="20"/>
        <v>0</v>
      </c>
      <c r="S64" s="2"/>
      <c r="T64" s="6">
        <v>0</v>
      </c>
      <c r="U64" s="2"/>
      <c r="V64" s="7">
        <f t="shared" si="21"/>
        <v>0</v>
      </c>
      <c r="W64" s="2"/>
      <c r="X64" s="6">
        <f t="shared" si="22"/>
        <v>0</v>
      </c>
      <c r="Y64" s="2"/>
      <c r="Z64" s="7">
        <f t="shared" si="23"/>
        <v>0</v>
      </c>
    </row>
    <row r="65" spans="1:26" s="24" customFormat="1" hidden="1" outlineLevel="2" x14ac:dyDescent="0.25">
      <c r="A65" s="27"/>
      <c r="B65" s="11" t="str">
        <f>CONCATENATE("          ", "6403", " - ", "INTEREST EXPENSE LEASE EQUIP")</f>
        <v xml:space="preserve">          6403 - INTEREST EXPENSE LEASE EQUIP</v>
      </c>
      <c r="C65" s="11"/>
      <c r="D65" s="6"/>
      <c r="E65" s="2"/>
      <c r="F65" s="7">
        <f t="shared" si="16"/>
        <v>0</v>
      </c>
      <c r="G65" s="2"/>
      <c r="H65" s="6">
        <v>0</v>
      </c>
      <c r="I65" s="2"/>
      <c r="J65" s="7">
        <f t="shared" si="17"/>
        <v>0</v>
      </c>
      <c r="K65" s="2"/>
      <c r="L65" s="6">
        <f t="shared" si="18"/>
        <v>0</v>
      </c>
      <c r="M65" s="2"/>
      <c r="N65" s="7">
        <f t="shared" si="19"/>
        <v>0</v>
      </c>
      <c r="O65" s="11"/>
      <c r="P65" s="6"/>
      <c r="Q65" s="2"/>
      <c r="R65" s="7">
        <f t="shared" si="20"/>
        <v>0</v>
      </c>
      <c r="S65" s="2"/>
      <c r="T65" s="6">
        <v>0</v>
      </c>
      <c r="U65" s="2"/>
      <c r="V65" s="7">
        <f t="shared" si="21"/>
        <v>0</v>
      </c>
      <c r="W65" s="2"/>
      <c r="X65" s="6">
        <f t="shared" si="22"/>
        <v>0</v>
      </c>
      <c r="Y65" s="2"/>
      <c r="Z65" s="7">
        <f t="shared" si="23"/>
        <v>0</v>
      </c>
    </row>
    <row r="66" spans="1:26" s="26" customFormat="1" outlineLevel="1" collapsed="1" x14ac:dyDescent="0.25">
      <c r="A66" s="25"/>
      <c r="B66" s="13" t="str">
        <f>CONCATENATE("     ","Professional Services                             ")</f>
        <v xml:space="preserve">     Professional Services                             </v>
      </c>
      <c r="C66" s="13"/>
      <c r="D66" s="1">
        <f>SUM(OSRRefD22_13x_0)</f>
        <v>19839</v>
      </c>
      <c r="E66" s="1"/>
      <c r="F66" s="5">
        <f t="shared" ref="F66:F70" si="24">IF(D$12=0,0,D66/D$12)</f>
        <v>0</v>
      </c>
      <c r="G66" s="1"/>
      <c r="H66" s="1">
        <f>SUM(OSRRefH22_13x_0)</f>
        <v>1433</v>
      </c>
      <c r="I66" s="1"/>
      <c r="J66" s="5">
        <f t="shared" ref="J66:J70" si="25">IF(H$12=0,0,H66/H$12)</f>
        <v>0</v>
      </c>
      <c r="K66" s="1"/>
      <c r="L66" s="1">
        <f t="shared" ref="L66:L70" si="26">+D66-H66</f>
        <v>18406</v>
      </c>
      <c r="M66" s="1"/>
      <c r="N66" s="5">
        <f t="shared" ref="N66:N70" si="27">IF(H66=0,0,L66/H66)</f>
        <v>12.844382414515003</v>
      </c>
      <c r="O66" s="13"/>
      <c r="P66" s="1">
        <f>SUM(OSRRefP22_13x_0)</f>
        <v>25590.239999999998</v>
      </c>
      <c r="Q66" s="1"/>
      <c r="R66" s="5">
        <f t="shared" ref="R66:R70" si="28">IF(P$12=0,0,P66/P$12)</f>
        <v>0</v>
      </c>
      <c r="S66" s="1"/>
      <c r="T66" s="1">
        <f>SUM(OSRRefT22_13x_0)</f>
        <v>44866</v>
      </c>
      <c r="U66" s="1"/>
      <c r="V66" s="5">
        <f t="shared" ref="V66:V70" si="29">IF(T$12=0,0,T66/T$12)</f>
        <v>0</v>
      </c>
      <c r="W66" s="1"/>
      <c r="X66" s="1">
        <f t="shared" ref="X66:X70" si="30">+P66-T66</f>
        <v>-19275.760000000002</v>
      </c>
      <c r="Y66" s="1"/>
      <c r="Z66" s="5">
        <f t="shared" ref="Z66:Z70" si="31">IF(T66=0,0,X66/T66)</f>
        <v>-0.429629563589355</v>
      </c>
    </row>
    <row r="67" spans="1:26" s="24" customFormat="1" hidden="1" outlineLevel="2" x14ac:dyDescent="0.25">
      <c r="A67" s="27"/>
      <c r="B67" s="11" t="str">
        <f>CONCATENATE("          ", "6331", " - ", "INDIRECT COSTS-AUXILIARY ORGAN")</f>
        <v xml:space="preserve">          6331 - INDIRECT COSTS-AUXILIARY ORGAN</v>
      </c>
      <c r="C67" s="11"/>
      <c r="D67" s="6">
        <v>11487</v>
      </c>
      <c r="E67" s="2"/>
      <c r="F67" s="7">
        <f t="shared" si="24"/>
        <v>0</v>
      </c>
      <c r="G67" s="2"/>
      <c r="H67" s="6"/>
      <c r="I67" s="2"/>
      <c r="J67" s="7">
        <f t="shared" si="25"/>
        <v>0</v>
      </c>
      <c r="K67" s="2"/>
      <c r="L67" s="6">
        <f t="shared" si="26"/>
        <v>11487</v>
      </c>
      <c r="M67" s="2"/>
      <c r="N67" s="7">
        <f t="shared" si="27"/>
        <v>0</v>
      </c>
      <c r="O67" s="11"/>
      <c r="P67" s="6">
        <v>11487</v>
      </c>
      <c r="Q67" s="2"/>
      <c r="R67" s="7">
        <f t="shared" si="28"/>
        <v>0</v>
      </c>
      <c r="S67" s="2"/>
      <c r="T67" s="6">
        <v>12500</v>
      </c>
      <c r="U67" s="2"/>
      <c r="V67" s="7">
        <f t="shared" si="29"/>
        <v>0</v>
      </c>
      <c r="W67" s="2"/>
      <c r="X67" s="6">
        <f t="shared" si="30"/>
        <v>-1013</v>
      </c>
      <c r="Y67" s="2"/>
      <c r="Z67" s="7">
        <f t="shared" si="31"/>
        <v>-8.1040000000000001E-2</v>
      </c>
    </row>
    <row r="68" spans="1:26" s="24" customFormat="1" hidden="1" outlineLevel="2" x14ac:dyDescent="0.25">
      <c r="A68" s="27"/>
      <c r="B68" s="11" t="str">
        <f>CONCATENATE("          ", "6332", " - ", "CONSULTANT FEES")</f>
        <v xml:space="preserve">          6332 - CONSULTANT FEES</v>
      </c>
      <c r="C68" s="11"/>
      <c r="D68" s="6"/>
      <c r="E68" s="2"/>
      <c r="F68" s="7">
        <f t="shared" si="24"/>
        <v>0</v>
      </c>
      <c r="G68" s="2"/>
      <c r="H68" s="6">
        <v>600</v>
      </c>
      <c r="I68" s="2"/>
      <c r="J68" s="7">
        <f t="shared" si="25"/>
        <v>0</v>
      </c>
      <c r="K68" s="2"/>
      <c r="L68" s="6">
        <f t="shared" si="26"/>
        <v>-600</v>
      </c>
      <c r="M68" s="2"/>
      <c r="N68" s="7">
        <f t="shared" si="27"/>
        <v>-1</v>
      </c>
      <c r="O68" s="11"/>
      <c r="P68" s="6">
        <v>82.5</v>
      </c>
      <c r="Q68" s="2"/>
      <c r="R68" s="7">
        <f t="shared" si="28"/>
        <v>0</v>
      </c>
      <c r="S68" s="2"/>
      <c r="T68" s="6">
        <v>1200</v>
      </c>
      <c r="U68" s="2"/>
      <c r="V68" s="7">
        <f t="shared" si="29"/>
        <v>0</v>
      </c>
      <c r="W68" s="2"/>
      <c r="X68" s="6">
        <f t="shared" si="30"/>
        <v>-1117.5</v>
      </c>
      <c r="Y68" s="2"/>
      <c r="Z68" s="7">
        <f t="shared" si="31"/>
        <v>-0.93125000000000002</v>
      </c>
    </row>
    <row r="69" spans="1:26" s="24" customFormat="1" hidden="1" outlineLevel="2" x14ac:dyDescent="0.25">
      <c r="A69" s="27"/>
      <c r="B69" s="11" t="str">
        <f>CONCATENATE("          ", "6334", " - ", "LEGAL COUNCIL EXPENSE")</f>
        <v xml:space="preserve">          6334 - LEGAL COUNCIL EXPENSE</v>
      </c>
      <c r="C69" s="11"/>
      <c r="D69" s="6">
        <v>6615</v>
      </c>
      <c r="E69" s="2"/>
      <c r="F69" s="7">
        <f t="shared" si="24"/>
        <v>0</v>
      </c>
      <c r="G69" s="2"/>
      <c r="H69" s="6">
        <v>833</v>
      </c>
      <c r="I69" s="2"/>
      <c r="J69" s="7">
        <f t="shared" si="25"/>
        <v>0</v>
      </c>
      <c r="K69" s="2"/>
      <c r="L69" s="6">
        <f t="shared" si="26"/>
        <v>5782</v>
      </c>
      <c r="M69" s="2"/>
      <c r="N69" s="7">
        <f t="shared" si="27"/>
        <v>6.9411764705882355</v>
      </c>
      <c r="O69" s="11"/>
      <c r="P69" s="6">
        <v>6630</v>
      </c>
      <c r="Q69" s="2"/>
      <c r="R69" s="7">
        <f t="shared" si="28"/>
        <v>0</v>
      </c>
      <c r="S69" s="2"/>
      <c r="T69" s="6">
        <v>1666</v>
      </c>
      <c r="U69" s="2"/>
      <c r="V69" s="7">
        <f t="shared" si="29"/>
        <v>0</v>
      </c>
      <c r="W69" s="2"/>
      <c r="X69" s="6">
        <f t="shared" si="30"/>
        <v>4964</v>
      </c>
      <c r="Y69" s="2"/>
      <c r="Z69" s="7">
        <f t="shared" si="31"/>
        <v>2.9795918367346941</v>
      </c>
    </row>
    <row r="70" spans="1:26" s="24" customFormat="1" hidden="1" outlineLevel="2" x14ac:dyDescent="0.25">
      <c r="A70" s="27"/>
      <c r="B70" s="11" t="str">
        <f>CONCATENATE("          ", "6336", " - ", "PROFESSIONAL SERVICES")</f>
        <v xml:space="preserve">          6336 - PROFESSIONAL SERVICES</v>
      </c>
      <c r="C70" s="11"/>
      <c r="D70" s="6">
        <v>1737</v>
      </c>
      <c r="E70" s="2"/>
      <c r="F70" s="7">
        <f t="shared" si="24"/>
        <v>0</v>
      </c>
      <c r="G70" s="2"/>
      <c r="H70" s="6">
        <v>0</v>
      </c>
      <c r="I70" s="2"/>
      <c r="J70" s="7">
        <f t="shared" si="25"/>
        <v>0</v>
      </c>
      <c r="K70" s="2"/>
      <c r="L70" s="6">
        <f t="shared" si="26"/>
        <v>1737</v>
      </c>
      <c r="M70" s="2"/>
      <c r="N70" s="7">
        <f t="shared" si="27"/>
        <v>0</v>
      </c>
      <c r="O70" s="11"/>
      <c r="P70" s="6">
        <v>7390.74</v>
      </c>
      <c r="Q70" s="2"/>
      <c r="R70" s="7">
        <f t="shared" si="28"/>
        <v>0</v>
      </c>
      <c r="S70" s="2"/>
      <c r="T70" s="6">
        <v>29500</v>
      </c>
      <c r="U70" s="2"/>
      <c r="V70" s="7">
        <f t="shared" si="29"/>
        <v>0</v>
      </c>
      <c r="W70" s="2"/>
      <c r="X70" s="6">
        <f t="shared" si="30"/>
        <v>-22109.260000000002</v>
      </c>
      <c r="Y70" s="2"/>
      <c r="Z70" s="7">
        <f t="shared" si="31"/>
        <v>-0.74946644067796619</v>
      </c>
    </row>
    <row r="71" spans="1:26" s="26" customFormat="1" outlineLevel="1" collapsed="1" x14ac:dyDescent="0.25">
      <c r="A71" s="25"/>
      <c r="B71" s="13" t="str">
        <f>CONCATENATE("     ","Repair and Maintenance                            ")</f>
        <v xml:space="preserve">     Repair and Maintenance                            </v>
      </c>
      <c r="C71" s="13"/>
      <c r="D71" s="1">
        <f>SUM(OSRRefD22_14x_0)</f>
        <v>23169.769999999997</v>
      </c>
      <c r="E71" s="1"/>
      <c r="F71" s="5">
        <f t="shared" ref="F71:F75" si="32">IF(D$12=0,0,D71/D$12)</f>
        <v>0</v>
      </c>
      <c r="G71" s="1"/>
      <c r="H71" s="1">
        <f>SUM(OSRRefH22_14x_0)</f>
        <v>30915</v>
      </c>
      <c r="I71" s="1"/>
      <c r="J71" s="5">
        <f t="shared" ref="J71:J75" si="33">IF(H$12=0,0,H71/H$12)</f>
        <v>0</v>
      </c>
      <c r="K71" s="1"/>
      <c r="L71" s="1">
        <f t="shared" ref="L71:L75" si="34">+D71-H71</f>
        <v>-7745.2300000000032</v>
      </c>
      <c r="M71" s="1"/>
      <c r="N71" s="5">
        <f t="shared" ref="N71:N75" si="35">IF(H71=0,0,L71/H71)</f>
        <v>-0.25053307455927554</v>
      </c>
      <c r="O71" s="13"/>
      <c r="P71" s="1">
        <f>SUM(OSRRefP22_14x_0)</f>
        <v>49958.42</v>
      </c>
      <c r="Q71" s="1"/>
      <c r="R71" s="5">
        <f t="shared" ref="R71:R75" si="36">IF(P$12=0,0,P71/P$12)</f>
        <v>0</v>
      </c>
      <c r="S71" s="1"/>
      <c r="T71" s="1">
        <f>SUM(OSRRefT22_14x_0)</f>
        <v>36810</v>
      </c>
      <c r="U71" s="1"/>
      <c r="V71" s="5">
        <f t="shared" ref="V71:V75" si="37">IF(T$12=0,0,T71/T$12)</f>
        <v>0</v>
      </c>
      <c r="W71" s="1"/>
      <c r="X71" s="1">
        <f t="shared" ref="X71:X75" si="38">+P71-T71</f>
        <v>13148.419999999998</v>
      </c>
      <c r="Y71" s="1"/>
      <c r="Z71" s="5">
        <f t="shared" ref="Z71:Z75" si="39">IF(T71=0,0,X71/T71)</f>
        <v>0.35719695734854656</v>
      </c>
    </row>
    <row r="72" spans="1:26" s="24" customFormat="1" hidden="1" outlineLevel="2" x14ac:dyDescent="0.25">
      <c r="A72" s="27"/>
      <c r="B72" s="11" t="str">
        <f>CONCATENATE("          ", "6371", " - ", "COMPUTER SOFTWARE MAINTENANCE")</f>
        <v xml:space="preserve">          6371 - COMPUTER SOFTWARE MAINTENANCE</v>
      </c>
      <c r="C72" s="11"/>
      <c r="D72" s="6">
        <v>9621.5499999999993</v>
      </c>
      <c r="E72" s="2"/>
      <c r="F72" s="7">
        <f t="shared" si="32"/>
        <v>0</v>
      </c>
      <c r="G72" s="2"/>
      <c r="H72" s="6">
        <v>13820</v>
      </c>
      <c r="I72" s="2"/>
      <c r="J72" s="7">
        <f t="shared" si="33"/>
        <v>0</v>
      </c>
      <c r="K72" s="2"/>
      <c r="L72" s="6">
        <f t="shared" si="34"/>
        <v>-4198.4500000000007</v>
      </c>
      <c r="M72" s="2"/>
      <c r="N72" s="7">
        <f t="shared" si="35"/>
        <v>-0.30379522431259048</v>
      </c>
      <c r="O72" s="11"/>
      <c r="P72" s="6">
        <v>20377.46</v>
      </c>
      <c r="Q72" s="2"/>
      <c r="R72" s="7">
        <f t="shared" si="36"/>
        <v>0</v>
      </c>
      <c r="S72" s="2"/>
      <c r="T72" s="6">
        <v>14720</v>
      </c>
      <c r="U72" s="2"/>
      <c r="V72" s="7">
        <f t="shared" si="37"/>
        <v>0</v>
      </c>
      <c r="W72" s="2"/>
      <c r="X72" s="6">
        <f t="shared" si="38"/>
        <v>5657.4599999999991</v>
      </c>
      <c r="Y72" s="2"/>
      <c r="Z72" s="7">
        <f t="shared" si="39"/>
        <v>0.38433831521739126</v>
      </c>
    </row>
    <row r="73" spans="1:26" s="24" customFormat="1" hidden="1" outlineLevel="2" x14ac:dyDescent="0.25">
      <c r="A73" s="27"/>
      <c r="B73" s="11" t="str">
        <f>CONCATENATE("          ", "6372", " - ", "COMPUTER HARDWARE MAINTENANCE")</f>
        <v xml:space="preserve">          6372 - COMPUTER HARDWARE MAINTENANCE</v>
      </c>
      <c r="C73" s="11"/>
      <c r="D73" s="6"/>
      <c r="E73" s="2"/>
      <c r="F73" s="7">
        <f t="shared" si="32"/>
        <v>0</v>
      </c>
      <c r="G73" s="2"/>
      <c r="H73" s="6">
        <v>1000</v>
      </c>
      <c r="I73" s="2"/>
      <c r="J73" s="7">
        <f t="shared" si="33"/>
        <v>0</v>
      </c>
      <c r="K73" s="2"/>
      <c r="L73" s="6">
        <f t="shared" si="34"/>
        <v>-1000</v>
      </c>
      <c r="M73" s="2"/>
      <c r="N73" s="7">
        <f t="shared" si="35"/>
        <v>-1</v>
      </c>
      <c r="O73" s="11"/>
      <c r="P73" s="6"/>
      <c r="Q73" s="2"/>
      <c r="R73" s="7">
        <f t="shared" si="36"/>
        <v>0</v>
      </c>
      <c r="S73" s="2"/>
      <c r="T73" s="6">
        <v>1500</v>
      </c>
      <c r="U73" s="2"/>
      <c r="V73" s="7">
        <f t="shared" si="37"/>
        <v>0</v>
      </c>
      <c r="W73" s="2"/>
      <c r="X73" s="6">
        <f t="shared" si="38"/>
        <v>-1500</v>
      </c>
      <c r="Y73" s="2"/>
      <c r="Z73" s="7">
        <f t="shared" si="39"/>
        <v>-1</v>
      </c>
    </row>
    <row r="74" spans="1:26" s="24" customFormat="1" hidden="1" outlineLevel="2" x14ac:dyDescent="0.25">
      <c r="A74" s="27"/>
      <c r="B74" s="11" t="str">
        <f>CONCATENATE("          ", "6373", " - ", "MAINTENANCE CONTRACTS")</f>
        <v xml:space="preserve">          6373 - MAINTENANCE CONTRACTS</v>
      </c>
      <c r="C74" s="11"/>
      <c r="D74" s="6">
        <v>13548.22</v>
      </c>
      <c r="E74" s="2"/>
      <c r="F74" s="7">
        <f t="shared" si="32"/>
        <v>0</v>
      </c>
      <c r="G74" s="2"/>
      <c r="H74" s="6">
        <v>16095</v>
      </c>
      <c r="I74" s="2"/>
      <c r="J74" s="7">
        <f t="shared" si="33"/>
        <v>0</v>
      </c>
      <c r="K74" s="2"/>
      <c r="L74" s="6">
        <f t="shared" si="34"/>
        <v>-2546.7800000000007</v>
      </c>
      <c r="M74" s="2"/>
      <c r="N74" s="7">
        <f t="shared" si="35"/>
        <v>-0.15823423423423427</v>
      </c>
      <c r="O74" s="11"/>
      <c r="P74" s="6">
        <v>29461.53</v>
      </c>
      <c r="Q74" s="2"/>
      <c r="R74" s="7">
        <f t="shared" si="36"/>
        <v>0</v>
      </c>
      <c r="S74" s="2"/>
      <c r="T74" s="6">
        <v>20590</v>
      </c>
      <c r="U74" s="2"/>
      <c r="V74" s="7">
        <f t="shared" si="37"/>
        <v>0</v>
      </c>
      <c r="W74" s="2"/>
      <c r="X74" s="6">
        <f t="shared" si="38"/>
        <v>8871.5299999999988</v>
      </c>
      <c r="Y74" s="2"/>
      <c r="Z74" s="7">
        <f t="shared" si="39"/>
        <v>0.43086595434677022</v>
      </c>
    </row>
    <row r="75" spans="1:26" s="24" customFormat="1" hidden="1" outlineLevel="2" x14ac:dyDescent="0.25">
      <c r="A75" s="27"/>
      <c r="B75" s="11" t="str">
        <f>CONCATENATE("          ", "6375", " - ", "OUTSIDE REPAIRS &amp; MAINTENANCE")</f>
        <v xml:space="preserve">          6375 - OUTSIDE REPAIRS &amp; MAINTENANCE</v>
      </c>
      <c r="C75" s="11"/>
      <c r="D75" s="6"/>
      <c r="E75" s="2"/>
      <c r="F75" s="7">
        <f t="shared" si="32"/>
        <v>0</v>
      </c>
      <c r="G75" s="2"/>
      <c r="H75" s="6"/>
      <c r="I75" s="2"/>
      <c r="J75" s="7">
        <f t="shared" si="33"/>
        <v>0</v>
      </c>
      <c r="K75" s="2"/>
      <c r="L75" s="6">
        <f t="shared" si="34"/>
        <v>0</v>
      </c>
      <c r="M75" s="2"/>
      <c r="N75" s="7">
        <f t="shared" si="35"/>
        <v>0</v>
      </c>
      <c r="O75" s="11"/>
      <c r="P75" s="6">
        <v>119.43</v>
      </c>
      <c r="Q75" s="2"/>
      <c r="R75" s="7">
        <f t="shared" si="36"/>
        <v>0</v>
      </c>
      <c r="S75" s="2"/>
      <c r="T75" s="6"/>
      <c r="U75" s="2"/>
      <c r="V75" s="7">
        <f t="shared" si="37"/>
        <v>0</v>
      </c>
      <c r="W75" s="2"/>
      <c r="X75" s="6">
        <f t="shared" si="38"/>
        <v>119.43</v>
      </c>
      <c r="Y75" s="2"/>
      <c r="Z75" s="7">
        <f t="shared" si="39"/>
        <v>0</v>
      </c>
    </row>
    <row r="76" spans="1:26" s="26" customFormat="1" outlineLevel="1" collapsed="1" x14ac:dyDescent="0.25">
      <c r="A76" s="25"/>
      <c r="B76" s="13" t="str">
        <f>CONCATENATE("     ","Services                                          ")</f>
        <v xml:space="preserve">     Services                                          </v>
      </c>
      <c r="C76" s="13"/>
      <c r="D76" s="1">
        <f>SUM(OSRRefD22_15x_0)</f>
        <v>1847.2</v>
      </c>
      <c r="E76" s="1"/>
      <c r="F76" s="5">
        <f t="shared" ref="F76:F78" si="40">IF(D$12=0,0,D76/D$12)</f>
        <v>0</v>
      </c>
      <c r="G76" s="1"/>
      <c r="H76" s="1">
        <f>SUM(OSRRefH22_15x_0)</f>
        <v>610</v>
      </c>
      <c r="I76" s="1"/>
      <c r="J76" s="5">
        <f t="shared" ref="J76:J78" si="41">IF(H$12=0,0,H76/H$12)</f>
        <v>0</v>
      </c>
      <c r="K76" s="1"/>
      <c r="L76" s="1">
        <f t="shared" ref="L76:L78" si="42">+D76-H76</f>
        <v>1237.2</v>
      </c>
      <c r="M76" s="1"/>
      <c r="N76" s="5">
        <f t="shared" ref="N76:N78" si="43">IF(H76=0,0,L76/H76)</f>
        <v>2.0281967213114753</v>
      </c>
      <c r="O76" s="13"/>
      <c r="P76" s="1">
        <f>SUM(OSRRefP22_15x_0)</f>
        <v>2869.7400000000002</v>
      </c>
      <c r="Q76" s="1"/>
      <c r="R76" s="5">
        <f t="shared" ref="R76:R78" si="44">IF(P$12=0,0,P76/P$12)</f>
        <v>0</v>
      </c>
      <c r="S76" s="1"/>
      <c r="T76" s="1">
        <f>SUM(OSRRefT22_15x_0)</f>
        <v>1220</v>
      </c>
      <c r="U76" s="1"/>
      <c r="V76" s="5">
        <f t="shared" ref="V76:V78" si="45">IF(T$12=0,0,T76/T$12)</f>
        <v>0</v>
      </c>
      <c r="W76" s="1"/>
      <c r="X76" s="1">
        <f t="shared" ref="X76:X78" si="46">+P76-T76</f>
        <v>1649.7400000000002</v>
      </c>
      <c r="Y76" s="1"/>
      <c r="Z76" s="5">
        <f t="shared" ref="Z76:Z78" si="47">IF(T76=0,0,X76/T76)</f>
        <v>1.3522459016393444</v>
      </c>
    </row>
    <row r="77" spans="1:26" s="24" customFormat="1" hidden="1" outlineLevel="2" x14ac:dyDescent="0.25">
      <c r="A77" s="27"/>
      <c r="B77" s="11" t="str">
        <f>CONCATENATE("          ", "6281", " - ", "STORAGE FEE")</f>
        <v xml:space="preserve">          6281 - STORAGE FEE</v>
      </c>
      <c r="C77" s="11"/>
      <c r="D77" s="6">
        <v>1842.78</v>
      </c>
      <c r="E77" s="2"/>
      <c r="F77" s="7">
        <f t="shared" si="40"/>
        <v>0</v>
      </c>
      <c r="G77" s="2"/>
      <c r="H77" s="6">
        <v>600</v>
      </c>
      <c r="I77" s="2"/>
      <c r="J77" s="7">
        <f t="shared" si="41"/>
        <v>0</v>
      </c>
      <c r="K77" s="2"/>
      <c r="L77" s="6">
        <f t="shared" si="42"/>
        <v>1242.78</v>
      </c>
      <c r="M77" s="2"/>
      <c r="N77" s="7">
        <f t="shared" si="43"/>
        <v>2.0712999999999999</v>
      </c>
      <c r="O77" s="11"/>
      <c r="P77" s="6">
        <v>2856.48</v>
      </c>
      <c r="Q77" s="2"/>
      <c r="R77" s="7">
        <f t="shared" si="44"/>
        <v>0</v>
      </c>
      <c r="S77" s="2"/>
      <c r="T77" s="6">
        <v>1200</v>
      </c>
      <c r="U77" s="2"/>
      <c r="V77" s="7">
        <f t="shared" si="45"/>
        <v>0</v>
      </c>
      <c r="W77" s="2"/>
      <c r="X77" s="6">
        <f t="shared" si="46"/>
        <v>1656.48</v>
      </c>
      <c r="Y77" s="2"/>
      <c r="Z77" s="7">
        <f t="shared" si="47"/>
        <v>1.3804000000000001</v>
      </c>
    </row>
    <row r="78" spans="1:26" s="24" customFormat="1" hidden="1" outlineLevel="2" x14ac:dyDescent="0.25">
      <c r="A78" s="27"/>
      <c r="B78" s="11" t="str">
        <f>CONCATENATE("          ", "6286", " - ", "LAUNDRY EXPENSE")</f>
        <v xml:space="preserve">          6286 - LAUNDRY EXPENSE</v>
      </c>
      <c r="C78" s="11"/>
      <c r="D78" s="6">
        <v>4.42</v>
      </c>
      <c r="E78" s="2"/>
      <c r="F78" s="7">
        <f t="shared" si="40"/>
        <v>0</v>
      </c>
      <c r="G78" s="2"/>
      <c r="H78" s="6">
        <v>10</v>
      </c>
      <c r="I78" s="2"/>
      <c r="J78" s="7">
        <f t="shared" si="41"/>
        <v>0</v>
      </c>
      <c r="K78" s="2"/>
      <c r="L78" s="6">
        <f t="shared" si="42"/>
        <v>-5.58</v>
      </c>
      <c r="M78" s="2"/>
      <c r="N78" s="7">
        <f t="shared" si="43"/>
        <v>-0.55800000000000005</v>
      </c>
      <c r="O78" s="11"/>
      <c r="P78" s="6">
        <v>13.26</v>
      </c>
      <c r="Q78" s="2"/>
      <c r="R78" s="7">
        <f t="shared" si="44"/>
        <v>0</v>
      </c>
      <c r="S78" s="2"/>
      <c r="T78" s="6">
        <v>20</v>
      </c>
      <c r="U78" s="2"/>
      <c r="V78" s="7">
        <f t="shared" si="45"/>
        <v>0</v>
      </c>
      <c r="W78" s="2"/>
      <c r="X78" s="6">
        <f t="shared" si="46"/>
        <v>-6.74</v>
      </c>
      <c r="Y78" s="2"/>
      <c r="Z78" s="7">
        <f t="shared" si="47"/>
        <v>-0.33700000000000002</v>
      </c>
    </row>
    <row r="79" spans="1:26" s="26" customFormat="1" outlineLevel="1" collapsed="1" x14ac:dyDescent="0.25">
      <c r="A79" s="25"/>
      <c r="B79" s="13" t="str">
        <f>CONCATENATE("     ","Subscriptions &amp; Dues                              ")</f>
        <v xml:space="preserve">     Subscriptions &amp; Dues                              </v>
      </c>
      <c r="C79" s="13"/>
      <c r="D79" s="1">
        <f>SUM(OSRRefD22_16x_0)</f>
        <v>587</v>
      </c>
      <c r="E79" s="1"/>
      <c r="F79" s="5">
        <f t="shared" ref="F79:F81" si="48">IF(D$12=0,0,D79/D$12)</f>
        <v>0</v>
      </c>
      <c r="G79" s="1"/>
      <c r="H79" s="1">
        <f>SUM(OSRRefH22_16x_0)</f>
        <v>1330</v>
      </c>
      <c r="I79" s="1"/>
      <c r="J79" s="5">
        <f t="shared" ref="J79:J81" si="49">IF(H$12=0,0,H79/H$12)</f>
        <v>0</v>
      </c>
      <c r="K79" s="1"/>
      <c r="L79" s="1">
        <f t="shared" ref="L79:L81" si="50">+D79-H79</f>
        <v>-743</v>
      </c>
      <c r="M79" s="1"/>
      <c r="N79" s="5">
        <f t="shared" ref="N79:N81" si="51">IF(H79=0,0,L79/H79)</f>
        <v>-0.55864661654135339</v>
      </c>
      <c r="O79" s="13"/>
      <c r="P79" s="1">
        <f>SUM(OSRRefP22_16x_0)</f>
        <v>1587</v>
      </c>
      <c r="Q79" s="1"/>
      <c r="R79" s="5">
        <f t="shared" ref="R79:R81" si="52">IF(P$12=0,0,P79/P$12)</f>
        <v>0</v>
      </c>
      <c r="S79" s="1"/>
      <c r="T79" s="1">
        <f>SUM(OSRRefT22_16x_0)</f>
        <v>2057</v>
      </c>
      <c r="U79" s="1"/>
      <c r="V79" s="5">
        <f t="shared" ref="V79:V81" si="53">IF(T$12=0,0,T79/T$12)</f>
        <v>0</v>
      </c>
      <c r="W79" s="1"/>
      <c r="X79" s="1">
        <f t="shared" ref="X79:X81" si="54">+P79-T79</f>
        <v>-470</v>
      </c>
      <c r="Y79" s="1"/>
      <c r="Z79" s="5">
        <f t="shared" ref="Z79:Z81" si="55">IF(T79=0,0,X79/T79)</f>
        <v>-0.2284880894506563</v>
      </c>
    </row>
    <row r="80" spans="1:26" s="24" customFormat="1" hidden="1" outlineLevel="2" x14ac:dyDescent="0.25">
      <c r="A80" s="27"/>
      <c r="B80" s="11" t="str">
        <f>CONCATENATE("          ", "6258", " - ", "MEMBERSHIP DUES")</f>
        <v xml:space="preserve">          6258 - MEMBERSHIP DUES</v>
      </c>
      <c r="C80" s="11"/>
      <c r="D80" s="6">
        <v>587</v>
      </c>
      <c r="E80" s="2"/>
      <c r="F80" s="7">
        <f t="shared" si="48"/>
        <v>0</v>
      </c>
      <c r="G80" s="2"/>
      <c r="H80" s="6">
        <v>1230</v>
      </c>
      <c r="I80" s="2"/>
      <c r="J80" s="7">
        <f t="shared" si="49"/>
        <v>0</v>
      </c>
      <c r="K80" s="2"/>
      <c r="L80" s="6">
        <f t="shared" si="50"/>
        <v>-643</v>
      </c>
      <c r="M80" s="2"/>
      <c r="N80" s="7">
        <f t="shared" si="51"/>
        <v>-0.52276422764227637</v>
      </c>
      <c r="O80" s="11"/>
      <c r="P80" s="6">
        <v>1587</v>
      </c>
      <c r="Q80" s="2"/>
      <c r="R80" s="7">
        <f t="shared" si="52"/>
        <v>0</v>
      </c>
      <c r="S80" s="2"/>
      <c r="T80" s="6">
        <v>1857</v>
      </c>
      <c r="U80" s="2"/>
      <c r="V80" s="7">
        <f t="shared" si="53"/>
        <v>0</v>
      </c>
      <c r="W80" s="2"/>
      <c r="X80" s="6">
        <f t="shared" si="54"/>
        <v>-270</v>
      </c>
      <c r="Y80" s="2"/>
      <c r="Z80" s="7">
        <f t="shared" si="55"/>
        <v>-0.14539579967689822</v>
      </c>
    </row>
    <row r="81" spans="1:26" s="24" customFormat="1" hidden="1" outlineLevel="2" x14ac:dyDescent="0.25">
      <c r="A81" s="27"/>
      <c r="B81" s="11" t="str">
        <f>CONCATENATE("          ", "6275", " - ", "SUBSCRIPTIONS")</f>
        <v xml:space="preserve">          6275 - SUBSCRIPTIONS</v>
      </c>
      <c r="C81" s="11"/>
      <c r="D81" s="6"/>
      <c r="E81" s="2"/>
      <c r="F81" s="7">
        <f t="shared" si="48"/>
        <v>0</v>
      </c>
      <c r="G81" s="2"/>
      <c r="H81" s="6">
        <v>100</v>
      </c>
      <c r="I81" s="2"/>
      <c r="J81" s="7">
        <f t="shared" si="49"/>
        <v>0</v>
      </c>
      <c r="K81" s="2"/>
      <c r="L81" s="6">
        <f t="shared" si="50"/>
        <v>-100</v>
      </c>
      <c r="M81" s="2"/>
      <c r="N81" s="7">
        <f t="shared" si="51"/>
        <v>-1</v>
      </c>
      <c r="O81" s="11"/>
      <c r="P81" s="6"/>
      <c r="Q81" s="2"/>
      <c r="R81" s="7">
        <f t="shared" si="52"/>
        <v>0</v>
      </c>
      <c r="S81" s="2"/>
      <c r="T81" s="6">
        <v>200</v>
      </c>
      <c r="U81" s="2"/>
      <c r="V81" s="7">
        <f t="shared" si="53"/>
        <v>0</v>
      </c>
      <c r="W81" s="2"/>
      <c r="X81" s="6">
        <f t="shared" si="54"/>
        <v>-200</v>
      </c>
      <c r="Y81" s="2"/>
      <c r="Z81" s="7">
        <f t="shared" si="55"/>
        <v>-1</v>
      </c>
    </row>
    <row r="82" spans="1:26" s="26" customFormat="1" outlineLevel="1" collapsed="1" x14ac:dyDescent="0.25">
      <c r="A82" s="25"/>
      <c r="B82" s="13" t="str">
        <f>CONCATENATE("     ","Supplies                                          ")</f>
        <v xml:space="preserve">     Supplies                                          </v>
      </c>
      <c r="C82" s="13"/>
      <c r="D82" s="1">
        <f>SUM(OSRRefD22_17x_0)</f>
        <v>10131.74</v>
      </c>
      <c r="E82" s="1"/>
      <c r="F82" s="5">
        <f t="shared" ref="F82:F86" si="56">IF(D$12=0,0,D82/D$12)</f>
        <v>0</v>
      </c>
      <c r="G82" s="1"/>
      <c r="H82" s="1">
        <f>SUM(OSRRefH22_17x_0)</f>
        <v>4702</v>
      </c>
      <c r="I82" s="1"/>
      <c r="J82" s="5">
        <f t="shared" ref="J82:J86" si="57">IF(H$12=0,0,H82/H$12)</f>
        <v>0</v>
      </c>
      <c r="K82" s="1"/>
      <c r="L82" s="1">
        <f t="shared" ref="L82:L86" si="58">+D82-H82</f>
        <v>5429.74</v>
      </c>
      <c r="M82" s="1"/>
      <c r="N82" s="5">
        <f t="shared" ref="N82:N86" si="59">IF(H82=0,0,L82/H82)</f>
        <v>1.15477243726074</v>
      </c>
      <c r="O82" s="13"/>
      <c r="P82" s="1">
        <f>SUM(OSRRefP22_17x_0)</f>
        <v>19922.339999999997</v>
      </c>
      <c r="Q82" s="1"/>
      <c r="R82" s="5">
        <f t="shared" ref="R82:R86" si="60">IF(P$12=0,0,P82/P$12)</f>
        <v>0</v>
      </c>
      <c r="S82" s="1"/>
      <c r="T82" s="1">
        <f>SUM(OSRRefT22_17x_0)</f>
        <v>9454</v>
      </c>
      <c r="U82" s="1"/>
      <c r="V82" s="5">
        <f t="shared" ref="V82:V86" si="61">IF(T$12=0,0,T82/T$12)</f>
        <v>0</v>
      </c>
      <c r="W82" s="1"/>
      <c r="X82" s="1">
        <f t="shared" ref="X82:X86" si="62">+P82-T82</f>
        <v>10468.339999999997</v>
      </c>
      <c r="Y82" s="1"/>
      <c r="Z82" s="5">
        <f t="shared" ref="Z82:Z86" si="63">IF(T82=0,0,X82/T82)</f>
        <v>1.1072921514702767</v>
      </c>
    </row>
    <row r="83" spans="1:26" s="24" customFormat="1" hidden="1" outlineLevel="2" x14ac:dyDescent="0.25">
      <c r="A83" s="27"/>
      <c r="B83" s="11" t="str">
        <f>CONCATENATE("          ", "6234", " - ", "EXPENDABLE SUPPLIES &amp; EQUIPMEN")</f>
        <v xml:space="preserve">          6234 - EXPENDABLE SUPPLIES &amp; EQUIPMEN</v>
      </c>
      <c r="C83" s="11"/>
      <c r="D83" s="6">
        <v>785.75</v>
      </c>
      <c r="E83" s="2"/>
      <c r="F83" s="7">
        <f t="shared" si="56"/>
        <v>0</v>
      </c>
      <c r="G83" s="2"/>
      <c r="H83" s="6">
        <v>500</v>
      </c>
      <c r="I83" s="2"/>
      <c r="J83" s="7">
        <f t="shared" si="57"/>
        <v>0</v>
      </c>
      <c r="K83" s="2"/>
      <c r="L83" s="6">
        <f t="shared" si="58"/>
        <v>285.75</v>
      </c>
      <c r="M83" s="2"/>
      <c r="N83" s="7">
        <f t="shared" si="59"/>
        <v>0.57150000000000001</v>
      </c>
      <c r="O83" s="11"/>
      <c r="P83" s="6">
        <v>559.94000000000005</v>
      </c>
      <c r="Q83" s="2"/>
      <c r="R83" s="7">
        <f t="shared" si="60"/>
        <v>0</v>
      </c>
      <c r="S83" s="2"/>
      <c r="T83" s="6">
        <v>1200</v>
      </c>
      <c r="U83" s="2"/>
      <c r="V83" s="7">
        <f t="shared" si="61"/>
        <v>0</v>
      </c>
      <c r="W83" s="2"/>
      <c r="X83" s="6">
        <f t="shared" si="62"/>
        <v>-640.05999999999995</v>
      </c>
      <c r="Y83" s="2"/>
      <c r="Z83" s="7">
        <f t="shared" si="63"/>
        <v>-0.53338333333333332</v>
      </c>
    </row>
    <row r="84" spans="1:26" s="24" customFormat="1" hidden="1" outlineLevel="2" x14ac:dyDescent="0.25">
      <c r="A84" s="27"/>
      <c r="B84" s="11" t="str">
        <f>CONCATENATE("          ", "6241", " - ", "OFFICE EXPENSE")</f>
        <v xml:space="preserve">          6241 - OFFICE EXPENSE</v>
      </c>
      <c r="C84" s="11"/>
      <c r="D84" s="6">
        <v>6890.98</v>
      </c>
      <c r="E84" s="2"/>
      <c r="F84" s="7">
        <f t="shared" si="56"/>
        <v>0</v>
      </c>
      <c r="G84" s="2"/>
      <c r="H84" s="6">
        <v>3785</v>
      </c>
      <c r="I84" s="2"/>
      <c r="J84" s="7">
        <f t="shared" si="57"/>
        <v>0</v>
      </c>
      <c r="K84" s="2"/>
      <c r="L84" s="6">
        <f t="shared" si="58"/>
        <v>3105.9799999999996</v>
      </c>
      <c r="M84" s="2"/>
      <c r="N84" s="7">
        <f t="shared" si="59"/>
        <v>0.8206023778071333</v>
      </c>
      <c r="O84" s="11"/>
      <c r="P84" s="6">
        <v>15824.36</v>
      </c>
      <c r="Q84" s="2"/>
      <c r="R84" s="7">
        <f t="shared" si="60"/>
        <v>0</v>
      </c>
      <c r="S84" s="2"/>
      <c r="T84" s="6">
        <v>7420</v>
      </c>
      <c r="U84" s="2"/>
      <c r="V84" s="7">
        <f t="shared" si="61"/>
        <v>0</v>
      </c>
      <c r="W84" s="2"/>
      <c r="X84" s="6">
        <f t="shared" si="62"/>
        <v>8404.36</v>
      </c>
      <c r="Y84" s="2"/>
      <c r="Z84" s="7">
        <f t="shared" si="63"/>
        <v>1.1326630727762803</v>
      </c>
    </row>
    <row r="85" spans="1:26" s="24" customFormat="1" hidden="1" outlineLevel="2" x14ac:dyDescent="0.25">
      <c r="A85" s="27"/>
      <c r="B85" s="11" t="str">
        <f>CONCATENATE("          ", "6244", " - ", "SAFETY SUPPLY EXPENSE")</f>
        <v xml:space="preserve">          6244 - SAFETY SUPPLY EXPENSE</v>
      </c>
      <c r="C85" s="11"/>
      <c r="D85" s="6">
        <v>750</v>
      </c>
      <c r="E85" s="2"/>
      <c r="F85" s="7">
        <f t="shared" si="56"/>
        <v>0</v>
      </c>
      <c r="G85" s="2"/>
      <c r="H85" s="6">
        <v>417</v>
      </c>
      <c r="I85" s="2"/>
      <c r="J85" s="7">
        <f t="shared" si="57"/>
        <v>0</v>
      </c>
      <c r="K85" s="2"/>
      <c r="L85" s="6">
        <f t="shared" si="58"/>
        <v>333</v>
      </c>
      <c r="M85" s="2"/>
      <c r="N85" s="7">
        <f t="shared" si="59"/>
        <v>0.79856115107913672</v>
      </c>
      <c r="O85" s="11"/>
      <c r="P85" s="6">
        <v>877.92</v>
      </c>
      <c r="Q85" s="2"/>
      <c r="R85" s="7">
        <f t="shared" si="60"/>
        <v>0</v>
      </c>
      <c r="S85" s="2"/>
      <c r="T85" s="6">
        <v>834</v>
      </c>
      <c r="U85" s="2"/>
      <c r="V85" s="7">
        <f t="shared" si="61"/>
        <v>0</v>
      </c>
      <c r="W85" s="2"/>
      <c r="X85" s="6">
        <f t="shared" si="62"/>
        <v>43.919999999999959</v>
      </c>
      <c r="Y85" s="2"/>
      <c r="Z85" s="7">
        <f t="shared" si="63"/>
        <v>5.2661870503597073E-2</v>
      </c>
    </row>
    <row r="86" spans="1:26" s="24" customFormat="1" hidden="1" outlineLevel="2" x14ac:dyDescent="0.25">
      <c r="A86" s="27"/>
      <c r="B86" s="11" t="str">
        <f>CONCATENATE("          ", "6245", " - ", "PRINTING")</f>
        <v xml:space="preserve">          6245 - PRINTING</v>
      </c>
      <c r="C86" s="11"/>
      <c r="D86" s="6">
        <v>1705.01</v>
      </c>
      <c r="E86" s="2"/>
      <c r="F86" s="7">
        <f t="shared" si="56"/>
        <v>0</v>
      </c>
      <c r="G86" s="2"/>
      <c r="H86" s="6"/>
      <c r="I86" s="2"/>
      <c r="J86" s="7">
        <f t="shared" si="57"/>
        <v>0</v>
      </c>
      <c r="K86" s="2"/>
      <c r="L86" s="6">
        <f t="shared" si="58"/>
        <v>1705.01</v>
      </c>
      <c r="M86" s="2"/>
      <c r="N86" s="7">
        <f t="shared" si="59"/>
        <v>0</v>
      </c>
      <c r="O86" s="11"/>
      <c r="P86" s="6">
        <v>2660.12</v>
      </c>
      <c r="Q86" s="2"/>
      <c r="R86" s="7">
        <f t="shared" si="60"/>
        <v>0</v>
      </c>
      <c r="S86" s="2"/>
      <c r="T86" s="6"/>
      <c r="U86" s="2"/>
      <c r="V86" s="7">
        <f t="shared" si="61"/>
        <v>0</v>
      </c>
      <c r="W86" s="2"/>
      <c r="X86" s="6">
        <f t="shared" si="62"/>
        <v>2660.12</v>
      </c>
      <c r="Y86" s="2"/>
      <c r="Z86" s="7">
        <f t="shared" si="63"/>
        <v>0</v>
      </c>
    </row>
    <row r="87" spans="1:26" s="26" customFormat="1" outlineLevel="1" collapsed="1" x14ac:dyDescent="0.25">
      <c r="A87" s="25"/>
      <c r="B87" s="13" t="str">
        <f>CONCATENATE("     ","Telephone/Data Lines                              ")</f>
        <v xml:space="preserve">     Telephone/Data Lines                              </v>
      </c>
      <c r="C87" s="13"/>
      <c r="D87" s="1">
        <f>SUM(OSRRefD22_18x_0)</f>
        <v>2128.12</v>
      </c>
      <c r="E87" s="1"/>
      <c r="F87" s="5">
        <f t="shared" ref="F87:F89" si="64">IF(D$12=0,0,D87/D$12)</f>
        <v>0</v>
      </c>
      <c r="G87" s="1"/>
      <c r="H87" s="1">
        <f>SUM(OSRRefH22_18x_0)</f>
        <v>1630</v>
      </c>
      <c r="I87" s="1"/>
      <c r="J87" s="5">
        <f t="shared" ref="J87:J89" si="65">IF(H$12=0,0,H87/H$12)</f>
        <v>0</v>
      </c>
      <c r="K87" s="1"/>
      <c r="L87" s="1">
        <f t="shared" ref="L87:L89" si="66">+D87-H87</f>
        <v>498.11999999999989</v>
      </c>
      <c r="M87" s="1"/>
      <c r="N87" s="5">
        <f t="shared" ref="N87:N89" si="67">IF(H87=0,0,L87/H87)</f>
        <v>0.30559509202453983</v>
      </c>
      <c r="O87" s="13"/>
      <c r="P87" s="1">
        <f>SUM(OSRRefP22_18x_0)</f>
        <v>7043.04</v>
      </c>
      <c r="Q87" s="1"/>
      <c r="R87" s="5">
        <f t="shared" ref="R87:R89" si="68">IF(P$12=0,0,P87/P$12)</f>
        <v>0</v>
      </c>
      <c r="S87" s="1"/>
      <c r="T87" s="1">
        <f>SUM(OSRRefT22_18x_0)</f>
        <v>3410</v>
      </c>
      <c r="U87" s="1"/>
      <c r="V87" s="5">
        <f t="shared" ref="V87:V89" si="69">IF(T$12=0,0,T87/T$12)</f>
        <v>0</v>
      </c>
      <c r="W87" s="1"/>
      <c r="X87" s="1">
        <f t="shared" ref="X87:X89" si="70">+P87-T87</f>
        <v>3633.04</v>
      </c>
      <c r="Y87" s="1"/>
      <c r="Z87" s="5">
        <f t="shared" ref="Z87:Z89" si="71">IF(T87=0,0,X87/T87)</f>
        <v>1.065407624633431</v>
      </c>
    </row>
    <row r="88" spans="1:26" s="24" customFormat="1" hidden="1" outlineLevel="2" x14ac:dyDescent="0.25">
      <c r="A88" s="27"/>
      <c r="B88" s="11" t="str">
        <f>CONCATENATE("          ", "6303", " - ", "DATA PHONE LINES")</f>
        <v xml:space="preserve">          6303 - DATA PHONE LINES</v>
      </c>
      <c r="C88" s="11"/>
      <c r="D88" s="6">
        <v>195.54</v>
      </c>
      <c r="E88" s="2"/>
      <c r="F88" s="7">
        <f t="shared" si="64"/>
        <v>0</v>
      </c>
      <c r="G88" s="2"/>
      <c r="H88" s="6">
        <v>200</v>
      </c>
      <c r="I88" s="2"/>
      <c r="J88" s="7">
        <f t="shared" si="65"/>
        <v>0</v>
      </c>
      <c r="K88" s="2"/>
      <c r="L88" s="6">
        <f t="shared" si="66"/>
        <v>-4.460000000000008</v>
      </c>
      <c r="M88" s="2"/>
      <c r="N88" s="7">
        <f t="shared" si="67"/>
        <v>-2.2300000000000039E-2</v>
      </c>
      <c r="O88" s="11"/>
      <c r="P88" s="6">
        <v>391.07</v>
      </c>
      <c r="Q88" s="2"/>
      <c r="R88" s="7">
        <f t="shared" si="68"/>
        <v>0</v>
      </c>
      <c r="S88" s="2"/>
      <c r="T88" s="6">
        <v>400</v>
      </c>
      <c r="U88" s="2"/>
      <c r="V88" s="7">
        <f t="shared" si="69"/>
        <v>0</v>
      </c>
      <c r="W88" s="2"/>
      <c r="X88" s="6">
        <f t="shared" si="70"/>
        <v>-8.9300000000000068</v>
      </c>
      <c r="Y88" s="2"/>
      <c r="Z88" s="7">
        <f t="shared" si="71"/>
        <v>-2.2325000000000018E-2</v>
      </c>
    </row>
    <row r="89" spans="1:26" s="24" customFormat="1" hidden="1" outlineLevel="2" x14ac:dyDescent="0.25">
      <c r="A89" s="27"/>
      <c r="B89" s="11" t="str">
        <f>CONCATENATE("          ", "6309", " - ", "TELEPHONE")</f>
        <v xml:space="preserve">          6309 - TELEPHONE</v>
      </c>
      <c r="C89" s="11"/>
      <c r="D89" s="6">
        <v>1932.58</v>
      </c>
      <c r="E89" s="2"/>
      <c r="F89" s="7">
        <f t="shared" si="64"/>
        <v>0</v>
      </c>
      <c r="G89" s="2"/>
      <c r="H89" s="6">
        <v>1430</v>
      </c>
      <c r="I89" s="2"/>
      <c r="J89" s="7">
        <f t="shared" si="65"/>
        <v>0</v>
      </c>
      <c r="K89" s="2"/>
      <c r="L89" s="6">
        <f t="shared" si="66"/>
        <v>502.57999999999993</v>
      </c>
      <c r="M89" s="2"/>
      <c r="N89" s="7">
        <f t="shared" si="67"/>
        <v>0.35145454545454541</v>
      </c>
      <c r="O89" s="11"/>
      <c r="P89" s="6">
        <v>6651.97</v>
      </c>
      <c r="Q89" s="2"/>
      <c r="R89" s="7">
        <f t="shared" si="68"/>
        <v>0</v>
      </c>
      <c r="S89" s="2"/>
      <c r="T89" s="6">
        <v>3010</v>
      </c>
      <c r="U89" s="2"/>
      <c r="V89" s="7">
        <f t="shared" si="69"/>
        <v>0</v>
      </c>
      <c r="W89" s="2"/>
      <c r="X89" s="6">
        <f t="shared" si="70"/>
        <v>3641.9700000000003</v>
      </c>
      <c r="Y89" s="2"/>
      <c r="Z89" s="7">
        <f t="shared" si="71"/>
        <v>1.2099568106312293</v>
      </c>
    </row>
    <row r="90" spans="1:26" s="26" customFormat="1" outlineLevel="1" collapsed="1" x14ac:dyDescent="0.25">
      <c r="A90" s="25"/>
      <c r="B90" s="13" t="str">
        <f>CONCATENATE("     ","Training                                          ")</f>
        <v xml:space="preserve">     Training                                          </v>
      </c>
      <c r="C90" s="13"/>
      <c r="D90" s="1">
        <f>SUM(OSRRefD22_19x_0)</f>
        <v>4252.3599999999997</v>
      </c>
      <c r="E90" s="1"/>
      <c r="F90" s="5">
        <f t="shared" ref="F90:F94" si="72">IF(D$12=0,0,D90/D$12)</f>
        <v>0</v>
      </c>
      <c r="G90" s="1"/>
      <c r="H90" s="1">
        <f>SUM(OSRRefH22_19x_0)</f>
        <v>2983</v>
      </c>
      <c r="I90" s="1"/>
      <c r="J90" s="5">
        <f t="shared" ref="J90:J94" si="73">IF(H$12=0,0,H90/H$12)</f>
        <v>0</v>
      </c>
      <c r="K90" s="1"/>
      <c r="L90" s="1">
        <f t="shared" ref="L90:L94" si="74">+D90-H90</f>
        <v>1269.3599999999997</v>
      </c>
      <c r="M90" s="1"/>
      <c r="N90" s="5">
        <f t="shared" ref="N90:N94" si="75">IF(H90=0,0,L90/H90)</f>
        <v>0.42553134428427747</v>
      </c>
      <c r="O90" s="13"/>
      <c r="P90" s="1">
        <f>SUM(OSRRefP22_19x_0)</f>
        <v>4998.9799999999996</v>
      </c>
      <c r="Q90" s="1"/>
      <c r="R90" s="5">
        <f t="shared" ref="R90:R94" si="76">IF(P$12=0,0,P90/P$12)</f>
        <v>0</v>
      </c>
      <c r="S90" s="1"/>
      <c r="T90" s="1">
        <f>SUM(OSRRefT22_19x_0)</f>
        <v>8766</v>
      </c>
      <c r="U90" s="1"/>
      <c r="V90" s="5">
        <f t="shared" ref="V90:V94" si="77">IF(T$12=0,0,T90/T$12)</f>
        <v>0</v>
      </c>
      <c r="W90" s="1"/>
      <c r="X90" s="1">
        <f t="shared" ref="X90:X94" si="78">+P90-T90</f>
        <v>-3767.0200000000004</v>
      </c>
      <c r="Y90" s="1"/>
      <c r="Z90" s="5">
        <f t="shared" ref="Z90:Z94" si="79">IF(T90=0,0,X90/T90)</f>
        <v>-0.42973077800593207</v>
      </c>
    </row>
    <row r="91" spans="1:26" s="24" customFormat="1" hidden="1" outlineLevel="2" x14ac:dyDescent="0.25">
      <c r="A91" s="27"/>
      <c r="B91" s="11" t="str">
        <f>CONCATENATE("          ", "6376", " - ", "TRAINING")</f>
        <v xml:space="preserve">          6376 - TRAINING</v>
      </c>
      <c r="C91" s="11"/>
      <c r="D91" s="6">
        <v>4252.3599999999997</v>
      </c>
      <c r="E91" s="2"/>
      <c r="F91" s="7">
        <f t="shared" si="72"/>
        <v>0</v>
      </c>
      <c r="G91" s="2"/>
      <c r="H91" s="6">
        <v>2983</v>
      </c>
      <c r="I91" s="2"/>
      <c r="J91" s="7">
        <f t="shared" si="73"/>
        <v>0</v>
      </c>
      <c r="K91" s="2"/>
      <c r="L91" s="6">
        <f t="shared" si="74"/>
        <v>1269.3599999999997</v>
      </c>
      <c r="M91" s="2"/>
      <c r="N91" s="7">
        <f t="shared" si="75"/>
        <v>0.42553134428427747</v>
      </c>
      <c r="O91" s="11"/>
      <c r="P91" s="6">
        <v>4998.9799999999996</v>
      </c>
      <c r="Q91" s="2"/>
      <c r="R91" s="7">
        <f t="shared" si="76"/>
        <v>0</v>
      </c>
      <c r="S91" s="2"/>
      <c r="T91" s="6">
        <v>8766</v>
      </c>
      <c r="U91" s="2"/>
      <c r="V91" s="7">
        <f t="shared" si="77"/>
        <v>0</v>
      </c>
      <c r="W91" s="2"/>
      <c r="X91" s="6">
        <f t="shared" si="78"/>
        <v>-3767.0200000000004</v>
      </c>
      <c r="Y91" s="2"/>
      <c r="Z91" s="7">
        <f t="shared" si="79"/>
        <v>-0.42973077800593207</v>
      </c>
    </row>
    <row r="92" spans="1:26" s="26" customFormat="1" outlineLevel="1" collapsed="1" x14ac:dyDescent="0.25">
      <c r="A92" s="25"/>
      <c r="B92" s="13" t="str">
        <f>CONCATENATE("     ","Travel                                            ")</f>
        <v xml:space="preserve">     Travel                                            </v>
      </c>
      <c r="C92" s="13"/>
      <c r="D92" s="1">
        <f>SUM(OSRRefD22_20x_0)</f>
        <v>3744.42</v>
      </c>
      <c r="E92" s="1"/>
      <c r="F92" s="5">
        <f t="shared" si="72"/>
        <v>0</v>
      </c>
      <c r="G92" s="1"/>
      <c r="H92" s="1">
        <f>SUM(OSRRefH22_20x_0)</f>
        <v>1500</v>
      </c>
      <c r="I92" s="1"/>
      <c r="J92" s="5">
        <f t="shared" si="73"/>
        <v>0</v>
      </c>
      <c r="K92" s="1"/>
      <c r="L92" s="1">
        <f t="shared" si="74"/>
        <v>2244.42</v>
      </c>
      <c r="M92" s="1"/>
      <c r="N92" s="5">
        <f t="shared" si="75"/>
        <v>1.4962800000000001</v>
      </c>
      <c r="O92" s="13"/>
      <c r="P92" s="1">
        <f>SUM(OSRRefP22_20x_0)</f>
        <v>4313.42</v>
      </c>
      <c r="Q92" s="1"/>
      <c r="R92" s="5">
        <f t="shared" si="76"/>
        <v>0</v>
      </c>
      <c r="S92" s="1"/>
      <c r="T92" s="1">
        <f>SUM(OSRRefT22_20x_0)</f>
        <v>7250</v>
      </c>
      <c r="U92" s="1"/>
      <c r="V92" s="5">
        <f t="shared" si="77"/>
        <v>0</v>
      </c>
      <c r="W92" s="1"/>
      <c r="X92" s="1">
        <f t="shared" si="78"/>
        <v>-2936.58</v>
      </c>
      <c r="Y92" s="1"/>
      <c r="Z92" s="5">
        <f t="shared" si="79"/>
        <v>-0.40504551724137933</v>
      </c>
    </row>
    <row r="93" spans="1:26" s="24" customFormat="1" hidden="1" outlineLevel="2" x14ac:dyDescent="0.25">
      <c r="A93" s="27"/>
      <c r="B93" s="11" t="str">
        <f>CONCATENATE("          ", "6292", " - ", "TRAVEL/CONFERENCE")</f>
        <v xml:space="preserve">          6292 - TRAVEL/CONFERENCE</v>
      </c>
      <c r="C93" s="11"/>
      <c r="D93" s="6">
        <v>3720.52</v>
      </c>
      <c r="E93" s="2"/>
      <c r="F93" s="7">
        <f t="shared" si="72"/>
        <v>0</v>
      </c>
      <c r="G93" s="2"/>
      <c r="H93" s="6">
        <v>1500</v>
      </c>
      <c r="I93" s="2"/>
      <c r="J93" s="7">
        <f t="shared" si="73"/>
        <v>0</v>
      </c>
      <c r="K93" s="2"/>
      <c r="L93" s="6">
        <f t="shared" si="74"/>
        <v>2220.52</v>
      </c>
      <c r="M93" s="2"/>
      <c r="N93" s="7">
        <f t="shared" si="75"/>
        <v>1.4803466666666667</v>
      </c>
      <c r="O93" s="11"/>
      <c r="P93" s="6">
        <v>4289.5200000000004</v>
      </c>
      <c r="Q93" s="2"/>
      <c r="R93" s="7">
        <f t="shared" si="76"/>
        <v>0</v>
      </c>
      <c r="S93" s="2"/>
      <c r="T93" s="6">
        <v>7250</v>
      </c>
      <c r="U93" s="2"/>
      <c r="V93" s="7">
        <f t="shared" si="77"/>
        <v>0</v>
      </c>
      <c r="W93" s="2"/>
      <c r="X93" s="6">
        <f t="shared" si="78"/>
        <v>-2960.4799999999996</v>
      </c>
      <c r="Y93" s="2"/>
      <c r="Z93" s="7">
        <f t="shared" si="79"/>
        <v>-0.40834206896551717</v>
      </c>
    </row>
    <row r="94" spans="1:26" s="24" customFormat="1" hidden="1" outlineLevel="2" x14ac:dyDescent="0.25">
      <c r="A94" s="27"/>
      <c r="B94" s="11" t="str">
        <f>CONCATENATE("          ", "6294", " - ", "TRAVEL OPERATIONAL")</f>
        <v xml:space="preserve">          6294 - TRAVEL OPERATIONAL</v>
      </c>
      <c r="C94" s="11"/>
      <c r="D94" s="6">
        <v>23.9</v>
      </c>
      <c r="E94" s="2"/>
      <c r="F94" s="7">
        <f t="shared" si="72"/>
        <v>0</v>
      </c>
      <c r="G94" s="2"/>
      <c r="H94" s="6"/>
      <c r="I94" s="2"/>
      <c r="J94" s="7">
        <f t="shared" si="73"/>
        <v>0</v>
      </c>
      <c r="K94" s="2"/>
      <c r="L94" s="6">
        <f t="shared" si="74"/>
        <v>23.9</v>
      </c>
      <c r="M94" s="2"/>
      <c r="N94" s="7">
        <f t="shared" si="75"/>
        <v>0</v>
      </c>
      <c r="O94" s="11"/>
      <c r="P94" s="6">
        <v>23.9</v>
      </c>
      <c r="Q94" s="2"/>
      <c r="R94" s="7">
        <f t="shared" si="76"/>
        <v>0</v>
      </c>
      <c r="S94" s="2"/>
      <c r="T94" s="6"/>
      <c r="U94" s="2"/>
      <c r="V94" s="7">
        <f t="shared" si="77"/>
        <v>0</v>
      </c>
      <c r="W94" s="2"/>
      <c r="X94" s="6">
        <f t="shared" si="78"/>
        <v>23.9</v>
      </c>
      <c r="Y94" s="2"/>
      <c r="Z94" s="7">
        <f t="shared" si="79"/>
        <v>0</v>
      </c>
    </row>
    <row r="95" spans="1:26" s="63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8" t="s">
        <v>0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9" t="s">
        <v>3</v>
      </c>
      <c r="C98" s="29"/>
      <c r="D98" s="22">
        <f>+D16-D18+D96</f>
        <v>-400497.58999999985</v>
      </c>
      <c r="E98" s="14"/>
      <c r="F98" s="20">
        <f>IF(D$12=0,0,D98/D$12)</f>
        <v>0</v>
      </c>
      <c r="G98" s="14"/>
      <c r="H98" s="22">
        <f>+H16-H18+H96</f>
        <v>-587570.35545137431</v>
      </c>
      <c r="I98" s="14"/>
      <c r="J98" s="20">
        <f>IF(H$12=0,0,H98/H$12)</f>
        <v>0</v>
      </c>
      <c r="K98" s="15"/>
      <c r="L98" s="22">
        <f>+D98-H98</f>
        <v>187072.76545137446</v>
      </c>
      <c r="M98" s="15"/>
      <c r="N98" s="20">
        <f>IF(H98=0,0,L98/H98)</f>
        <v>-0.31838360073095295</v>
      </c>
      <c r="O98" s="28"/>
      <c r="P98" s="22">
        <f>+P16-P18+P96</f>
        <v>-713828.85999999975</v>
      </c>
      <c r="Q98" s="14"/>
      <c r="R98" s="20">
        <f>IF(P$12=0,0,P98/P$12)</f>
        <v>0</v>
      </c>
      <c r="S98" s="14"/>
      <c r="T98" s="22">
        <f>+T16-T18+T96</f>
        <v>-987452.59557115007</v>
      </c>
      <c r="U98" s="14"/>
      <c r="V98" s="20">
        <f>IF(T$12=0,0,T98/T$12)</f>
        <v>0</v>
      </c>
      <c r="W98" s="15"/>
      <c r="X98" s="22">
        <f>+P98-T98</f>
        <v>273623.73557115032</v>
      </c>
      <c r="Y98" s="15"/>
      <c r="Z98" s="20">
        <f>IF(T98=0,0,X98/T98)</f>
        <v>-0.27710062923363349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/>
      <c r="E100" s="4"/>
      <c r="F100" s="12">
        <f>IF(D$12=0,0,D100/D$12)</f>
        <v>0</v>
      </c>
      <c r="G100" s="4"/>
      <c r="H100" s="4"/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/>
      <c r="Q100" s="4"/>
      <c r="R100" s="12">
        <f>IF(P$12=0,0,P100/P$12)</f>
        <v>0</v>
      </c>
      <c r="S100" s="4"/>
      <c r="T100" s="4"/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9" t="s">
        <v>4</v>
      </c>
      <c r="C102" s="29"/>
      <c r="D102" s="31">
        <f>+D98-D100</f>
        <v>-400497.58999999985</v>
      </c>
      <c r="E102" s="14"/>
      <c r="F102" s="32">
        <f>IF(D$12=0,0,D102/D$12)</f>
        <v>0</v>
      </c>
      <c r="G102" s="14"/>
      <c r="H102" s="31">
        <f>+H98-H100</f>
        <v>-587570.35545137431</v>
      </c>
      <c r="I102" s="14"/>
      <c r="J102" s="32">
        <f>IF(H$12=0,0,H102/H$12)</f>
        <v>0</v>
      </c>
      <c r="K102" s="15"/>
      <c r="L102" s="31">
        <f>D102-H102</f>
        <v>187072.76545137446</v>
      </c>
      <c r="M102" s="15"/>
      <c r="N102" s="32">
        <f>IF(H102=0,0,L102/H102)</f>
        <v>-0.31838360073095295</v>
      </c>
      <c r="O102" s="28"/>
      <c r="P102" s="31">
        <f>+P98-P100</f>
        <v>-713828.85999999975</v>
      </c>
      <c r="Q102" s="14"/>
      <c r="R102" s="32">
        <f>IF(P$12=0,0,P102/P$12)</f>
        <v>0</v>
      </c>
      <c r="S102" s="14"/>
      <c r="T102" s="31">
        <f>+T98-T100</f>
        <v>-987452.59557115007</v>
      </c>
      <c r="U102" s="14"/>
      <c r="V102" s="32">
        <f>IF(T$12=0,0,T102/T$12)</f>
        <v>0</v>
      </c>
      <c r="W102" s="15"/>
      <c r="X102" s="31">
        <f>P102-T102</f>
        <v>273623.73557115032</v>
      </c>
      <c r="Y102" s="15"/>
      <c r="Z102" s="32">
        <f>IF(T102=0,0,X102/T102)</f>
        <v>-0.27710062923363349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5</v>
      </c>
      <c r="C105" s="29"/>
      <c r="D105" s="33">
        <f>SUM(D102:D104)</f>
        <v>-400497.58999999985</v>
      </c>
      <c r="E105" s="14"/>
      <c r="F105" s="35">
        <f>IF(D$12=0,0,D105/D$12)</f>
        <v>0</v>
      </c>
      <c r="G105" s="14"/>
      <c r="H105" s="33">
        <f>SUM(H102:H104)</f>
        <v>-587570.35545137431</v>
      </c>
      <c r="I105" s="14"/>
      <c r="J105" s="35">
        <f>IF(H$12=0,0,H105/H$12)</f>
        <v>0</v>
      </c>
      <c r="K105" s="15"/>
      <c r="L105" s="33">
        <f>+D105-H105</f>
        <v>187072.76545137446</v>
      </c>
      <c r="M105" s="15"/>
      <c r="N105" s="35">
        <f>IF(H105=0,0,L105/H105)</f>
        <v>-0.31838360073095295</v>
      </c>
      <c r="O105" s="28"/>
      <c r="P105" s="33">
        <f>SUM(P102:P104)</f>
        <v>-713828.85999999975</v>
      </c>
      <c r="Q105" s="14"/>
      <c r="R105" s="35">
        <f>IF(P$12=0,0,P105/P$12)</f>
        <v>0</v>
      </c>
      <c r="S105" s="14"/>
      <c r="T105" s="33">
        <f>SUM(T102:T104)</f>
        <v>-987452.59557115007</v>
      </c>
      <c r="U105" s="14"/>
      <c r="V105" s="35">
        <f>IF(T$12=0,0,T105/T$12)</f>
        <v>0</v>
      </c>
      <c r="W105" s="15"/>
      <c r="X105" s="33">
        <f>+P105-T105</f>
        <v>273623.73557115032</v>
      </c>
      <c r="Y105" s="15"/>
      <c r="Z105" s="35">
        <f>IF(T105=0,0,X105/T105)</f>
        <v>-0.27710062923363349</v>
      </c>
    </row>
    <row r="106" spans="1:26" ht="15.75" thickTop="1" x14ac:dyDescent="0.25">
      <c r="A106" s="9"/>
      <c r="C106" s="9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25">
      <c r="A107" s="9"/>
      <c r="B107" s="61">
        <v>43732.705378553241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25">
      <c r="A108" s="9"/>
      <c r="B108" s="62" t="s">
        <v>314</v>
      </c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25">
      <c r="A109" s="9"/>
      <c r="B109" s="58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</sheetData>
  <pageMargins left="0.25" right="0.25" top="0.75" bottom="0.75" header="0.3" footer="0.3"/>
  <pageSetup scale="55" fitToWidth="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","200", " - ", "Corporate Expense")</f>
        <v>Department 200 - Corporate Expense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45545.19</v>
      </c>
      <c r="E18" s="19"/>
      <c r="F18" s="34">
        <f t="shared" ref="F18:F27" si="0">IF(D$12=0,0,D18/D$12)</f>
        <v>0</v>
      </c>
      <c r="G18" s="19"/>
      <c r="H18" s="19">
        <f>SUM(OSRRefH22x_0)</f>
        <v>43800</v>
      </c>
      <c r="I18" s="19"/>
      <c r="J18" s="34">
        <f t="shared" ref="J18:J27" si="1">IF(H$12=0,0,H18/H$12)</f>
        <v>0</v>
      </c>
      <c r="K18" s="4"/>
      <c r="L18" s="19">
        <f t="shared" ref="L18:L27" si="2">+D18-H18</f>
        <v>1745.1900000000023</v>
      </c>
      <c r="M18" s="4"/>
      <c r="N18" s="34">
        <f t="shared" ref="N18:N27" si="3">IF(H18=0,0,L18/H18)</f>
        <v>3.984452054794526E-2</v>
      </c>
      <c r="O18" s="10"/>
      <c r="P18" s="19">
        <f>SUM(OSRRefP22x_0)</f>
        <v>77667.860000000015</v>
      </c>
      <c r="Q18" s="19"/>
      <c r="R18" s="34">
        <f t="shared" ref="R18:R27" si="4">IF(P$12=0,0,P18/P$12)</f>
        <v>0</v>
      </c>
      <c r="S18" s="19"/>
      <c r="T18" s="19">
        <f>SUM(OSRRefT22x_0)</f>
        <v>112500</v>
      </c>
      <c r="U18" s="19"/>
      <c r="V18" s="34">
        <f t="shared" ref="V18:V27" si="5">IF(T$12=0,0,T18/T$12)</f>
        <v>0</v>
      </c>
      <c r="W18" s="4"/>
      <c r="X18" s="19">
        <f t="shared" ref="X18:X27" si="6">+P18-T18</f>
        <v>-34832.139999999985</v>
      </c>
      <c r="Y18" s="4"/>
      <c r="Z18" s="34">
        <f t="shared" ref="Z18:Z27" si="7">IF(T18=0,0,X18/T18)</f>
        <v>-0.3096190222222221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28957.26</v>
      </c>
      <c r="E19" s="1"/>
      <c r="F19" s="5">
        <f t="shared" si="0"/>
        <v>0</v>
      </c>
      <c r="G19" s="1"/>
      <c r="H19" s="1">
        <f>SUM(OSRRefH22_0x_0)</f>
        <v>40300</v>
      </c>
      <c r="I19" s="1"/>
      <c r="J19" s="5">
        <f t="shared" si="1"/>
        <v>0</v>
      </c>
      <c r="K19" s="1"/>
      <c r="L19" s="1">
        <f t="shared" si="2"/>
        <v>-11342.740000000002</v>
      </c>
      <c r="M19" s="1"/>
      <c r="N19" s="5">
        <f t="shared" si="3"/>
        <v>-0.28145756823821344</v>
      </c>
      <c r="O19" s="13"/>
      <c r="P19" s="1">
        <f>SUM(OSRRefP22_0x_0)</f>
        <v>57828.140000000007</v>
      </c>
      <c r="Q19" s="1"/>
      <c r="R19" s="5">
        <f t="shared" si="4"/>
        <v>0</v>
      </c>
      <c r="S19" s="1"/>
      <c r="T19" s="1">
        <f>SUM(OSRRefT22_0x_0)</f>
        <v>79300</v>
      </c>
      <c r="U19" s="1"/>
      <c r="V19" s="5">
        <f t="shared" si="5"/>
        <v>0</v>
      </c>
      <c r="W19" s="1"/>
      <c r="X19" s="1">
        <f t="shared" si="6"/>
        <v>-21471.859999999993</v>
      </c>
      <c r="Y19" s="1"/>
      <c r="Z19" s="5">
        <f t="shared" si="7"/>
        <v>-0.27076746532156359</v>
      </c>
    </row>
    <row r="20" spans="1:26" s="24" customFormat="1" hidden="1" outlineLevel="2" x14ac:dyDescent="0.25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6">
        <v>28957.26</v>
      </c>
      <c r="E20" s="2"/>
      <c r="F20" s="7">
        <f t="shared" si="0"/>
        <v>0</v>
      </c>
      <c r="G20" s="2"/>
      <c r="H20" s="6">
        <v>40300</v>
      </c>
      <c r="I20" s="2"/>
      <c r="J20" s="7">
        <f t="shared" si="1"/>
        <v>0</v>
      </c>
      <c r="K20" s="2"/>
      <c r="L20" s="6">
        <f t="shared" si="2"/>
        <v>-11342.740000000002</v>
      </c>
      <c r="M20" s="2"/>
      <c r="N20" s="7">
        <f t="shared" si="3"/>
        <v>-0.28145756823821344</v>
      </c>
      <c r="O20" s="11"/>
      <c r="P20" s="6">
        <v>57828.140000000007</v>
      </c>
      <c r="Q20" s="2"/>
      <c r="R20" s="7">
        <f t="shared" si="4"/>
        <v>0</v>
      </c>
      <c r="S20" s="2"/>
      <c r="T20" s="6">
        <v>79300</v>
      </c>
      <c r="U20" s="2"/>
      <c r="V20" s="7">
        <f t="shared" si="5"/>
        <v>0</v>
      </c>
      <c r="W20" s="2"/>
      <c r="X20" s="6">
        <f t="shared" si="6"/>
        <v>-21471.859999999993</v>
      </c>
      <c r="Y20" s="2"/>
      <c r="Z20" s="7">
        <f t="shared" si="7"/>
        <v>-0.27076746532156359</v>
      </c>
    </row>
    <row r="21" spans="1:26" s="26" customFormat="1" outlineLevel="1" collapsed="1" x14ac:dyDescent="0.25">
      <c r="A21" s="25"/>
      <c r="B21" s="13" t="str">
        <f>CONCATENATE("     ","Bank/card Fees                                    ")</f>
        <v xml:space="preserve">     Bank/card Fees                                    </v>
      </c>
      <c r="C21" s="13"/>
      <c r="D21" s="1">
        <f>SUM(OSRRefD22_1x_0)</f>
        <v>2611.65</v>
      </c>
      <c r="E21" s="1"/>
      <c r="F21" s="5">
        <f t="shared" si="0"/>
        <v>0</v>
      </c>
      <c r="G21" s="1"/>
      <c r="H21" s="1">
        <f>SUM(OSRRefH22_1x_0)</f>
        <v>1000</v>
      </c>
      <c r="I21" s="1"/>
      <c r="J21" s="5">
        <f t="shared" si="1"/>
        <v>0</v>
      </c>
      <c r="K21" s="1"/>
      <c r="L21" s="1">
        <f t="shared" si="2"/>
        <v>1611.65</v>
      </c>
      <c r="M21" s="1"/>
      <c r="N21" s="5">
        <f t="shared" si="3"/>
        <v>1.61165</v>
      </c>
      <c r="O21" s="13"/>
      <c r="P21" s="1">
        <f>SUM(OSRRefP22_1x_0)</f>
        <v>3438.04</v>
      </c>
      <c r="Q21" s="1"/>
      <c r="R21" s="5">
        <f t="shared" si="4"/>
        <v>0</v>
      </c>
      <c r="S21" s="1"/>
      <c r="T21" s="1">
        <f>SUM(OSRRefT22_1x_0)</f>
        <v>16000</v>
      </c>
      <c r="U21" s="1"/>
      <c r="V21" s="5">
        <f t="shared" si="5"/>
        <v>0</v>
      </c>
      <c r="W21" s="1"/>
      <c r="X21" s="1">
        <f t="shared" si="6"/>
        <v>-12561.96</v>
      </c>
      <c r="Y21" s="1"/>
      <c r="Z21" s="5">
        <f t="shared" si="7"/>
        <v>-0.78512249999999995</v>
      </c>
    </row>
    <row r="22" spans="1:26" s="24" customFormat="1" hidden="1" outlineLevel="2" x14ac:dyDescent="0.25">
      <c r="A22" s="27"/>
      <c r="B22" s="11" t="str">
        <f>CONCATENATE("          ", "6381", " - ", "BANK/CREDIT CARD FEES")</f>
        <v xml:space="preserve">          6381 - BANK/CREDIT CARD FEES</v>
      </c>
      <c r="C22" s="11"/>
      <c r="D22" s="6">
        <v>2611.65</v>
      </c>
      <c r="E22" s="2"/>
      <c r="F22" s="7">
        <f t="shared" si="0"/>
        <v>0</v>
      </c>
      <c r="G22" s="2"/>
      <c r="H22" s="6">
        <v>1000</v>
      </c>
      <c r="I22" s="2"/>
      <c r="J22" s="7">
        <f t="shared" si="1"/>
        <v>0</v>
      </c>
      <c r="K22" s="2"/>
      <c r="L22" s="6">
        <f t="shared" si="2"/>
        <v>1611.65</v>
      </c>
      <c r="M22" s="2"/>
      <c r="N22" s="7">
        <f t="shared" si="3"/>
        <v>1.61165</v>
      </c>
      <c r="O22" s="11"/>
      <c r="P22" s="6">
        <v>3438.04</v>
      </c>
      <c r="Q22" s="2"/>
      <c r="R22" s="7">
        <f t="shared" si="4"/>
        <v>0</v>
      </c>
      <c r="S22" s="2"/>
      <c r="T22" s="6">
        <v>16000</v>
      </c>
      <c r="U22" s="2"/>
      <c r="V22" s="7">
        <f t="shared" si="5"/>
        <v>0</v>
      </c>
      <c r="W22" s="2"/>
      <c r="X22" s="6">
        <f t="shared" si="6"/>
        <v>-12561.96</v>
      </c>
      <c r="Y22" s="2"/>
      <c r="Z22" s="7">
        <f t="shared" si="7"/>
        <v>-0.78512249999999995</v>
      </c>
    </row>
    <row r="23" spans="1:26" s="26" customFormat="1" outlineLevel="1" collapsed="1" x14ac:dyDescent="0.25">
      <c r="A23" s="25"/>
      <c r="B23" s="13" t="str">
        <f>CONCATENATE("     ","Board                                             ")</f>
        <v xml:space="preserve">     Board                                             </v>
      </c>
      <c r="C23" s="13"/>
      <c r="D23" s="1">
        <f>SUM(OSRRefD22_2x_0)</f>
        <v>2489.2800000000002</v>
      </c>
      <c r="E23" s="1"/>
      <c r="F23" s="5">
        <f t="shared" si="0"/>
        <v>0</v>
      </c>
      <c r="G23" s="1"/>
      <c r="H23" s="1">
        <f>SUM(OSRRefH22_2x_0)</f>
        <v>2500</v>
      </c>
      <c r="I23" s="1"/>
      <c r="J23" s="5">
        <f t="shared" si="1"/>
        <v>0</v>
      </c>
      <c r="K23" s="1"/>
      <c r="L23" s="1">
        <f t="shared" si="2"/>
        <v>-10.7199999999998</v>
      </c>
      <c r="M23" s="1"/>
      <c r="N23" s="5">
        <f t="shared" si="3"/>
        <v>-4.2879999999999203E-3</v>
      </c>
      <c r="O23" s="13"/>
      <c r="P23" s="1">
        <f>SUM(OSRRefP22_2x_0)</f>
        <v>4914.68</v>
      </c>
      <c r="Q23" s="1"/>
      <c r="R23" s="5">
        <f t="shared" si="4"/>
        <v>0</v>
      </c>
      <c r="S23" s="1"/>
      <c r="T23" s="1">
        <f>SUM(OSRRefT22_2x_0)</f>
        <v>4700</v>
      </c>
      <c r="U23" s="1"/>
      <c r="V23" s="5">
        <f t="shared" si="5"/>
        <v>0</v>
      </c>
      <c r="W23" s="1"/>
      <c r="X23" s="1">
        <f t="shared" si="6"/>
        <v>214.68000000000029</v>
      </c>
      <c r="Y23" s="1"/>
      <c r="Z23" s="5">
        <f t="shared" si="7"/>
        <v>4.5676595744680915E-2</v>
      </c>
    </row>
    <row r="24" spans="1:26" s="24" customFormat="1" hidden="1" outlineLevel="2" x14ac:dyDescent="0.25">
      <c r="A24" s="27"/>
      <c r="B24" s="11" t="str">
        <f>CONCATENATE("          ", "6397", " - ", "BOARD EXPENSES")</f>
        <v xml:space="preserve">          6397 - BOARD EXPENSES</v>
      </c>
      <c r="C24" s="11"/>
      <c r="D24" s="6">
        <v>2489.2800000000002</v>
      </c>
      <c r="E24" s="2"/>
      <c r="F24" s="7">
        <f t="shared" si="0"/>
        <v>0</v>
      </c>
      <c r="G24" s="2"/>
      <c r="H24" s="6">
        <v>2500</v>
      </c>
      <c r="I24" s="2"/>
      <c r="J24" s="7">
        <f t="shared" si="1"/>
        <v>0</v>
      </c>
      <c r="K24" s="2"/>
      <c r="L24" s="6">
        <f t="shared" si="2"/>
        <v>-10.7199999999998</v>
      </c>
      <c r="M24" s="2"/>
      <c r="N24" s="7">
        <f t="shared" si="3"/>
        <v>-4.2879999999999203E-3</v>
      </c>
      <c r="O24" s="11"/>
      <c r="P24" s="6">
        <v>4914.68</v>
      </c>
      <c r="Q24" s="2"/>
      <c r="R24" s="7">
        <f t="shared" si="4"/>
        <v>0</v>
      </c>
      <c r="S24" s="2"/>
      <c r="T24" s="6">
        <v>4700</v>
      </c>
      <c r="U24" s="2"/>
      <c r="V24" s="7">
        <f t="shared" si="5"/>
        <v>0</v>
      </c>
      <c r="W24" s="2"/>
      <c r="X24" s="6">
        <f t="shared" si="6"/>
        <v>214.68000000000029</v>
      </c>
      <c r="Y24" s="2"/>
      <c r="Z24" s="7">
        <f t="shared" si="7"/>
        <v>4.5676595744680915E-2</v>
      </c>
    </row>
    <row r="25" spans="1:26" s="26" customFormat="1" outlineLevel="1" collapsed="1" x14ac:dyDescent="0.25">
      <c r="A25" s="25"/>
      <c r="B25" s="13" t="str">
        <f>CONCATENATE("     ","Professional Services                             ")</f>
        <v xml:space="preserve">     Professional Services                             </v>
      </c>
      <c r="C25" s="13"/>
      <c r="D25" s="1">
        <f>SUM(OSRRefD22_3x_0)</f>
        <v>11487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11487</v>
      </c>
      <c r="M25" s="1"/>
      <c r="N25" s="5">
        <f t="shared" si="3"/>
        <v>0</v>
      </c>
      <c r="O25" s="13"/>
      <c r="P25" s="1">
        <f>SUM(OSRRefP22_3x_0)</f>
        <v>11487</v>
      </c>
      <c r="Q25" s="1"/>
      <c r="R25" s="5">
        <f t="shared" si="4"/>
        <v>0</v>
      </c>
      <c r="S25" s="1"/>
      <c r="T25" s="1">
        <f>SUM(OSRRefT22_3x_0)</f>
        <v>12500</v>
      </c>
      <c r="U25" s="1"/>
      <c r="V25" s="5">
        <f t="shared" si="5"/>
        <v>0</v>
      </c>
      <c r="W25" s="1"/>
      <c r="X25" s="1">
        <f t="shared" si="6"/>
        <v>-1013</v>
      </c>
      <c r="Y25" s="1"/>
      <c r="Z25" s="5">
        <f t="shared" si="7"/>
        <v>-8.1040000000000001E-2</v>
      </c>
    </row>
    <row r="26" spans="1:26" s="24" customFormat="1" hidden="1" outlineLevel="2" x14ac:dyDescent="0.25">
      <c r="A26" s="27"/>
      <c r="B26" s="11" t="str">
        <f>CONCATENATE("          ", "6331", " - ", "INDIRECT COSTS-AUXILIARY ORGAN")</f>
        <v xml:space="preserve">          6331 - INDIRECT COSTS-AUXILIARY ORGAN</v>
      </c>
      <c r="C26" s="11"/>
      <c r="D26" s="6">
        <v>11487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11487</v>
      </c>
      <c r="M26" s="2"/>
      <c r="N26" s="7">
        <f t="shared" si="3"/>
        <v>0</v>
      </c>
      <c r="O26" s="11"/>
      <c r="P26" s="6">
        <v>11487</v>
      </c>
      <c r="Q26" s="2"/>
      <c r="R26" s="7">
        <f t="shared" si="4"/>
        <v>0</v>
      </c>
      <c r="S26" s="2"/>
      <c r="T26" s="6">
        <v>12500</v>
      </c>
      <c r="U26" s="2"/>
      <c r="V26" s="7">
        <f t="shared" si="5"/>
        <v>0</v>
      </c>
      <c r="W26" s="2"/>
      <c r="X26" s="6">
        <f t="shared" si="6"/>
        <v>-1013</v>
      </c>
      <c r="Y26" s="2"/>
      <c r="Z26" s="7">
        <f t="shared" si="7"/>
        <v>-8.1040000000000001E-2</v>
      </c>
    </row>
    <row r="27" spans="1:26" s="24" customFormat="1" hidden="1" outlineLevel="2" x14ac:dyDescent="0.25">
      <c r="A27" s="27"/>
      <c r="B27" s="11" t="str">
        <f>CONCATENATE("          ", "6332", " - ", "CONSULTANT FEES")</f>
        <v xml:space="preserve">          6332 - CONSULTANT FEES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0</v>
      </c>
      <c r="Y27" s="2"/>
      <c r="Z27" s="7">
        <f t="shared" si="7"/>
        <v>0</v>
      </c>
    </row>
    <row r="28" spans="1:26" s="63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8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3</v>
      </c>
      <c r="C31" s="29"/>
      <c r="D31" s="22">
        <f>+D16-D18+D29</f>
        <v>-45545.19</v>
      </c>
      <c r="E31" s="14"/>
      <c r="F31" s="20">
        <f>IF(D$12=0,0,D31/D$12)</f>
        <v>0</v>
      </c>
      <c r="G31" s="14"/>
      <c r="H31" s="22">
        <f>+H16-H18+H29</f>
        <v>-43800</v>
      </c>
      <c r="I31" s="14"/>
      <c r="J31" s="20">
        <f>IF(H$12=0,0,H31/H$12)</f>
        <v>0</v>
      </c>
      <c r="K31" s="15"/>
      <c r="L31" s="22">
        <f>+D31-H31</f>
        <v>-1745.1900000000023</v>
      </c>
      <c r="M31" s="15"/>
      <c r="N31" s="20">
        <f>IF(H31=0,0,L31/H31)</f>
        <v>3.984452054794526E-2</v>
      </c>
      <c r="O31" s="28"/>
      <c r="P31" s="22">
        <f>+P16-P18+P29</f>
        <v>-77667.860000000015</v>
      </c>
      <c r="Q31" s="14"/>
      <c r="R31" s="20">
        <f>IF(P$12=0,0,P31/P$12)</f>
        <v>0</v>
      </c>
      <c r="S31" s="14"/>
      <c r="T31" s="22">
        <f>+T16-T18+T29</f>
        <v>-112500</v>
      </c>
      <c r="U31" s="14"/>
      <c r="V31" s="20">
        <f>IF(T$12=0,0,T31/T$12)</f>
        <v>0</v>
      </c>
      <c r="W31" s="15"/>
      <c r="X31" s="22">
        <f>+P31-T31</f>
        <v>34832.139999999985</v>
      </c>
      <c r="Y31" s="15"/>
      <c r="Z31" s="20">
        <f>IF(T31=0,0,X31/T31)</f>
        <v>-0.3096190222222221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14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9" t="s">
        <v>4</v>
      </c>
      <c r="C35" s="29"/>
      <c r="D35" s="31">
        <f>+D31-D33</f>
        <v>-45545.19</v>
      </c>
      <c r="E35" s="14"/>
      <c r="F35" s="32">
        <f>IF(D$12=0,0,D35/D$12)</f>
        <v>0</v>
      </c>
      <c r="G35" s="14"/>
      <c r="H35" s="31">
        <f>+H31-H33</f>
        <v>-43800</v>
      </c>
      <c r="I35" s="14"/>
      <c r="J35" s="32">
        <f>IF(H$12=0,0,H35/H$12)</f>
        <v>0</v>
      </c>
      <c r="K35" s="15"/>
      <c r="L35" s="31">
        <f>D35-H35</f>
        <v>-1745.1900000000023</v>
      </c>
      <c r="M35" s="15"/>
      <c r="N35" s="32">
        <f>IF(H35=0,0,L35/H35)</f>
        <v>3.984452054794526E-2</v>
      </c>
      <c r="O35" s="28"/>
      <c r="P35" s="31">
        <f>+P31-P33</f>
        <v>-77667.860000000015</v>
      </c>
      <c r="Q35" s="14"/>
      <c r="R35" s="32">
        <f>IF(P$12=0,0,P35/P$12)</f>
        <v>0</v>
      </c>
      <c r="S35" s="14"/>
      <c r="T35" s="31">
        <f>+T31-T33</f>
        <v>-112500</v>
      </c>
      <c r="U35" s="14"/>
      <c r="V35" s="32">
        <f>IF(T$12=0,0,T35/T$12)</f>
        <v>0</v>
      </c>
      <c r="W35" s="15"/>
      <c r="X35" s="31">
        <f>P35-T35</f>
        <v>34832.139999999985</v>
      </c>
      <c r="Y35" s="15"/>
      <c r="Z35" s="32">
        <f>IF(T35=0,0,X35/T35)</f>
        <v>-0.3096190222222221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9" t="s">
        <v>5</v>
      </c>
      <c r="C38" s="29"/>
      <c r="D38" s="33">
        <f>SUM(D35:D37)</f>
        <v>-45545.19</v>
      </c>
      <c r="E38" s="14"/>
      <c r="F38" s="35">
        <f>IF(D$12=0,0,D38/D$12)</f>
        <v>0</v>
      </c>
      <c r="G38" s="14"/>
      <c r="H38" s="33">
        <f>SUM(H35:H37)</f>
        <v>-43800</v>
      </c>
      <c r="I38" s="14"/>
      <c r="J38" s="35">
        <f>IF(H$12=0,0,H38/H$12)</f>
        <v>0</v>
      </c>
      <c r="K38" s="15"/>
      <c r="L38" s="33">
        <f>+D38-H38</f>
        <v>-1745.1900000000023</v>
      </c>
      <c r="M38" s="15"/>
      <c r="N38" s="35">
        <f>IF(H38=0,0,L38/H38)</f>
        <v>3.984452054794526E-2</v>
      </c>
      <c r="O38" s="28"/>
      <c r="P38" s="33">
        <f>SUM(P35:P37)</f>
        <v>-77667.860000000015</v>
      </c>
      <c r="Q38" s="14"/>
      <c r="R38" s="35">
        <f>IF(P$12=0,0,P38/P$12)</f>
        <v>0</v>
      </c>
      <c r="S38" s="14"/>
      <c r="T38" s="33">
        <f>SUM(T35:T37)</f>
        <v>-112500</v>
      </c>
      <c r="U38" s="14"/>
      <c r="V38" s="35">
        <f>IF(T$12=0,0,T38/T$12)</f>
        <v>0</v>
      </c>
      <c r="W38" s="15"/>
      <c r="X38" s="33">
        <f>+P38-T38</f>
        <v>34832.139999999985</v>
      </c>
      <c r="Y38" s="15"/>
      <c r="Z38" s="35">
        <f>IF(T38=0,0,X38/T38)</f>
        <v>-0.3096190222222221</v>
      </c>
    </row>
    <row r="39" spans="1:26" ht="15.75" thickTop="1" x14ac:dyDescent="0.25">
      <c r="A39" s="9"/>
      <c r="C39" s="9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61">
        <v>43732.705712696756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A41" s="9"/>
      <c r="B41" s="62" t="s">
        <v>314</v>
      </c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25">
      <c r="A42" s="9"/>
      <c r="B42" s="58"/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25"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","201", " - ", "General Manager")</f>
        <v>Department 201 - General Manager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167481.93000000002</v>
      </c>
      <c r="E18" s="19"/>
      <c r="F18" s="34">
        <f t="shared" ref="F18:F28" si="0">IF(D$12=0,0,D18/D$12)</f>
        <v>0</v>
      </c>
      <c r="G18" s="19"/>
      <c r="H18" s="19">
        <f>SUM(OSRRefH22x_0)</f>
        <v>358026.39441692305</v>
      </c>
      <c r="I18" s="19"/>
      <c r="J18" s="34">
        <f t="shared" ref="J18:J28" si="1">IF(H$12=0,0,H18/H$12)</f>
        <v>0</v>
      </c>
      <c r="K18" s="4"/>
      <c r="L18" s="19">
        <f t="shared" ref="L18:L28" si="2">+D18-H18</f>
        <v>-190544.46441692303</v>
      </c>
      <c r="M18" s="4"/>
      <c r="N18" s="34">
        <f t="shared" ref="N18:N28" si="3">IF(H18=0,0,L18/H18)</f>
        <v>-0.5322078689959191</v>
      </c>
      <c r="O18" s="10"/>
      <c r="P18" s="19">
        <f>SUM(OSRRefP22x_0)</f>
        <v>244873.1</v>
      </c>
      <c r="Q18" s="19"/>
      <c r="R18" s="34">
        <f t="shared" ref="R18:R28" si="4">IF(P$12=0,0,P18/P$12)</f>
        <v>0</v>
      </c>
      <c r="S18" s="19"/>
      <c r="T18" s="19">
        <f>SUM(OSRRefT22x_0)</f>
        <v>454487.6374380769</v>
      </c>
      <c r="U18" s="19"/>
      <c r="V18" s="34">
        <f t="shared" ref="V18:V28" si="5">IF(T$12=0,0,T18/T$12)</f>
        <v>0</v>
      </c>
      <c r="W18" s="4"/>
      <c r="X18" s="19">
        <f t="shared" ref="X18:X28" si="6">+P18-T18</f>
        <v>-209614.53743807689</v>
      </c>
      <c r="Y18" s="4"/>
      <c r="Z18" s="34">
        <f t="shared" ref="Z18:Z28" si="7">IF(T18=0,0,X18/T18)</f>
        <v>-0.46121064726790612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15423.95</v>
      </c>
      <c r="E19" s="1"/>
      <c r="F19" s="5">
        <f t="shared" si="0"/>
        <v>0</v>
      </c>
      <c r="G19" s="1"/>
      <c r="H19" s="1">
        <f>SUM(OSRRefH22_0x_0)</f>
        <v>13117.425186153856</v>
      </c>
      <c r="I19" s="1"/>
      <c r="J19" s="5">
        <f t="shared" si="1"/>
        <v>0</v>
      </c>
      <c r="K19" s="1"/>
      <c r="L19" s="1">
        <f t="shared" si="2"/>
        <v>2306.5248138461448</v>
      </c>
      <c r="M19" s="1"/>
      <c r="N19" s="5">
        <f t="shared" si="3"/>
        <v>0.17583670431608828</v>
      </c>
      <c r="O19" s="13"/>
      <c r="P19" s="1">
        <f>SUM(OSRRefP22_0x_0)</f>
        <v>37306.01</v>
      </c>
      <c r="Q19" s="1"/>
      <c r="R19" s="5">
        <f t="shared" si="4"/>
        <v>0</v>
      </c>
      <c r="S19" s="1"/>
      <c r="T19" s="1">
        <f>SUM(OSRRefT22_0x_0)</f>
        <v>28329.456668846167</v>
      </c>
      <c r="U19" s="1"/>
      <c r="V19" s="5">
        <f t="shared" si="5"/>
        <v>0</v>
      </c>
      <c r="W19" s="1"/>
      <c r="X19" s="1">
        <f t="shared" si="6"/>
        <v>8976.5533311538347</v>
      </c>
      <c r="Y19" s="1"/>
      <c r="Z19" s="5">
        <f t="shared" si="7"/>
        <v>0.31686288360854192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2553.13</v>
      </c>
      <c r="E20" s="2"/>
      <c r="F20" s="7">
        <f t="shared" si="0"/>
        <v>0</v>
      </c>
      <c r="G20" s="2"/>
      <c r="H20" s="6">
        <v>2387.8184169230799</v>
      </c>
      <c r="I20" s="2"/>
      <c r="J20" s="7">
        <f t="shared" si="1"/>
        <v>0</v>
      </c>
      <c r="K20" s="2"/>
      <c r="L20" s="6">
        <f t="shared" si="2"/>
        <v>165.31158307692021</v>
      </c>
      <c r="M20" s="2"/>
      <c r="N20" s="7">
        <f t="shared" si="3"/>
        <v>6.9231220391515011E-2</v>
      </c>
      <c r="O20" s="11"/>
      <c r="P20" s="6">
        <v>5416.2</v>
      </c>
      <c r="Q20" s="2"/>
      <c r="R20" s="7">
        <f t="shared" si="4"/>
        <v>0</v>
      </c>
      <c r="S20" s="2"/>
      <c r="T20" s="6">
        <v>5372.59143807693</v>
      </c>
      <c r="U20" s="2"/>
      <c r="V20" s="7">
        <f t="shared" si="5"/>
        <v>0</v>
      </c>
      <c r="W20" s="2"/>
      <c r="X20" s="6">
        <f t="shared" si="6"/>
        <v>43.608561923069828</v>
      </c>
      <c r="Y20" s="2"/>
      <c r="Z20" s="7">
        <f t="shared" si="7"/>
        <v>8.1168580238588015E-3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113.63</v>
      </c>
      <c r="E21" s="2"/>
      <c r="F21" s="7">
        <f t="shared" si="0"/>
        <v>0</v>
      </c>
      <c r="G21" s="2"/>
      <c r="H21" s="6">
        <v>106.08366153846201</v>
      </c>
      <c r="I21" s="2"/>
      <c r="J21" s="7">
        <f t="shared" si="1"/>
        <v>0</v>
      </c>
      <c r="K21" s="2"/>
      <c r="L21" s="6">
        <f t="shared" si="2"/>
        <v>7.5463384615379852</v>
      </c>
      <c r="M21" s="2"/>
      <c r="N21" s="7">
        <f t="shared" si="3"/>
        <v>7.113572770866286E-2</v>
      </c>
      <c r="O21" s="11"/>
      <c r="P21" s="6">
        <v>226.51</v>
      </c>
      <c r="Q21" s="2"/>
      <c r="R21" s="7">
        <f t="shared" si="4"/>
        <v>0</v>
      </c>
      <c r="S21" s="2"/>
      <c r="T21" s="6">
        <v>238.68823846153902</v>
      </c>
      <c r="U21" s="2"/>
      <c r="V21" s="7">
        <f t="shared" si="5"/>
        <v>0</v>
      </c>
      <c r="W21" s="2"/>
      <c r="X21" s="6">
        <f t="shared" si="6"/>
        <v>-12.178238461539024</v>
      </c>
      <c r="Y21" s="2"/>
      <c r="Z21" s="7">
        <f t="shared" si="7"/>
        <v>-5.1021527244214687E-2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4870.25</v>
      </c>
      <c r="E22" s="2"/>
      <c r="F22" s="7">
        <f t="shared" si="0"/>
        <v>0</v>
      </c>
      <c r="G22" s="2"/>
      <c r="H22" s="6">
        <v>4739</v>
      </c>
      <c r="I22" s="2"/>
      <c r="J22" s="7">
        <f t="shared" si="1"/>
        <v>0</v>
      </c>
      <c r="K22" s="2"/>
      <c r="L22" s="6">
        <f t="shared" si="2"/>
        <v>131.25</v>
      </c>
      <c r="M22" s="2"/>
      <c r="N22" s="7">
        <f t="shared" si="3"/>
        <v>2.7695716395864108E-2</v>
      </c>
      <c r="O22" s="11"/>
      <c r="P22" s="6">
        <v>9740.5</v>
      </c>
      <c r="Q22" s="2"/>
      <c r="R22" s="7">
        <f t="shared" si="4"/>
        <v>0</v>
      </c>
      <c r="S22" s="2"/>
      <c r="T22" s="6">
        <v>9478</v>
      </c>
      <c r="U22" s="2"/>
      <c r="V22" s="7">
        <f t="shared" si="5"/>
        <v>0</v>
      </c>
      <c r="W22" s="2"/>
      <c r="X22" s="6">
        <f t="shared" si="6"/>
        <v>262.5</v>
      </c>
      <c r="Y22" s="2"/>
      <c r="Z22" s="7">
        <f t="shared" si="7"/>
        <v>2.7695716395864108E-2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86.89</v>
      </c>
      <c r="E23" s="2"/>
      <c r="F23" s="7">
        <f t="shared" si="0"/>
        <v>0</v>
      </c>
      <c r="G23" s="2"/>
      <c r="H23" s="6">
        <v>81.122799999999998</v>
      </c>
      <c r="I23" s="2"/>
      <c r="J23" s="7">
        <f t="shared" si="1"/>
        <v>0</v>
      </c>
      <c r="K23" s="2"/>
      <c r="L23" s="6">
        <f t="shared" si="2"/>
        <v>5.7672000000000025</v>
      </c>
      <c r="M23" s="2"/>
      <c r="N23" s="7">
        <f t="shared" si="3"/>
        <v>7.1092220682718088E-2</v>
      </c>
      <c r="O23" s="11"/>
      <c r="P23" s="6">
        <v>173.21</v>
      </c>
      <c r="Q23" s="2"/>
      <c r="R23" s="7">
        <f t="shared" si="4"/>
        <v>0</v>
      </c>
      <c r="S23" s="2"/>
      <c r="T23" s="6">
        <v>182.52629999999999</v>
      </c>
      <c r="U23" s="2"/>
      <c r="V23" s="7">
        <f t="shared" si="5"/>
        <v>0</v>
      </c>
      <c r="W23" s="2"/>
      <c r="X23" s="6">
        <f t="shared" si="6"/>
        <v>-9.316299999999984</v>
      </c>
      <c r="Y23" s="2"/>
      <c r="Z23" s="7">
        <f t="shared" si="7"/>
        <v>-5.1040863700189967E-2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3181.98</v>
      </c>
      <c r="E24" s="2"/>
      <c r="F24" s="7">
        <f t="shared" si="0"/>
        <v>0</v>
      </c>
      <c r="G24" s="2"/>
      <c r="H24" s="6">
        <v>2683.2926153846201</v>
      </c>
      <c r="I24" s="2"/>
      <c r="J24" s="7">
        <f t="shared" si="1"/>
        <v>0</v>
      </c>
      <c r="K24" s="2"/>
      <c r="L24" s="6">
        <f t="shared" si="2"/>
        <v>498.68738461537987</v>
      </c>
      <c r="M24" s="2"/>
      <c r="N24" s="7">
        <f t="shared" si="3"/>
        <v>0.18584905043757166</v>
      </c>
      <c r="O24" s="11"/>
      <c r="P24" s="6">
        <v>6363.96</v>
      </c>
      <c r="Q24" s="2"/>
      <c r="R24" s="7">
        <f t="shared" si="4"/>
        <v>0</v>
      </c>
      <c r="S24" s="2"/>
      <c r="T24" s="6">
        <v>6037.4083846153899</v>
      </c>
      <c r="U24" s="2"/>
      <c r="V24" s="7">
        <f t="shared" si="5"/>
        <v>0</v>
      </c>
      <c r="W24" s="2"/>
      <c r="X24" s="6">
        <f t="shared" si="6"/>
        <v>326.55161538461016</v>
      </c>
      <c r="Y24" s="2"/>
      <c r="Z24" s="7">
        <f t="shared" si="7"/>
        <v>5.4088044833397991E-2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2781.54</v>
      </c>
      <c r="E26" s="2"/>
      <c r="F26" s="7">
        <f t="shared" si="0"/>
        <v>0</v>
      </c>
      <c r="G26" s="2"/>
      <c r="H26" s="6">
        <v>2447.1215384615398</v>
      </c>
      <c r="I26" s="2"/>
      <c r="J26" s="7">
        <f t="shared" si="1"/>
        <v>0</v>
      </c>
      <c r="K26" s="2"/>
      <c r="L26" s="6">
        <f t="shared" si="2"/>
        <v>334.41846153846018</v>
      </c>
      <c r="M26" s="2"/>
      <c r="N26" s="7">
        <f t="shared" si="3"/>
        <v>0.13665788816876784</v>
      </c>
      <c r="O26" s="11"/>
      <c r="P26" s="6">
        <v>6990.5</v>
      </c>
      <c r="Q26" s="2"/>
      <c r="R26" s="7">
        <f t="shared" si="4"/>
        <v>0</v>
      </c>
      <c r="S26" s="2"/>
      <c r="T26" s="6">
        <v>5506.0234615384607</v>
      </c>
      <c r="U26" s="2"/>
      <c r="V26" s="7">
        <f t="shared" si="5"/>
        <v>0</v>
      </c>
      <c r="W26" s="2"/>
      <c r="X26" s="6">
        <f t="shared" si="6"/>
        <v>1484.4765384615393</v>
      </c>
      <c r="Y26" s="2"/>
      <c r="Z26" s="7">
        <f t="shared" si="7"/>
        <v>0.26960955557693095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1435.96</v>
      </c>
      <c r="E27" s="2"/>
      <c r="F27" s="7">
        <f t="shared" si="0"/>
        <v>0</v>
      </c>
      <c r="G27" s="2"/>
      <c r="H27" s="6">
        <v>672.98615384615402</v>
      </c>
      <c r="I27" s="2"/>
      <c r="J27" s="7">
        <f t="shared" si="1"/>
        <v>0</v>
      </c>
      <c r="K27" s="2"/>
      <c r="L27" s="6">
        <f t="shared" si="2"/>
        <v>762.97384615384601</v>
      </c>
      <c r="M27" s="2"/>
      <c r="N27" s="7">
        <f t="shared" si="3"/>
        <v>1.1337140322923542</v>
      </c>
      <c r="O27" s="11"/>
      <c r="P27" s="6">
        <v>7555.19</v>
      </c>
      <c r="Q27" s="2"/>
      <c r="R27" s="7">
        <f t="shared" si="4"/>
        <v>0</v>
      </c>
      <c r="S27" s="2"/>
      <c r="T27" s="6">
        <v>1514.218846153846</v>
      </c>
      <c r="U27" s="2"/>
      <c r="V27" s="7">
        <f t="shared" si="5"/>
        <v>0</v>
      </c>
      <c r="W27" s="2"/>
      <c r="X27" s="6">
        <f t="shared" si="6"/>
        <v>6040.9711538461534</v>
      </c>
      <c r="Y27" s="2"/>
      <c r="Z27" s="7">
        <f t="shared" si="7"/>
        <v>3.9894967422908336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400.57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400.57</v>
      </c>
      <c r="M28" s="2"/>
      <c r="N28" s="7">
        <f t="shared" si="3"/>
        <v>0</v>
      </c>
      <c r="O28" s="11"/>
      <c r="P28" s="6">
        <v>839.94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839.94</v>
      </c>
      <c r="Y28" s="2"/>
      <c r="Z28" s="7">
        <f t="shared" si="7"/>
        <v>0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28149.78</v>
      </c>
      <c r="E29" s="1"/>
      <c r="F29" s="5">
        <f t="shared" ref="F29:F39" si="8">IF(D$12=0,0,D29/D$12)</f>
        <v>0</v>
      </c>
      <c r="G29" s="1"/>
      <c r="H29" s="1">
        <f>SUM(OSRRefH22_1x_0)</f>
        <v>28080.969230769191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68.810769230807637</v>
      </c>
      <c r="M29" s="1"/>
      <c r="N29" s="5">
        <f t="shared" ref="N29:N39" si="11">IF(H29=0,0,L29/H29)</f>
        <v>2.4504413884478579E-3</v>
      </c>
      <c r="O29" s="13"/>
      <c r="P29" s="1">
        <f>SUM(OSRRefP22_1x_0)</f>
        <v>63987.08</v>
      </c>
      <c r="Q29" s="1"/>
      <c r="R29" s="5">
        <f t="shared" ref="R29:R39" si="12">IF(P$12=0,0,P29/P$12)</f>
        <v>0</v>
      </c>
      <c r="S29" s="1"/>
      <c r="T29" s="1">
        <f>SUM(OSRRefT22_1x_0)</f>
        <v>63182.180769230727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804.89923076927516</v>
      </c>
      <c r="Y29" s="1"/>
      <c r="Z29" s="5">
        <f t="shared" ref="Z29:Z39" si="15">IF(T29=0,0,X29/T29)</f>
        <v>1.2739339177118992E-2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21694.44</v>
      </c>
      <c r="E30" s="2"/>
      <c r="F30" s="7">
        <f t="shared" si="8"/>
        <v>0</v>
      </c>
      <c r="G30" s="2"/>
      <c r="H30" s="6">
        <v>23674.1538461538</v>
      </c>
      <c r="I30" s="2"/>
      <c r="J30" s="7">
        <f t="shared" si="9"/>
        <v>0</v>
      </c>
      <c r="K30" s="2"/>
      <c r="L30" s="6">
        <f t="shared" si="10"/>
        <v>-1979.7138461538016</v>
      </c>
      <c r="M30" s="2"/>
      <c r="N30" s="7">
        <f t="shared" si="11"/>
        <v>-8.3623425741800442E-2</v>
      </c>
      <c r="O30" s="11"/>
      <c r="P30" s="6">
        <v>50053.36</v>
      </c>
      <c r="Q30" s="2"/>
      <c r="R30" s="7">
        <f t="shared" si="12"/>
        <v>0</v>
      </c>
      <c r="S30" s="2"/>
      <c r="T30" s="6">
        <v>53266.846153846105</v>
      </c>
      <c r="U30" s="2"/>
      <c r="V30" s="7">
        <f t="shared" si="13"/>
        <v>0</v>
      </c>
      <c r="W30" s="2"/>
      <c r="X30" s="6">
        <f t="shared" si="14"/>
        <v>-3213.4861538461046</v>
      </c>
      <c r="Y30" s="2"/>
      <c r="Z30" s="7">
        <f t="shared" si="15"/>
        <v>-6.0328072448007634E-2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4406.84</v>
      </c>
      <c r="E31" s="2"/>
      <c r="F31" s="7">
        <f t="shared" si="8"/>
        <v>0</v>
      </c>
      <c r="G31" s="2"/>
      <c r="H31" s="6">
        <v>4406.81538461539</v>
      </c>
      <c r="I31" s="2"/>
      <c r="J31" s="7">
        <f t="shared" si="9"/>
        <v>0</v>
      </c>
      <c r="K31" s="2"/>
      <c r="L31" s="6">
        <f t="shared" si="10"/>
        <v>2.4615384610115143E-2</v>
      </c>
      <c r="M31" s="2"/>
      <c r="N31" s="7">
        <f t="shared" si="11"/>
        <v>5.5857535344116709E-6</v>
      </c>
      <c r="O31" s="11"/>
      <c r="P31" s="6">
        <v>9548.02</v>
      </c>
      <c r="Q31" s="2"/>
      <c r="R31" s="7">
        <f t="shared" si="12"/>
        <v>0</v>
      </c>
      <c r="S31" s="2"/>
      <c r="T31" s="6">
        <v>9915.3346153846196</v>
      </c>
      <c r="U31" s="2"/>
      <c r="V31" s="7">
        <f t="shared" si="13"/>
        <v>0</v>
      </c>
      <c r="W31" s="2"/>
      <c r="X31" s="6">
        <f t="shared" si="14"/>
        <v>-367.31461538461917</v>
      </c>
      <c r="Y31" s="2"/>
      <c r="Z31" s="7">
        <f t="shared" si="15"/>
        <v>-3.7045105347699947E-2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2048.5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2048.5</v>
      </c>
      <c r="M36" s="2"/>
      <c r="N36" s="7">
        <f t="shared" si="11"/>
        <v>0</v>
      </c>
      <c r="O36" s="11"/>
      <c r="P36" s="6">
        <v>4385.7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4385.7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5452.99</v>
      </c>
      <c r="E40" s="1"/>
      <c r="F40" s="5">
        <f t="shared" ref="F40:F54" si="16">IF(D$12=0,0,D40/D$12)</f>
        <v>0</v>
      </c>
      <c r="G40" s="1"/>
      <c r="H40" s="1">
        <f>SUM(OSRRefH22_2x_0)</f>
        <v>9000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-3547.01</v>
      </c>
      <c r="M40" s="1"/>
      <c r="N40" s="5">
        <f t="shared" ref="N40:N54" si="19">IF(H40=0,0,L40/H40)</f>
        <v>-0.39411222222222225</v>
      </c>
      <c r="O40" s="13"/>
      <c r="P40" s="1">
        <f>SUM(OSRRefP22_2x_0)</f>
        <v>11176.91</v>
      </c>
      <c r="Q40" s="1"/>
      <c r="R40" s="5">
        <f t="shared" ref="R40:R54" si="20">IF(P$12=0,0,P40/P$12)</f>
        <v>0</v>
      </c>
      <c r="S40" s="1"/>
      <c r="T40" s="1">
        <f>SUM(OSRRefT22_2x_0)</f>
        <v>18000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-6823.09</v>
      </c>
      <c r="Y40" s="1"/>
      <c r="Z40" s="5">
        <f t="shared" ref="Z40:Z54" si="23">IF(T40=0,0,X40/T40)</f>
        <v>-0.37906055555555557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5452.99</v>
      </c>
      <c r="E41" s="2"/>
      <c r="F41" s="7">
        <f t="shared" si="16"/>
        <v>0</v>
      </c>
      <c r="G41" s="2"/>
      <c r="H41" s="6">
        <v>9000</v>
      </c>
      <c r="I41" s="2"/>
      <c r="J41" s="7">
        <f t="shared" si="17"/>
        <v>0</v>
      </c>
      <c r="K41" s="2"/>
      <c r="L41" s="6">
        <f t="shared" si="18"/>
        <v>-3547.01</v>
      </c>
      <c r="M41" s="2"/>
      <c r="N41" s="7">
        <f t="shared" si="19"/>
        <v>-0.39411222222222225</v>
      </c>
      <c r="O41" s="11"/>
      <c r="P41" s="6">
        <v>11176.91</v>
      </c>
      <c r="Q41" s="2"/>
      <c r="R41" s="7">
        <f t="shared" si="20"/>
        <v>0</v>
      </c>
      <c r="S41" s="2"/>
      <c r="T41" s="6">
        <v>18000</v>
      </c>
      <c r="U41" s="2"/>
      <c r="V41" s="7">
        <f t="shared" si="21"/>
        <v>0</v>
      </c>
      <c r="W41" s="2"/>
      <c r="X41" s="6">
        <f t="shared" si="22"/>
        <v>-6823.09</v>
      </c>
      <c r="Y41" s="2"/>
      <c r="Z41" s="7">
        <f t="shared" si="23"/>
        <v>-0.37906055555555557</v>
      </c>
    </row>
    <row r="42" spans="1:26" s="26" customFormat="1" outlineLevel="1" collapsed="1" x14ac:dyDescent="0.25">
      <c r="A42" s="25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345.23</v>
      </c>
      <c r="E42" s="1"/>
      <c r="F42" s="5">
        <f t="shared" si="16"/>
        <v>0</v>
      </c>
      <c r="G42" s="1"/>
      <c r="H42" s="1">
        <f>SUM(OSRRefH22_3x_0)</f>
        <v>345</v>
      </c>
      <c r="I42" s="1"/>
      <c r="J42" s="5">
        <f t="shared" si="17"/>
        <v>0</v>
      </c>
      <c r="K42" s="1"/>
      <c r="L42" s="1">
        <f t="shared" si="18"/>
        <v>0.23000000000001819</v>
      </c>
      <c r="M42" s="1"/>
      <c r="N42" s="5">
        <f t="shared" si="19"/>
        <v>6.6666666666671945E-4</v>
      </c>
      <c r="O42" s="13"/>
      <c r="P42" s="1">
        <f>SUM(OSRRefP22_3x_0)</f>
        <v>690.46</v>
      </c>
      <c r="Q42" s="1"/>
      <c r="R42" s="5">
        <f t="shared" si="20"/>
        <v>0</v>
      </c>
      <c r="S42" s="1"/>
      <c r="T42" s="1">
        <f>SUM(OSRRefT22_3x_0)</f>
        <v>690</v>
      </c>
      <c r="U42" s="1"/>
      <c r="V42" s="5">
        <f t="shared" si="21"/>
        <v>0</v>
      </c>
      <c r="W42" s="1"/>
      <c r="X42" s="1">
        <f t="shared" si="22"/>
        <v>0.46000000000003638</v>
      </c>
      <c r="Y42" s="1"/>
      <c r="Z42" s="5">
        <f t="shared" si="23"/>
        <v>6.6666666666671945E-4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345.23</v>
      </c>
      <c r="E43" s="2"/>
      <c r="F43" s="7">
        <f t="shared" si="16"/>
        <v>0</v>
      </c>
      <c r="G43" s="2"/>
      <c r="H43" s="6">
        <v>345</v>
      </c>
      <c r="I43" s="2"/>
      <c r="J43" s="7">
        <f t="shared" si="17"/>
        <v>0</v>
      </c>
      <c r="K43" s="2"/>
      <c r="L43" s="6">
        <f t="shared" si="18"/>
        <v>0.23000000000001819</v>
      </c>
      <c r="M43" s="2"/>
      <c r="N43" s="7">
        <f t="shared" si="19"/>
        <v>6.6666666666671945E-4</v>
      </c>
      <c r="O43" s="11"/>
      <c r="P43" s="6">
        <v>690.46</v>
      </c>
      <c r="Q43" s="2"/>
      <c r="R43" s="7">
        <f t="shared" si="20"/>
        <v>0</v>
      </c>
      <c r="S43" s="2"/>
      <c r="T43" s="6">
        <v>690</v>
      </c>
      <c r="U43" s="2"/>
      <c r="V43" s="7">
        <f t="shared" si="21"/>
        <v>0</v>
      </c>
      <c r="W43" s="2"/>
      <c r="X43" s="6">
        <f t="shared" si="22"/>
        <v>0.46000000000003638</v>
      </c>
      <c r="Y43" s="2"/>
      <c r="Z43" s="7">
        <f t="shared" si="23"/>
        <v>6.6666666666671945E-4</v>
      </c>
    </row>
    <row r="44" spans="1:26" s="26" customFormat="1" outlineLevel="1" collapsed="1" x14ac:dyDescent="0.25">
      <c r="A44" s="25"/>
      <c r="B44" s="13" t="str">
        <f>CONCATENATE("     ","Donations                                         ")</f>
        <v xml:space="preserve">     Donations                                         </v>
      </c>
      <c r="C44" s="13"/>
      <c r="D44" s="1">
        <f>SUM(OSRRefD22_4x_0)</f>
        <v>110000.75</v>
      </c>
      <c r="E44" s="1"/>
      <c r="F44" s="5">
        <f t="shared" si="16"/>
        <v>0</v>
      </c>
      <c r="G44" s="1"/>
      <c r="H44" s="1">
        <f>SUM(OSRRefH22_4x_0)</f>
        <v>300000</v>
      </c>
      <c r="I44" s="1"/>
      <c r="J44" s="5">
        <f t="shared" si="17"/>
        <v>0</v>
      </c>
      <c r="K44" s="1"/>
      <c r="L44" s="1">
        <f t="shared" si="18"/>
        <v>-189999.25</v>
      </c>
      <c r="M44" s="1"/>
      <c r="N44" s="5">
        <f t="shared" si="19"/>
        <v>-0.63333083333333329</v>
      </c>
      <c r="O44" s="13"/>
      <c r="P44" s="1">
        <f>SUM(OSRRefP22_4x_0)</f>
        <v>111668.6</v>
      </c>
      <c r="Q44" s="1"/>
      <c r="R44" s="5">
        <f t="shared" si="20"/>
        <v>0</v>
      </c>
      <c r="S44" s="1"/>
      <c r="T44" s="1">
        <f>SUM(OSRRefT22_4x_0)</f>
        <v>326500</v>
      </c>
      <c r="U44" s="1"/>
      <c r="V44" s="5">
        <f t="shared" si="21"/>
        <v>0</v>
      </c>
      <c r="W44" s="1"/>
      <c r="X44" s="1">
        <f t="shared" si="22"/>
        <v>-214831.4</v>
      </c>
      <c r="Y44" s="1"/>
      <c r="Z44" s="5">
        <f t="shared" si="23"/>
        <v>-0.65798284839203669</v>
      </c>
    </row>
    <row r="45" spans="1:26" s="24" customFormat="1" hidden="1" outlineLevel="2" x14ac:dyDescent="0.25">
      <c r="A45" s="27"/>
      <c r="B45" s="11" t="str">
        <f>CONCATENATE("          ", "6399", " - ", "DONATION-ON CAMPUS")</f>
        <v xml:space="preserve">          6399 - DONATION-ON CAMPUS</v>
      </c>
      <c r="C45" s="11"/>
      <c r="D45" s="6">
        <v>110000.75</v>
      </c>
      <c r="E45" s="2"/>
      <c r="F45" s="7">
        <f t="shared" si="16"/>
        <v>0</v>
      </c>
      <c r="G45" s="2"/>
      <c r="H45" s="6">
        <v>300000</v>
      </c>
      <c r="I45" s="2"/>
      <c r="J45" s="7">
        <f t="shared" si="17"/>
        <v>0</v>
      </c>
      <c r="K45" s="2"/>
      <c r="L45" s="6">
        <f t="shared" si="18"/>
        <v>-189999.25</v>
      </c>
      <c r="M45" s="2"/>
      <c r="N45" s="7">
        <f t="shared" si="19"/>
        <v>-0.63333083333333329</v>
      </c>
      <c r="O45" s="11"/>
      <c r="P45" s="6">
        <v>111668.6</v>
      </c>
      <c r="Q45" s="2"/>
      <c r="R45" s="7">
        <f t="shared" si="20"/>
        <v>0</v>
      </c>
      <c r="S45" s="2"/>
      <c r="T45" s="6">
        <v>326500</v>
      </c>
      <c r="U45" s="2"/>
      <c r="V45" s="7">
        <f t="shared" si="21"/>
        <v>0</v>
      </c>
      <c r="W45" s="2"/>
      <c r="X45" s="6">
        <f t="shared" si="22"/>
        <v>-214831.4</v>
      </c>
      <c r="Y45" s="2"/>
      <c r="Z45" s="7">
        <f t="shared" si="23"/>
        <v>-0.65798284839203669</v>
      </c>
    </row>
    <row r="46" spans="1:26" s="26" customFormat="1" outlineLevel="1" collapsed="1" x14ac:dyDescent="0.25">
      <c r="A46" s="25"/>
      <c r="B46" s="13" t="str">
        <f>CONCATENATE("     ","Equipment Rental                                  ")</f>
        <v xml:space="preserve">     Equipment Rental                                  </v>
      </c>
      <c r="C46" s="13"/>
      <c r="D46" s="1">
        <f>SUM(OSRRefD22_5x_0)</f>
        <v>117.72</v>
      </c>
      <c r="E46" s="1"/>
      <c r="F46" s="5">
        <f t="shared" si="16"/>
        <v>0</v>
      </c>
      <c r="G46" s="1"/>
      <c r="H46" s="1">
        <f>SUM(OSRRefH22_5x_0)</f>
        <v>118</v>
      </c>
      <c r="I46" s="1"/>
      <c r="J46" s="5">
        <f t="shared" si="17"/>
        <v>0</v>
      </c>
      <c r="K46" s="1"/>
      <c r="L46" s="1">
        <f t="shared" si="18"/>
        <v>-0.28000000000000114</v>
      </c>
      <c r="M46" s="1"/>
      <c r="N46" s="5">
        <f t="shared" si="19"/>
        <v>-2.3728813559322128E-3</v>
      </c>
      <c r="O46" s="13"/>
      <c r="P46" s="1">
        <f>SUM(OSRRefP22_5x_0)</f>
        <v>235.44</v>
      </c>
      <c r="Q46" s="1"/>
      <c r="R46" s="5">
        <f t="shared" si="20"/>
        <v>0</v>
      </c>
      <c r="S46" s="1"/>
      <c r="T46" s="1">
        <f>SUM(OSRRefT22_5x_0)</f>
        <v>236</v>
      </c>
      <c r="U46" s="1"/>
      <c r="V46" s="5">
        <f t="shared" si="21"/>
        <v>0</v>
      </c>
      <c r="W46" s="1"/>
      <c r="X46" s="1">
        <f t="shared" si="22"/>
        <v>-0.56000000000000227</v>
      </c>
      <c r="Y46" s="1"/>
      <c r="Z46" s="5">
        <f t="shared" si="23"/>
        <v>-2.3728813559322128E-3</v>
      </c>
    </row>
    <row r="47" spans="1:26" s="24" customFormat="1" hidden="1" outlineLevel="2" x14ac:dyDescent="0.25">
      <c r="A47" s="27"/>
      <c r="B47" s="11" t="str">
        <f>CONCATENATE("          ", "6351", " - ", "EQUIPMENT RENTAL")</f>
        <v xml:space="preserve">          6351 - EQUIPMENT RENTAL</v>
      </c>
      <c r="C47" s="11"/>
      <c r="D47" s="6">
        <v>117.72</v>
      </c>
      <c r="E47" s="2"/>
      <c r="F47" s="7">
        <f t="shared" si="16"/>
        <v>0</v>
      </c>
      <c r="G47" s="2"/>
      <c r="H47" s="6">
        <v>118</v>
      </c>
      <c r="I47" s="2"/>
      <c r="J47" s="7">
        <f t="shared" si="17"/>
        <v>0</v>
      </c>
      <c r="K47" s="2"/>
      <c r="L47" s="6">
        <f t="shared" si="18"/>
        <v>-0.28000000000000114</v>
      </c>
      <c r="M47" s="2"/>
      <c r="N47" s="7">
        <f t="shared" si="19"/>
        <v>-2.3728813559322128E-3</v>
      </c>
      <c r="O47" s="11"/>
      <c r="P47" s="6">
        <v>235.44</v>
      </c>
      <c r="Q47" s="2"/>
      <c r="R47" s="7">
        <f t="shared" si="20"/>
        <v>0</v>
      </c>
      <c r="S47" s="2"/>
      <c r="T47" s="6">
        <v>236</v>
      </c>
      <c r="U47" s="2"/>
      <c r="V47" s="7">
        <f t="shared" si="21"/>
        <v>0</v>
      </c>
      <c r="W47" s="2"/>
      <c r="X47" s="6">
        <f t="shared" si="22"/>
        <v>-0.56000000000000227</v>
      </c>
      <c r="Y47" s="2"/>
      <c r="Z47" s="7">
        <f t="shared" si="23"/>
        <v>-2.3728813559322128E-3</v>
      </c>
    </row>
    <row r="48" spans="1:26" s="26" customFormat="1" outlineLevel="1" collapsed="1" x14ac:dyDescent="0.25">
      <c r="A48" s="25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SUM(OSRRefD22_6x_0)</f>
        <v>2250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2250</v>
      </c>
      <c r="M48" s="1"/>
      <c r="N48" s="5">
        <f t="shared" si="19"/>
        <v>0</v>
      </c>
      <c r="O48" s="13"/>
      <c r="P48" s="1">
        <f>SUM(OSRRefP22_6x_0)</f>
        <v>2280.62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2280.62</v>
      </c>
      <c r="Y48" s="1"/>
      <c r="Z48" s="5">
        <f t="shared" si="23"/>
        <v>0</v>
      </c>
    </row>
    <row r="49" spans="1:26" s="24" customFormat="1" hidden="1" outlineLevel="2" x14ac:dyDescent="0.25">
      <c r="A49" s="27"/>
      <c r="B49" s="11" t="str">
        <f>CONCATENATE("          ", "6279", " - ", "GENERAL EXPENSE")</f>
        <v xml:space="preserve">          6279 - GENERAL EXPENSE</v>
      </c>
      <c r="C49" s="11"/>
      <c r="D49" s="6">
        <v>2250</v>
      </c>
      <c r="E49" s="2"/>
      <c r="F49" s="7">
        <f t="shared" si="16"/>
        <v>0</v>
      </c>
      <c r="G49" s="2"/>
      <c r="H49" s="6">
        <v>0</v>
      </c>
      <c r="I49" s="2"/>
      <c r="J49" s="7">
        <f t="shared" si="17"/>
        <v>0</v>
      </c>
      <c r="K49" s="2"/>
      <c r="L49" s="6">
        <f t="shared" si="18"/>
        <v>2250</v>
      </c>
      <c r="M49" s="2"/>
      <c r="N49" s="7">
        <f t="shared" si="19"/>
        <v>0</v>
      </c>
      <c r="O49" s="11"/>
      <c r="P49" s="6">
        <v>2280.62</v>
      </c>
      <c r="Q49" s="2"/>
      <c r="R49" s="7">
        <f t="shared" si="20"/>
        <v>0</v>
      </c>
      <c r="S49" s="2"/>
      <c r="T49" s="6">
        <v>0</v>
      </c>
      <c r="U49" s="2"/>
      <c r="V49" s="7">
        <f t="shared" si="21"/>
        <v>0</v>
      </c>
      <c r="W49" s="2"/>
      <c r="X49" s="6">
        <f t="shared" si="22"/>
        <v>2280.62</v>
      </c>
      <c r="Y49" s="2"/>
      <c r="Z49" s="7">
        <f t="shared" si="23"/>
        <v>0</v>
      </c>
    </row>
    <row r="50" spans="1:26" s="26" customFormat="1" outlineLevel="1" collapsed="1" x14ac:dyDescent="0.25">
      <c r="A50" s="25"/>
      <c r="B50" s="13" t="str">
        <f>CONCATENATE("     ","Insurance                                         ")</f>
        <v xml:space="preserve">     Insurance                                         </v>
      </c>
      <c r="C50" s="13"/>
      <c r="D50" s="1">
        <f>SUM(OSRRefD22_7x_0)</f>
        <v>115.13</v>
      </c>
      <c r="E50" s="1"/>
      <c r="F50" s="5">
        <f t="shared" si="16"/>
        <v>0</v>
      </c>
      <c r="G50" s="1"/>
      <c r="H50" s="1">
        <f>SUM(OSRRefH22_7x_0)</f>
        <v>110</v>
      </c>
      <c r="I50" s="1"/>
      <c r="J50" s="5">
        <f t="shared" si="17"/>
        <v>0</v>
      </c>
      <c r="K50" s="1"/>
      <c r="L50" s="1">
        <f t="shared" si="18"/>
        <v>5.1299999999999955</v>
      </c>
      <c r="M50" s="1"/>
      <c r="N50" s="5">
        <f t="shared" si="19"/>
        <v>4.6636363636363594E-2</v>
      </c>
      <c r="O50" s="13"/>
      <c r="P50" s="1">
        <f>SUM(OSRRefP22_7x_0)</f>
        <v>230.26</v>
      </c>
      <c r="Q50" s="1"/>
      <c r="R50" s="5">
        <f t="shared" si="20"/>
        <v>0</v>
      </c>
      <c r="S50" s="1"/>
      <c r="T50" s="1">
        <f>SUM(OSRRefT22_7x_0)</f>
        <v>220</v>
      </c>
      <c r="U50" s="1"/>
      <c r="V50" s="5">
        <f t="shared" si="21"/>
        <v>0</v>
      </c>
      <c r="W50" s="1"/>
      <c r="X50" s="1">
        <f t="shared" si="22"/>
        <v>10.259999999999991</v>
      </c>
      <c r="Y50" s="1"/>
      <c r="Z50" s="5">
        <f t="shared" si="23"/>
        <v>4.6636363636363594E-2</v>
      </c>
    </row>
    <row r="51" spans="1:26" s="24" customFormat="1" hidden="1" outlineLevel="2" x14ac:dyDescent="0.25">
      <c r="A51" s="27"/>
      <c r="B51" s="11" t="str">
        <f>CONCATENATE("          ", "6314", " - ", "LIABILITY INSURANCE")</f>
        <v xml:space="preserve">          6314 - LIABILITY INSURANCE</v>
      </c>
      <c r="C51" s="11"/>
      <c r="D51" s="6">
        <v>115.13</v>
      </c>
      <c r="E51" s="2"/>
      <c r="F51" s="7">
        <f t="shared" si="16"/>
        <v>0</v>
      </c>
      <c r="G51" s="2"/>
      <c r="H51" s="6">
        <v>110</v>
      </c>
      <c r="I51" s="2"/>
      <c r="J51" s="7">
        <f t="shared" si="17"/>
        <v>0</v>
      </c>
      <c r="K51" s="2"/>
      <c r="L51" s="6">
        <f t="shared" si="18"/>
        <v>5.1299999999999955</v>
      </c>
      <c r="M51" s="2"/>
      <c r="N51" s="7">
        <f t="shared" si="19"/>
        <v>4.6636363636363594E-2</v>
      </c>
      <c r="O51" s="11"/>
      <c r="P51" s="6">
        <v>230.26</v>
      </c>
      <c r="Q51" s="2"/>
      <c r="R51" s="7">
        <f t="shared" si="20"/>
        <v>0</v>
      </c>
      <c r="S51" s="2"/>
      <c r="T51" s="6">
        <v>220</v>
      </c>
      <c r="U51" s="2"/>
      <c r="V51" s="7">
        <f t="shared" si="21"/>
        <v>0</v>
      </c>
      <c r="W51" s="2"/>
      <c r="X51" s="6">
        <f t="shared" si="22"/>
        <v>10.259999999999991</v>
      </c>
      <c r="Y51" s="2"/>
      <c r="Z51" s="7">
        <f t="shared" si="23"/>
        <v>4.6636363636363594E-2</v>
      </c>
    </row>
    <row r="52" spans="1:26" s="26" customFormat="1" outlineLevel="1" collapsed="1" x14ac:dyDescent="0.25">
      <c r="A52" s="25"/>
      <c r="B52" s="13" t="str">
        <f>CONCATENATE("     ","Professional Services                             ")</f>
        <v xml:space="preserve">     Professional Services                             </v>
      </c>
      <c r="C52" s="13"/>
      <c r="D52" s="1">
        <f>SUM(OSRRefD22_8x_0)</f>
        <v>0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0</v>
      </c>
      <c r="M52" s="1"/>
      <c r="N52" s="5">
        <f t="shared" si="19"/>
        <v>0</v>
      </c>
      <c r="O52" s="13"/>
      <c r="P52" s="1">
        <f>SUM(OSRRefP22_8x_0)</f>
        <v>5015</v>
      </c>
      <c r="Q52" s="1"/>
      <c r="R52" s="5">
        <f t="shared" si="20"/>
        <v>0</v>
      </c>
      <c r="S52" s="1"/>
      <c r="T52" s="1">
        <f>SUM(OSRRefT22_8x_0)</f>
        <v>5000</v>
      </c>
      <c r="U52" s="1"/>
      <c r="V52" s="5">
        <f t="shared" si="21"/>
        <v>0</v>
      </c>
      <c r="W52" s="1"/>
      <c r="X52" s="1">
        <f t="shared" si="22"/>
        <v>15</v>
      </c>
      <c r="Y52" s="1"/>
      <c r="Z52" s="5">
        <f t="shared" si="23"/>
        <v>3.0000000000000001E-3</v>
      </c>
    </row>
    <row r="53" spans="1:26" s="24" customFormat="1" hidden="1" outlineLevel="2" x14ac:dyDescent="0.25">
      <c r="A53" s="27"/>
      <c r="B53" s="11" t="str">
        <f>CONCATENATE("          ", "6334", " - ", "LEGAL COUNCIL EXPENSE")</f>
        <v xml:space="preserve">          6334 - LEGAL COUNCIL EXPENSE</v>
      </c>
      <c r="C53" s="11"/>
      <c r="D53" s="6"/>
      <c r="E53" s="2"/>
      <c r="F53" s="7">
        <f t="shared" si="16"/>
        <v>0</v>
      </c>
      <c r="G53" s="2"/>
      <c r="H53" s="6">
        <v>0</v>
      </c>
      <c r="I53" s="2"/>
      <c r="J53" s="7">
        <f t="shared" si="17"/>
        <v>0</v>
      </c>
      <c r="K53" s="2"/>
      <c r="L53" s="6">
        <f t="shared" si="18"/>
        <v>0</v>
      </c>
      <c r="M53" s="2"/>
      <c r="N53" s="7">
        <f t="shared" si="19"/>
        <v>0</v>
      </c>
      <c r="O53" s="11"/>
      <c r="P53" s="6">
        <v>15</v>
      </c>
      <c r="Q53" s="2"/>
      <c r="R53" s="7">
        <f t="shared" si="20"/>
        <v>0</v>
      </c>
      <c r="S53" s="2"/>
      <c r="T53" s="6">
        <v>0</v>
      </c>
      <c r="U53" s="2"/>
      <c r="V53" s="7">
        <f t="shared" si="21"/>
        <v>0</v>
      </c>
      <c r="W53" s="2"/>
      <c r="X53" s="6">
        <f t="shared" si="22"/>
        <v>15</v>
      </c>
      <c r="Y53" s="2"/>
      <c r="Z53" s="7">
        <f t="shared" si="23"/>
        <v>0</v>
      </c>
    </row>
    <row r="54" spans="1:26" s="24" customFormat="1" hidden="1" outlineLevel="2" x14ac:dyDescent="0.25">
      <c r="A54" s="27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16"/>
        <v>0</v>
      </c>
      <c r="G54" s="2"/>
      <c r="H54" s="6">
        <v>0</v>
      </c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1"/>
      <c r="P54" s="6">
        <v>5000</v>
      </c>
      <c r="Q54" s="2"/>
      <c r="R54" s="7">
        <f t="shared" si="20"/>
        <v>0</v>
      </c>
      <c r="S54" s="2"/>
      <c r="T54" s="6">
        <v>5000</v>
      </c>
      <c r="U54" s="2"/>
      <c r="V54" s="7">
        <f t="shared" si="21"/>
        <v>0</v>
      </c>
      <c r="W54" s="2"/>
      <c r="X54" s="6">
        <f t="shared" si="22"/>
        <v>0</v>
      </c>
      <c r="Y54" s="2"/>
      <c r="Z54" s="7">
        <f t="shared" si="23"/>
        <v>0</v>
      </c>
    </row>
    <row r="55" spans="1:26" s="26" customFormat="1" outlineLevel="1" collapsed="1" x14ac:dyDescent="0.25">
      <c r="A55" s="25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SUM(OSRRefD22_9x_0)</f>
        <v>2690.46</v>
      </c>
      <c r="E55" s="1"/>
      <c r="F55" s="5">
        <f t="shared" ref="F55:F57" si="24">IF(D$12=0,0,D55/D$12)</f>
        <v>0</v>
      </c>
      <c r="G55" s="1"/>
      <c r="H55" s="1">
        <f>SUM(OSRRefH22_9x_0)</f>
        <v>2975</v>
      </c>
      <c r="I55" s="1"/>
      <c r="J55" s="5">
        <f t="shared" ref="J55:J57" si="25">IF(H$12=0,0,H55/H$12)</f>
        <v>0</v>
      </c>
      <c r="K55" s="1"/>
      <c r="L55" s="1">
        <f t="shared" ref="L55:L57" si="26">+D55-H55</f>
        <v>-284.53999999999996</v>
      </c>
      <c r="M55" s="1"/>
      <c r="N55" s="5">
        <f t="shared" ref="N55:N57" si="27">IF(H55=0,0,L55/H55)</f>
        <v>-9.5643697478991582E-2</v>
      </c>
      <c r="O55" s="13"/>
      <c r="P55" s="1">
        <f>SUM(OSRRefP22_9x_0)</f>
        <v>7718.08</v>
      </c>
      <c r="Q55" s="1"/>
      <c r="R55" s="5">
        <f t="shared" ref="R55:R57" si="28">IF(P$12=0,0,P55/P$12)</f>
        <v>0</v>
      </c>
      <c r="S55" s="1"/>
      <c r="T55" s="1">
        <f>SUM(OSRRefT22_9x_0)</f>
        <v>5950</v>
      </c>
      <c r="U55" s="1"/>
      <c r="V55" s="5">
        <f t="shared" ref="V55:V57" si="29">IF(T$12=0,0,T55/T$12)</f>
        <v>0</v>
      </c>
      <c r="W55" s="1"/>
      <c r="X55" s="1">
        <f t="shared" ref="X55:X57" si="30">+P55-T55</f>
        <v>1768.08</v>
      </c>
      <c r="Y55" s="1"/>
      <c r="Z55" s="5">
        <f t="shared" ref="Z55:Z57" si="31">IF(T55=0,0,X55/T55)</f>
        <v>0.29715630252100839</v>
      </c>
    </row>
    <row r="56" spans="1:26" s="24" customFormat="1" hidden="1" outlineLevel="2" x14ac:dyDescent="0.25">
      <c r="A56" s="27"/>
      <c r="B56" s="11" t="str">
        <f>CONCATENATE("          ", "6373", " - ", "MAINTENANCE CONTRACTS")</f>
        <v xml:space="preserve">          6373 - MAINTENANCE CONTRACTS</v>
      </c>
      <c r="C56" s="11"/>
      <c r="D56" s="6">
        <v>2690.46</v>
      </c>
      <c r="E56" s="2"/>
      <c r="F56" s="7">
        <f t="shared" si="24"/>
        <v>0</v>
      </c>
      <c r="G56" s="2"/>
      <c r="H56" s="6">
        <v>2975</v>
      </c>
      <c r="I56" s="2"/>
      <c r="J56" s="7">
        <f t="shared" si="25"/>
        <v>0</v>
      </c>
      <c r="K56" s="2"/>
      <c r="L56" s="6">
        <f t="shared" si="26"/>
        <v>-284.53999999999996</v>
      </c>
      <c r="M56" s="2"/>
      <c r="N56" s="7">
        <f t="shared" si="27"/>
        <v>-9.5643697478991582E-2</v>
      </c>
      <c r="O56" s="11"/>
      <c r="P56" s="6">
        <v>7630.33</v>
      </c>
      <c r="Q56" s="2"/>
      <c r="R56" s="7">
        <f t="shared" si="28"/>
        <v>0</v>
      </c>
      <c r="S56" s="2"/>
      <c r="T56" s="6">
        <v>5950</v>
      </c>
      <c r="U56" s="2"/>
      <c r="V56" s="7">
        <f t="shared" si="29"/>
        <v>0</v>
      </c>
      <c r="W56" s="2"/>
      <c r="X56" s="6">
        <f t="shared" si="30"/>
        <v>1680.33</v>
      </c>
      <c r="Y56" s="2"/>
      <c r="Z56" s="7">
        <f t="shared" si="31"/>
        <v>0.28240840336134454</v>
      </c>
    </row>
    <row r="57" spans="1:26" s="24" customFormat="1" hidden="1" outlineLevel="2" x14ac:dyDescent="0.25">
      <c r="A57" s="27"/>
      <c r="B57" s="11" t="str">
        <f>CONCATENATE("          ", "6375", " - ", "OUTSIDE REPAIRS &amp; MAINTENANCE")</f>
        <v xml:space="preserve">          6375 - OUTSIDE REPAIRS &amp; MAINTENANCE</v>
      </c>
      <c r="C57" s="11"/>
      <c r="D57" s="6"/>
      <c r="E57" s="2"/>
      <c r="F57" s="7">
        <f t="shared" si="24"/>
        <v>0</v>
      </c>
      <c r="G57" s="2"/>
      <c r="H57" s="6"/>
      <c r="I57" s="2"/>
      <c r="J57" s="7">
        <f t="shared" si="25"/>
        <v>0</v>
      </c>
      <c r="K57" s="2"/>
      <c r="L57" s="6">
        <f t="shared" si="26"/>
        <v>0</v>
      </c>
      <c r="M57" s="2"/>
      <c r="N57" s="7">
        <f t="shared" si="27"/>
        <v>0</v>
      </c>
      <c r="O57" s="11"/>
      <c r="P57" s="6">
        <v>87.75</v>
      </c>
      <c r="Q57" s="2"/>
      <c r="R57" s="7">
        <f t="shared" si="28"/>
        <v>0</v>
      </c>
      <c r="S57" s="2"/>
      <c r="T57" s="6"/>
      <c r="U57" s="2"/>
      <c r="V57" s="7">
        <f t="shared" si="29"/>
        <v>0</v>
      </c>
      <c r="W57" s="2"/>
      <c r="X57" s="6">
        <f t="shared" si="30"/>
        <v>87.75</v>
      </c>
      <c r="Y57" s="2"/>
      <c r="Z57" s="7">
        <f t="shared" si="31"/>
        <v>0</v>
      </c>
    </row>
    <row r="58" spans="1:26" s="26" customFormat="1" outlineLevel="1" collapsed="1" x14ac:dyDescent="0.25">
      <c r="A58" s="25"/>
      <c r="B58" s="13" t="str">
        <f>CONCATENATE("     ","Subscriptions &amp; Dues                              ")</f>
        <v xml:space="preserve">     Subscriptions &amp; Dues                              </v>
      </c>
      <c r="C58" s="13"/>
      <c r="D58" s="1">
        <f>SUM(OSRRefD22_10x_0)</f>
        <v>0</v>
      </c>
      <c r="E58" s="1"/>
      <c r="F58" s="5">
        <f t="shared" ref="F58:F63" si="32">IF(D$12=0,0,D58/D$12)</f>
        <v>0</v>
      </c>
      <c r="G58" s="1"/>
      <c r="H58" s="1">
        <f>SUM(OSRRefH22_10x_0)</f>
        <v>1230</v>
      </c>
      <c r="I58" s="1"/>
      <c r="J58" s="5">
        <f t="shared" ref="J58:J63" si="33">IF(H$12=0,0,H58/H$12)</f>
        <v>0</v>
      </c>
      <c r="K58" s="1"/>
      <c r="L58" s="1">
        <f t="shared" ref="L58:L63" si="34">+D58-H58</f>
        <v>-1230</v>
      </c>
      <c r="M58" s="1"/>
      <c r="N58" s="5">
        <f t="shared" ref="N58:N63" si="35">IF(H58=0,0,L58/H58)</f>
        <v>-1</v>
      </c>
      <c r="O58" s="13"/>
      <c r="P58" s="1">
        <f>SUM(OSRRefP22_10x_0)</f>
        <v>1000</v>
      </c>
      <c r="Q58" s="1"/>
      <c r="R58" s="5">
        <f t="shared" ref="R58:R63" si="36">IF(P$12=0,0,P58/P$12)</f>
        <v>0</v>
      </c>
      <c r="S58" s="1"/>
      <c r="T58" s="1">
        <f>SUM(OSRRefT22_10x_0)</f>
        <v>1230</v>
      </c>
      <c r="U58" s="1"/>
      <c r="V58" s="5">
        <f t="shared" ref="V58:V63" si="37">IF(T$12=0,0,T58/T$12)</f>
        <v>0</v>
      </c>
      <c r="W58" s="1"/>
      <c r="X58" s="1">
        <f t="shared" ref="X58:X63" si="38">+P58-T58</f>
        <v>-230</v>
      </c>
      <c r="Y58" s="1"/>
      <c r="Z58" s="5">
        <f t="shared" ref="Z58:Z63" si="39">IF(T58=0,0,X58/T58)</f>
        <v>-0.18699186991869918</v>
      </c>
    </row>
    <row r="59" spans="1:26" s="24" customFormat="1" hidden="1" outlineLevel="2" x14ac:dyDescent="0.25">
      <c r="A59" s="27"/>
      <c r="B59" s="11" t="str">
        <f>CONCATENATE("          ", "6258", " - ", "MEMBERSHIP DUES")</f>
        <v xml:space="preserve">          6258 - MEMBERSHIP DUES</v>
      </c>
      <c r="C59" s="11"/>
      <c r="D59" s="6"/>
      <c r="E59" s="2"/>
      <c r="F59" s="7">
        <f t="shared" si="32"/>
        <v>0</v>
      </c>
      <c r="G59" s="2"/>
      <c r="H59" s="6">
        <v>1230</v>
      </c>
      <c r="I59" s="2"/>
      <c r="J59" s="7">
        <f t="shared" si="33"/>
        <v>0</v>
      </c>
      <c r="K59" s="2"/>
      <c r="L59" s="6">
        <f t="shared" si="34"/>
        <v>-1230</v>
      </c>
      <c r="M59" s="2"/>
      <c r="N59" s="7">
        <f t="shared" si="35"/>
        <v>-1</v>
      </c>
      <c r="O59" s="11"/>
      <c r="P59" s="6">
        <v>1000</v>
      </c>
      <c r="Q59" s="2"/>
      <c r="R59" s="7">
        <f t="shared" si="36"/>
        <v>0</v>
      </c>
      <c r="S59" s="2"/>
      <c r="T59" s="6">
        <v>1230</v>
      </c>
      <c r="U59" s="2"/>
      <c r="V59" s="7">
        <f t="shared" si="37"/>
        <v>0</v>
      </c>
      <c r="W59" s="2"/>
      <c r="X59" s="6">
        <f t="shared" si="38"/>
        <v>-230</v>
      </c>
      <c r="Y59" s="2"/>
      <c r="Z59" s="7">
        <f t="shared" si="39"/>
        <v>-0.18699186991869918</v>
      </c>
    </row>
    <row r="60" spans="1:26" s="26" customFormat="1" outlineLevel="1" collapsed="1" x14ac:dyDescent="0.25">
      <c r="A60" s="25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130.55000000000001</v>
      </c>
      <c r="E60" s="1"/>
      <c r="F60" s="5">
        <f t="shared" si="32"/>
        <v>0</v>
      </c>
      <c r="G60" s="1"/>
      <c r="H60" s="1">
        <f>SUM(OSRRefH22_11x_0)</f>
        <v>500</v>
      </c>
      <c r="I60" s="1"/>
      <c r="J60" s="5">
        <f t="shared" si="33"/>
        <v>0</v>
      </c>
      <c r="K60" s="1"/>
      <c r="L60" s="1">
        <f t="shared" si="34"/>
        <v>-369.45</v>
      </c>
      <c r="M60" s="1"/>
      <c r="N60" s="5">
        <f t="shared" si="35"/>
        <v>-0.7389</v>
      </c>
      <c r="O60" s="13"/>
      <c r="P60" s="1">
        <f>SUM(OSRRefP22_11x_0)</f>
        <v>297.75</v>
      </c>
      <c r="Q60" s="1"/>
      <c r="R60" s="5">
        <f t="shared" si="36"/>
        <v>0</v>
      </c>
      <c r="S60" s="1"/>
      <c r="T60" s="1">
        <f>SUM(OSRRefT22_11x_0)</f>
        <v>1000</v>
      </c>
      <c r="U60" s="1"/>
      <c r="V60" s="5">
        <f t="shared" si="37"/>
        <v>0</v>
      </c>
      <c r="W60" s="1"/>
      <c r="X60" s="1">
        <f t="shared" si="38"/>
        <v>-702.25</v>
      </c>
      <c r="Y60" s="1"/>
      <c r="Z60" s="5">
        <f t="shared" si="39"/>
        <v>-0.70225000000000004</v>
      </c>
    </row>
    <row r="61" spans="1:26" s="24" customFormat="1" hidden="1" outlineLevel="2" x14ac:dyDescent="0.25">
      <c r="A61" s="27"/>
      <c r="B61" s="11" t="str">
        <f>CONCATENATE("          ", "6234", " - ", "EXPENDABLE SUPPLIES &amp; EQUIPMEN")</f>
        <v xml:space="preserve">          6234 - EXPENDABLE SUPPLIES &amp; EQUIPMEN</v>
      </c>
      <c r="C61" s="11"/>
      <c r="D61" s="6"/>
      <c r="E61" s="2"/>
      <c r="F61" s="7">
        <f t="shared" si="32"/>
        <v>0</v>
      </c>
      <c r="G61" s="2"/>
      <c r="H61" s="6">
        <v>500</v>
      </c>
      <c r="I61" s="2"/>
      <c r="J61" s="7">
        <f t="shared" si="33"/>
        <v>0</v>
      </c>
      <c r="K61" s="2"/>
      <c r="L61" s="6">
        <f t="shared" si="34"/>
        <v>-500</v>
      </c>
      <c r="M61" s="2"/>
      <c r="N61" s="7">
        <f t="shared" si="35"/>
        <v>-1</v>
      </c>
      <c r="O61" s="11"/>
      <c r="P61" s="6"/>
      <c r="Q61" s="2"/>
      <c r="R61" s="7">
        <f t="shared" si="36"/>
        <v>0</v>
      </c>
      <c r="S61" s="2"/>
      <c r="T61" s="6">
        <v>1000</v>
      </c>
      <c r="U61" s="2"/>
      <c r="V61" s="7">
        <f t="shared" si="37"/>
        <v>0</v>
      </c>
      <c r="W61" s="2"/>
      <c r="X61" s="6">
        <f t="shared" si="38"/>
        <v>-1000</v>
      </c>
      <c r="Y61" s="2"/>
      <c r="Z61" s="7">
        <f t="shared" si="39"/>
        <v>-1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6">
        <v>130.55000000000001</v>
      </c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130.55000000000001</v>
      </c>
      <c r="M62" s="2"/>
      <c r="N62" s="7">
        <f t="shared" si="35"/>
        <v>0</v>
      </c>
      <c r="O62" s="11"/>
      <c r="P62" s="6">
        <v>265.89</v>
      </c>
      <c r="Q62" s="2"/>
      <c r="R62" s="7">
        <f t="shared" si="36"/>
        <v>0</v>
      </c>
      <c r="S62" s="2"/>
      <c r="T62" s="6"/>
      <c r="U62" s="2"/>
      <c r="V62" s="7">
        <f t="shared" si="37"/>
        <v>0</v>
      </c>
      <c r="W62" s="2"/>
      <c r="X62" s="6">
        <f t="shared" si="38"/>
        <v>265.89</v>
      </c>
      <c r="Y62" s="2"/>
      <c r="Z62" s="7">
        <f t="shared" si="39"/>
        <v>0</v>
      </c>
    </row>
    <row r="63" spans="1:26" s="24" customFormat="1" hidden="1" outlineLevel="2" x14ac:dyDescent="0.25">
      <c r="A63" s="27"/>
      <c r="B63" s="11" t="str">
        <f>CONCATENATE("          ", "6245", " - ", "PRINTING")</f>
        <v xml:space="preserve">          6245 - PRINTING</v>
      </c>
      <c r="C63" s="11"/>
      <c r="D63" s="6"/>
      <c r="E63" s="2"/>
      <c r="F63" s="7">
        <f t="shared" si="32"/>
        <v>0</v>
      </c>
      <c r="G63" s="2"/>
      <c r="H63" s="6"/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>
        <v>31.86</v>
      </c>
      <c r="Q63" s="2"/>
      <c r="R63" s="7">
        <f t="shared" si="36"/>
        <v>0</v>
      </c>
      <c r="S63" s="2"/>
      <c r="T63" s="6"/>
      <c r="U63" s="2"/>
      <c r="V63" s="7">
        <f t="shared" si="37"/>
        <v>0</v>
      </c>
      <c r="W63" s="2"/>
      <c r="X63" s="6">
        <f t="shared" si="38"/>
        <v>31.86</v>
      </c>
      <c r="Y63" s="2"/>
      <c r="Z63" s="7">
        <f t="shared" si="39"/>
        <v>0</v>
      </c>
    </row>
    <row r="64" spans="1:26" s="26" customFormat="1" outlineLevel="1" collapsed="1" x14ac:dyDescent="0.25">
      <c r="A64" s="25"/>
      <c r="B64" s="13" t="str">
        <f>CONCATENATE("     ","Telephone/Data Lines                              ")</f>
        <v xml:space="preserve">     Telephone/Data Lines                              </v>
      </c>
      <c r="C64" s="13"/>
      <c r="D64" s="1">
        <f>SUM(OSRRefD22_12x_0)</f>
        <v>318.95</v>
      </c>
      <c r="E64" s="1"/>
      <c r="F64" s="5">
        <f t="shared" ref="F64:F69" si="40">IF(D$12=0,0,D64/D$12)</f>
        <v>0</v>
      </c>
      <c r="G64" s="1"/>
      <c r="H64" s="1">
        <f>SUM(OSRRefH22_12x_0)</f>
        <v>350</v>
      </c>
      <c r="I64" s="1"/>
      <c r="J64" s="5">
        <f t="shared" ref="J64:J69" si="41">IF(H$12=0,0,H64/H$12)</f>
        <v>0</v>
      </c>
      <c r="K64" s="1"/>
      <c r="L64" s="1">
        <f t="shared" ref="L64:L69" si="42">+D64-H64</f>
        <v>-31.050000000000011</v>
      </c>
      <c r="M64" s="1"/>
      <c r="N64" s="5">
        <f t="shared" ref="N64:N69" si="43">IF(H64=0,0,L64/H64)</f>
        <v>-8.8714285714285745E-2</v>
      </c>
      <c r="O64" s="13"/>
      <c r="P64" s="1">
        <f>SUM(OSRRefP22_12x_0)</f>
        <v>459.63</v>
      </c>
      <c r="Q64" s="1"/>
      <c r="R64" s="5">
        <f t="shared" ref="R64:R69" si="44">IF(P$12=0,0,P64/P$12)</f>
        <v>0</v>
      </c>
      <c r="S64" s="1"/>
      <c r="T64" s="1">
        <f>SUM(OSRRefT22_12x_0)</f>
        <v>700</v>
      </c>
      <c r="U64" s="1"/>
      <c r="V64" s="5">
        <f t="shared" ref="V64:V69" si="45">IF(T$12=0,0,T64/T$12)</f>
        <v>0</v>
      </c>
      <c r="W64" s="1"/>
      <c r="X64" s="1">
        <f t="shared" ref="X64:X69" si="46">+P64-T64</f>
        <v>-240.37</v>
      </c>
      <c r="Y64" s="1"/>
      <c r="Z64" s="5">
        <f t="shared" ref="Z64:Z69" si="47">IF(T64=0,0,X64/T64)</f>
        <v>-0.34338571428571429</v>
      </c>
    </row>
    <row r="65" spans="1:26" s="24" customFormat="1" hidden="1" outlineLevel="2" x14ac:dyDescent="0.25">
      <c r="A65" s="27"/>
      <c r="B65" s="11" t="str">
        <f>CONCATENATE("          ", "6309", " - ", "TELEPHONE")</f>
        <v xml:space="preserve">          6309 - TELEPHONE</v>
      </c>
      <c r="C65" s="11"/>
      <c r="D65" s="6">
        <v>318.95</v>
      </c>
      <c r="E65" s="2"/>
      <c r="F65" s="7">
        <f t="shared" si="40"/>
        <v>0</v>
      </c>
      <c r="G65" s="2"/>
      <c r="H65" s="6">
        <v>350</v>
      </c>
      <c r="I65" s="2"/>
      <c r="J65" s="7">
        <f t="shared" si="41"/>
        <v>0</v>
      </c>
      <c r="K65" s="2"/>
      <c r="L65" s="6">
        <f t="shared" si="42"/>
        <v>-31.050000000000011</v>
      </c>
      <c r="M65" s="2"/>
      <c r="N65" s="7">
        <f t="shared" si="43"/>
        <v>-8.8714285714285745E-2</v>
      </c>
      <c r="O65" s="11"/>
      <c r="P65" s="6">
        <v>459.63</v>
      </c>
      <c r="Q65" s="2"/>
      <c r="R65" s="7">
        <f t="shared" si="44"/>
        <v>0</v>
      </c>
      <c r="S65" s="2"/>
      <c r="T65" s="6">
        <v>700</v>
      </c>
      <c r="U65" s="2"/>
      <c r="V65" s="7">
        <f t="shared" si="45"/>
        <v>0</v>
      </c>
      <c r="W65" s="2"/>
      <c r="X65" s="6">
        <f t="shared" si="46"/>
        <v>-240.37</v>
      </c>
      <c r="Y65" s="2"/>
      <c r="Z65" s="7">
        <f t="shared" si="47"/>
        <v>-0.34338571428571429</v>
      </c>
    </row>
    <row r="66" spans="1:26" s="26" customFormat="1" outlineLevel="1" collapsed="1" x14ac:dyDescent="0.25">
      <c r="A66" s="25"/>
      <c r="B66" s="13" t="str">
        <f>CONCATENATE("     ","Training                                          ")</f>
        <v xml:space="preserve">     Training                                          </v>
      </c>
      <c r="C66" s="13"/>
      <c r="D66" s="1">
        <f>SUM(OSRRefD22_13x_0)</f>
        <v>0</v>
      </c>
      <c r="E66" s="1"/>
      <c r="F66" s="5">
        <f t="shared" si="40"/>
        <v>0</v>
      </c>
      <c r="G66" s="1"/>
      <c r="H66" s="1">
        <f>SUM(OSRRefH22_13x_0)</f>
        <v>1200</v>
      </c>
      <c r="I66" s="1"/>
      <c r="J66" s="5">
        <f t="shared" si="41"/>
        <v>0</v>
      </c>
      <c r="K66" s="1"/>
      <c r="L66" s="1">
        <f t="shared" si="42"/>
        <v>-1200</v>
      </c>
      <c r="M66" s="1"/>
      <c r="N66" s="5">
        <f t="shared" si="43"/>
        <v>-1</v>
      </c>
      <c r="O66" s="13"/>
      <c r="P66" s="1">
        <f>SUM(OSRRefP22_13x_0)</f>
        <v>0</v>
      </c>
      <c r="Q66" s="1"/>
      <c r="R66" s="5">
        <f t="shared" si="44"/>
        <v>0</v>
      </c>
      <c r="S66" s="1"/>
      <c r="T66" s="1">
        <f>SUM(OSRRefT22_13x_0)</f>
        <v>1200</v>
      </c>
      <c r="U66" s="1"/>
      <c r="V66" s="5">
        <f t="shared" si="45"/>
        <v>0</v>
      </c>
      <c r="W66" s="1"/>
      <c r="X66" s="1">
        <f t="shared" si="46"/>
        <v>-1200</v>
      </c>
      <c r="Y66" s="1"/>
      <c r="Z66" s="5">
        <f t="shared" si="47"/>
        <v>-1</v>
      </c>
    </row>
    <row r="67" spans="1:26" s="24" customFormat="1" hidden="1" outlineLevel="2" x14ac:dyDescent="0.25">
      <c r="A67" s="27"/>
      <c r="B67" s="11" t="str">
        <f>CONCATENATE("          ", "6376", " - ", "TRAINING")</f>
        <v xml:space="preserve">          6376 - TRAINING</v>
      </c>
      <c r="C67" s="11"/>
      <c r="D67" s="6"/>
      <c r="E67" s="2"/>
      <c r="F67" s="7">
        <f t="shared" si="40"/>
        <v>0</v>
      </c>
      <c r="G67" s="2"/>
      <c r="H67" s="6">
        <v>1200</v>
      </c>
      <c r="I67" s="2"/>
      <c r="J67" s="7">
        <f t="shared" si="41"/>
        <v>0</v>
      </c>
      <c r="K67" s="2"/>
      <c r="L67" s="6">
        <f t="shared" si="42"/>
        <v>-1200</v>
      </c>
      <c r="M67" s="2"/>
      <c r="N67" s="7">
        <f t="shared" si="43"/>
        <v>-1</v>
      </c>
      <c r="O67" s="11"/>
      <c r="P67" s="6"/>
      <c r="Q67" s="2"/>
      <c r="R67" s="7">
        <f t="shared" si="44"/>
        <v>0</v>
      </c>
      <c r="S67" s="2"/>
      <c r="T67" s="6">
        <v>1200</v>
      </c>
      <c r="U67" s="2"/>
      <c r="V67" s="7">
        <f t="shared" si="45"/>
        <v>0</v>
      </c>
      <c r="W67" s="2"/>
      <c r="X67" s="6">
        <f t="shared" si="46"/>
        <v>-1200</v>
      </c>
      <c r="Y67" s="2"/>
      <c r="Z67" s="7">
        <f t="shared" si="47"/>
        <v>-1</v>
      </c>
    </row>
    <row r="68" spans="1:26" s="26" customFormat="1" outlineLevel="1" collapsed="1" x14ac:dyDescent="0.25">
      <c r="A68" s="25"/>
      <c r="B68" s="13" t="str">
        <f>CONCATENATE("     ","Travel                                            ")</f>
        <v xml:space="preserve">     Travel                                            </v>
      </c>
      <c r="C68" s="13"/>
      <c r="D68" s="1">
        <f>SUM(OSRRefD22_14x_0)</f>
        <v>2486.42</v>
      </c>
      <c r="E68" s="1"/>
      <c r="F68" s="5">
        <f t="shared" si="40"/>
        <v>0</v>
      </c>
      <c r="G68" s="1"/>
      <c r="H68" s="1">
        <f>SUM(OSRRefH22_14x_0)</f>
        <v>1000</v>
      </c>
      <c r="I68" s="1"/>
      <c r="J68" s="5">
        <f t="shared" si="41"/>
        <v>0</v>
      </c>
      <c r="K68" s="1"/>
      <c r="L68" s="1">
        <f t="shared" si="42"/>
        <v>1486.42</v>
      </c>
      <c r="M68" s="1"/>
      <c r="N68" s="5">
        <f t="shared" si="43"/>
        <v>1.4864200000000001</v>
      </c>
      <c r="O68" s="13"/>
      <c r="P68" s="1">
        <f>SUM(OSRRefP22_14x_0)</f>
        <v>2807.26</v>
      </c>
      <c r="Q68" s="1"/>
      <c r="R68" s="5">
        <f t="shared" si="44"/>
        <v>0</v>
      </c>
      <c r="S68" s="1"/>
      <c r="T68" s="1">
        <f>SUM(OSRRefT22_14x_0)</f>
        <v>2250</v>
      </c>
      <c r="U68" s="1"/>
      <c r="V68" s="5">
        <f t="shared" si="45"/>
        <v>0</v>
      </c>
      <c r="W68" s="1"/>
      <c r="X68" s="1">
        <f t="shared" si="46"/>
        <v>557.26000000000022</v>
      </c>
      <c r="Y68" s="1"/>
      <c r="Z68" s="5">
        <f t="shared" si="47"/>
        <v>0.2476711111111112</v>
      </c>
    </row>
    <row r="69" spans="1:26" s="24" customFormat="1" hidden="1" outlineLevel="2" x14ac:dyDescent="0.25">
      <c r="A69" s="27"/>
      <c r="B69" s="11" t="str">
        <f>CONCATENATE("          ", "6292", " - ", "TRAVEL/CONFERENCE")</f>
        <v xml:space="preserve">          6292 - TRAVEL/CONFERENCE</v>
      </c>
      <c r="C69" s="11"/>
      <c r="D69" s="6">
        <v>2486.42</v>
      </c>
      <c r="E69" s="2"/>
      <c r="F69" s="7">
        <f t="shared" si="40"/>
        <v>0</v>
      </c>
      <c r="G69" s="2"/>
      <c r="H69" s="6">
        <v>1000</v>
      </c>
      <c r="I69" s="2"/>
      <c r="J69" s="7">
        <f t="shared" si="41"/>
        <v>0</v>
      </c>
      <c r="K69" s="2"/>
      <c r="L69" s="6">
        <f t="shared" si="42"/>
        <v>1486.42</v>
      </c>
      <c r="M69" s="2"/>
      <c r="N69" s="7">
        <f t="shared" si="43"/>
        <v>1.4864200000000001</v>
      </c>
      <c r="O69" s="11"/>
      <c r="P69" s="6">
        <v>2807.26</v>
      </c>
      <c r="Q69" s="2"/>
      <c r="R69" s="7">
        <f t="shared" si="44"/>
        <v>0</v>
      </c>
      <c r="S69" s="2"/>
      <c r="T69" s="6">
        <v>2250</v>
      </c>
      <c r="U69" s="2"/>
      <c r="V69" s="7">
        <f t="shared" si="45"/>
        <v>0</v>
      </c>
      <c r="W69" s="2"/>
      <c r="X69" s="6">
        <f t="shared" si="46"/>
        <v>557.26000000000022</v>
      </c>
      <c r="Y69" s="2"/>
      <c r="Z69" s="7">
        <f t="shared" si="47"/>
        <v>0.2476711111111112</v>
      </c>
    </row>
    <row r="70" spans="1:26" s="63" customFormat="1" x14ac:dyDescent="0.25">
      <c r="A70" s="36"/>
      <c r="B70" s="36"/>
      <c r="C70" s="36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8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9" t="s">
        <v>3</v>
      </c>
      <c r="C73" s="29"/>
      <c r="D73" s="22">
        <f>+D16-D18+D71</f>
        <v>-167481.93000000002</v>
      </c>
      <c r="E73" s="14"/>
      <c r="F73" s="20">
        <f>IF(D$12=0,0,D73/D$12)</f>
        <v>0</v>
      </c>
      <c r="G73" s="14"/>
      <c r="H73" s="22">
        <f>+H16-H18+H71</f>
        <v>-358026.39441692305</v>
      </c>
      <c r="I73" s="14"/>
      <c r="J73" s="20">
        <f>IF(H$12=0,0,H73/H$12)</f>
        <v>0</v>
      </c>
      <c r="K73" s="15"/>
      <c r="L73" s="22">
        <f>+D73-H73</f>
        <v>190544.46441692303</v>
      </c>
      <c r="M73" s="15"/>
      <c r="N73" s="20">
        <f>IF(H73=0,0,L73/H73)</f>
        <v>-0.5322078689959191</v>
      </c>
      <c r="O73" s="28"/>
      <c r="P73" s="22">
        <f>+P16-P18+P71</f>
        <v>-244873.1</v>
      </c>
      <c r="Q73" s="14"/>
      <c r="R73" s="20">
        <f>IF(P$12=0,0,P73/P$12)</f>
        <v>0</v>
      </c>
      <c r="S73" s="14"/>
      <c r="T73" s="22">
        <f>+T16-T18+T71</f>
        <v>-454487.6374380769</v>
      </c>
      <c r="U73" s="14"/>
      <c r="V73" s="20">
        <f>IF(T$12=0,0,T73/T$12)</f>
        <v>0</v>
      </c>
      <c r="W73" s="15"/>
      <c r="X73" s="22">
        <f>+P73-T73</f>
        <v>209614.53743807689</v>
      </c>
      <c r="Y73" s="15"/>
      <c r="Z73" s="20">
        <f>IF(T73=0,0,X73/T73)</f>
        <v>-0.46121064726790612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14</v>
      </c>
      <c r="C75" s="10"/>
      <c r="D75" s="4"/>
      <c r="E75" s="4"/>
      <c r="F75" s="12">
        <f>IF(D$12=0,0,D75/D$12)</f>
        <v>0</v>
      </c>
      <c r="G75" s="4"/>
      <c r="H75" s="4"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9" t="s">
        <v>4</v>
      </c>
      <c r="C77" s="29"/>
      <c r="D77" s="31">
        <f>+D73-D75</f>
        <v>-167481.93000000002</v>
      </c>
      <c r="E77" s="14"/>
      <c r="F77" s="32">
        <f>IF(D$12=0,0,D77/D$12)</f>
        <v>0</v>
      </c>
      <c r="G77" s="14"/>
      <c r="H77" s="31">
        <f>+H73-H75</f>
        <v>-358026.39441692305</v>
      </c>
      <c r="I77" s="14"/>
      <c r="J77" s="32">
        <f>IF(H$12=0,0,H77/H$12)</f>
        <v>0</v>
      </c>
      <c r="K77" s="15"/>
      <c r="L77" s="31">
        <f>D77-H77</f>
        <v>190544.46441692303</v>
      </c>
      <c r="M77" s="15"/>
      <c r="N77" s="32">
        <f>IF(H77=0,0,L77/H77)</f>
        <v>-0.5322078689959191</v>
      </c>
      <c r="O77" s="28"/>
      <c r="P77" s="31">
        <f>+P73-P75</f>
        <v>-244873.1</v>
      </c>
      <c r="Q77" s="14"/>
      <c r="R77" s="32">
        <f>IF(P$12=0,0,P77/P$12)</f>
        <v>0</v>
      </c>
      <c r="S77" s="14"/>
      <c r="T77" s="31">
        <f>+T73-T75</f>
        <v>-454487.6374380769</v>
      </c>
      <c r="U77" s="14"/>
      <c r="V77" s="32">
        <f>IF(T$12=0,0,T77/T$12)</f>
        <v>0</v>
      </c>
      <c r="W77" s="15"/>
      <c r="X77" s="31">
        <f>P77-T77</f>
        <v>209614.53743807689</v>
      </c>
      <c r="Y77" s="15"/>
      <c r="Z77" s="32">
        <f>IF(T77=0,0,X77/T77)</f>
        <v>-0.46121064726790612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5</v>
      </c>
      <c r="C80" s="29"/>
      <c r="D80" s="33">
        <f>SUM(D77:D79)</f>
        <v>-167481.93000000002</v>
      </c>
      <c r="E80" s="14"/>
      <c r="F80" s="35">
        <f>IF(D$12=0,0,D80/D$12)</f>
        <v>0</v>
      </c>
      <c r="G80" s="14"/>
      <c r="H80" s="33">
        <f>SUM(H77:H79)</f>
        <v>-358026.39441692305</v>
      </c>
      <c r="I80" s="14"/>
      <c r="J80" s="35">
        <f>IF(H$12=0,0,H80/H$12)</f>
        <v>0</v>
      </c>
      <c r="K80" s="15"/>
      <c r="L80" s="33">
        <f>+D80-H80</f>
        <v>190544.46441692303</v>
      </c>
      <c r="M80" s="15"/>
      <c r="N80" s="35">
        <f>IF(H80=0,0,L80/H80)</f>
        <v>-0.5322078689959191</v>
      </c>
      <c r="O80" s="28"/>
      <c r="P80" s="33">
        <f>SUM(P77:P79)</f>
        <v>-244873.1</v>
      </c>
      <c r="Q80" s="14"/>
      <c r="R80" s="35">
        <f>IF(P$12=0,0,P80/P$12)</f>
        <v>0</v>
      </c>
      <c r="S80" s="14"/>
      <c r="T80" s="33">
        <f>SUM(T77:T79)</f>
        <v>-454487.6374380769</v>
      </c>
      <c r="U80" s="14"/>
      <c r="V80" s="35">
        <f>IF(T$12=0,0,T80/T$12)</f>
        <v>0</v>
      </c>
      <c r="W80" s="15"/>
      <c r="X80" s="33">
        <f>+P80-T80</f>
        <v>209614.53743807689</v>
      </c>
      <c r="Y80" s="15"/>
      <c r="Z80" s="35">
        <f>IF(T80=0,0,X80/T80)</f>
        <v>-0.46121064726790612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1">
        <v>43732.705730671296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62" t="s">
        <v>314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A84" s="9"/>
      <c r="B84" s="58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4" x14ac:dyDescent="0.25"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","202", " - ", "Accounting")</f>
        <v>Department 202 - Accounting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46130.020000000004</v>
      </c>
      <c r="E18" s="19"/>
      <c r="F18" s="34">
        <f t="shared" ref="F18:F28" si="0">IF(D$12=0,0,D18/D$12)</f>
        <v>0</v>
      </c>
      <c r="G18" s="19"/>
      <c r="H18" s="19">
        <f>SUM(OSRRefH22x_0)</f>
        <v>49506.594363846103</v>
      </c>
      <c r="I18" s="19"/>
      <c r="J18" s="34">
        <f t="shared" ref="J18:J28" si="1">IF(H$12=0,0,H18/H$12)</f>
        <v>0</v>
      </c>
      <c r="K18" s="4"/>
      <c r="L18" s="19">
        <f t="shared" ref="L18:L28" si="2">+D18-H18</f>
        <v>-3376.574363846099</v>
      </c>
      <c r="M18" s="4"/>
      <c r="N18" s="34">
        <f t="shared" ref="N18:N28" si="3">IF(H18=0,0,L18/H18)</f>
        <v>-6.8204537339614679E-2</v>
      </c>
      <c r="O18" s="10"/>
      <c r="P18" s="19">
        <f>SUM(OSRRefP22x_0)</f>
        <v>101417.27999999998</v>
      </c>
      <c r="Q18" s="19"/>
      <c r="R18" s="34">
        <f t="shared" ref="R18:R28" si="4">IF(P$12=0,0,P18/P$12)</f>
        <v>0</v>
      </c>
      <c r="S18" s="19"/>
      <c r="T18" s="19">
        <f>SUM(OSRRefT22x_0)</f>
        <v>108943.26350615379</v>
      </c>
      <c r="U18" s="19"/>
      <c r="V18" s="34">
        <f t="shared" ref="V18:V28" si="5">IF(T$12=0,0,T18/T$12)</f>
        <v>0</v>
      </c>
      <c r="W18" s="4"/>
      <c r="X18" s="19">
        <f t="shared" ref="X18:X28" si="6">+P18-T18</f>
        <v>-7525.9835061538033</v>
      </c>
      <c r="Y18" s="4"/>
      <c r="Z18" s="34">
        <f t="shared" ref="Z18:Z28" si="7">IF(T18=0,0,X18/T18)</f>
        <v>-6.9081678517264988E-2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14017.560000000001</v>
      </c>
      <c r="E19" s="1"/>
      <c r="F19" s="5">
        <f t="shared" si="0"/>
        <v>0</v>
      </c>
      <c r="G19" s="1"/>
      <c r="H19" s="1">
        <f>SUM(OSRRefH22_0x_0)</f>
        <v>14300.285902307682</v>
      </c>
      <c r="I19" s="1"/>
      <c r="J19" s="5">
        <f t="shared" si="1"/>
        <v>0</v>
      </c>
      <c r="K19" s="1"/>
      <c r="L19" s="1">
        <f t="shared" si="2"/>
        <v>-282.72590230768037</v>
      </c>
      <c r="M19" s="1"/>
      <c r="N19" s="5">
        <f t="shared" si="3"/>
        <v>-1.9770646841547133E-2</v>
      </c>
      <c r="O19" s="13"/>
      <c r="P19" s="1">
        <f>SUM(OSRRefP22_0x_0)</f>
        <v>31848.1</v>
      </c>
      <c r="Q19" s="1"/>
      <c r="R19" s="5">
        <f t="shared" si="4"/>
        <v>0</v>
      </c>
      <c r="S19" s="1"/>
      <c r="T19" s="1">
        <f>SUM(OSRRefT22_0x_0)</f>
        <v>30769.881967692309</v>
      </c>
      <c r="U19" s="1"/>
      <c r="V19" s="5">
        <f t="shared" si="5"/>
        <v>0</v>
      </c>
      <c r="W19" s="1"/>
      <c r="X19" s="1">
        <f t="shared" si="6"/>
        <v>1078.21803230769</v>
      </c>
      <c r="Y19" s="1"/>
      <c r="Z19" s="5">
        <f t="shared" si="7"/>
        <v>3.5041344436738335E-2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1932.22</v>
      </c>
      <c r="E20" s="2"/>
      <c r="F20" s="7">
        <f t="shared" si="0"/>
        <v>0</v>
      </c>
      <c r="G20" s="2"/>
      <c r="H20" s="6">
        <v>2349.7123638461503</v>
      </c>
      <c r="I20" s="2"/>
      <c r="J20" s="7">
        <f t="shared" si="1"/>
        <v>0</v>
      </c>
      <c r="K20" s="2"/>
      <c r="L20" s="6">
        <f t="shared" si="2"/>
        <v>-417.49236384615028</v>
      </c>
      <c r="M20" s="2"/>
      <c r="N20" s="7">
        <f t="shared" si="3"/>
        <v>-0.17767807254619614</v>
      </c>
      <c r="O20" s="11"/>
      <c r="P20" s="6">
        <v>4093.89</v>
      </c>
      <c r="Q20" s="2"/>
      <c r="R20" s="7">
        <f t="shared" si="4"/>
        <v>0</v>
      </c>
      <c r="S20" s="2"/>
      <c r="T20" s="6">
        <v>5584.8415061538399</v>
      </c>
      <c r="U20" s="2"/>
      <c r="V20" s="7">
        <f t="shared" si="5"/>
        <v>0</v>
      </c>
      <c r="W20" s="2"/>
      <c r="X20" s="6">
        <f t="shared" si="6"/>
        <v>-1490.95150615384</v>
      </c>
      <c r="Y20" s="2"/>
      <c r="Z20" s="7">
        <f t="shared" si="7"/>
        <v>-0.26696397820976414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101.94</v>
      </c>
      <c r="E21" s="2"/>
      <c r="F21" s="7">
        <f t="shared" si="0"/>
        <v>0</v>
      </c>
      <c r="G21" s="2"/>
      <c r="H21" s="6">
        <v>114.98172307692299</v>
      </c>
      <c r="I21" s="2"/>
      <c r="J21" s="7">
        <f t="shared" si="1"/>
        <v>0</v>
      </c>
      <c r="K21" s="2"/>
      <c r="L21" s="6">
        <f t="shared" si="2"/>
        <v>-13.041723076922992</v>
      </c>
      <c r="M21" s="2"/>
      <c r="N21" s="7">
        <f t="shared" si="3"/>
        <v>-0.11342431412510712</v>
      </c>
      <c r="O21" s="11"/>
      <c r="P21" s="6">
        <v>198.53</v>
      </c>
      <c r="Q21" s="2"/>
      <c r="R21" s="7">
        <f t="shared" si="4"/>
        <v>0</v>
      </c>
      <c r="S21" s="2"/>
      <c r="T21" s="6">
        <v>258.70887692307701</v>
      </c>
      <c r="U21" s="2"/>
      <c r="V21" s="7">
        <f t="shared" si="5"/>
        <v>0</v>
      </c>
      <c r="W21" s="2"/>
      <c r="X21" s="6">
        <f t="shared" si="6"/>
        <v>-60.178876923077013</v>
      </c>
      <c r="Y21" s="2"/>
      <c r="Z21" s="7">
        <f t="shared" si="7"/>
        <v>-0.23261233877556606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5942.02</v>
      </c>
      <c r="E22" s="2"/>
      <c r="F22" s="7">
        <f t="shared" si="0"/>
        <v>0</v>
      </c>
      <c r="G22" s="2"/>
      <c r="H22" s="6">
        <v>6065</v>
      </c>
      <c r="I22" s="2"/>
      <c r="J22" s="7">
        <f t="shared" si="1"/>
        <v>0</v>
      </c>
      <c r="K22" s="2"/>
      <c r="L22" s="6">
        <f t="shared" si="2"/>
        <v>-122.97999999999956</v>
      </c>
      <c r="M22" s="2"/>
      <c r="N22" s="7">
        <f t="shared" si="3"/>
        <v>-2.027699917559762E-2</v>
      </c>
      <c r="O22" s="11"/>
      <c r="P22" s="6">
        <v>11884.04</v>
      </c>
      <c r="Q22" s="2"/>
      <c r="R22" s="7">
        <f t="shared" si="4"/>
        <v>0</v>
      </c>
      <c r="S22" s="2"/>
      <c r="T22" s="6">
        <v>12130</v>
      </c>
      <c r="U22" s="2"/>
      <c r="V22" s="7">
        <f t="shared" si="5"/>
        <v>0</v>
      </c>
      <c r="W22" s="2"/>
      <c r="X22" s="6">
        <f t="shared" si="6"/>
        <v>-245.95999999999913</v>
      </c>
      <c r="Y22" s="2"/>
      <c r="Z22" s="7">
        <f t="shared" si="7"/>
        <v>-2.027699917559762E-2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77.95</v>
      </c>
      <c r="E23" s="2"/>
      <c r="F23" s="7">
        <f t="shared" si="0"/>
        <v>0</v>
      </c>
      <c r="G23" s="2"/>
      <c r="H23" s="6">
        <v>87.927199999999999</v>
      </c>
      <c r="I23" s="2"/>
      <c r="J23" s="7">
        <f t="shared" si="1"/>
        <v>0</v>
      </c>
      <c r="K23" s="2"/>
      <c r="L23" s="6">
        <f t="shared" si="2"/>
        <v>-9.9771999999999963</v>
      </c>
      <c r="M23" s="2"/>
      <c r="N23" s="7">
        <f t="shared" si="3"/>
        <v>-0.11347114431029302</v>
      </c>
      <c r="O23" s="11"/>
      <c r="P23" s="6">
        <v>151.81</v>
      </c>
      <c r="Q23" s="2"/>
      <c r="R23" s="7">
        <f t="shared" si="4"/>
        <v>0</v>
      </c>
      <c r="S23" s="2"/>
      <c r="T23" s="6">
        <v>197.83619999999999</v>
      </c>
      <c r="U23" s="2"/>
      <c r="V23" s="7">
        <f t="shared" si="5"/>
        <v>0</v>
      </c>
      <c r="W23" s="2"/>
      <c r="X23" s="6">
        <f t="shared" si="6"/>
        <v>-46.026199999999989</v>
      </c>
      <c r="Y23" s="2"/>
      <c r="Z23" s="7">
        <f t="shared" si="7"/>
        <v>-0.23264801891665929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2196.79</v>
      </c>
      <c r="E24" s="2"/>
      <c r="F24" s="7">
        <f t="shared" si="0"/>
        <v>0</v>
      </c>
      <c r="G24" s="2"/>
      <c r="H24" s="6">
        <v>2159.9892307692298</v>
      </c>
      <c r="I24" s="2"/>
      <c r="J24" s="7">
        <f t="shared" si="1"/>
        <v>0</v>
      </c>
      <c r="K24" s="2"/>
      <c r="L24" s="6">
        <f t="shared" si="2"/>
        <v>36.800769230770129</v>
      </c>
      <c r="M24" s="2"/>
      <c r="N24" s="7">
        <f t="shared" si="3"/>
        <v>1.7037478107085002E-2</v>
      </c>
      <c r="O24" s="11"/>
      <c r="P24" s="6">
        <v>4393.58</v>
      </c>
      <c r="Q24" s="2"/>
      <c r="R24" s="7">
        <f t="shared" si="4"/>
        <v>0</v>
      </c>
      <c r="S24" s="2"/>
      <c r="T24" s="6">
        <v>4859.9757692307703</v>
      </c>
      <c r="U24" s="2"/>
      <c r="V24" s="7">
        <f t="shared" si="5"/>
        <v>0</v>
      </c>
      <c r="W24" s="2"/>
      <c r="X24" s="6">
        <f t="shared" si="6"/>
        <v>-466.39576923077038</v>
      </c>
      <c r="Y24" s="2"/>
      <c r="Z24" s="7">
        <f t="shared" si="7"/>
        <v>-9.5966686127036141E-2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1866.76</v>
      </c>
      <c r="E26" s="2"/>
      <c r="F26" s="7">
        <f t="shared" si="0"/>
        <v>0</v>
      </c>
      <c r="G26" s="2"/>
      <c r="H26" s="6">
        <v>1255.8076923076899</v>
      </c>
      <c r="I26" s="2"/>
      <c r="J26" s="7">
        <f t="shared" si="1"/>
        <v>0</v>
      </c>
      <c r="K26" s="2"/>
      <c r="L26" s="6">
        <f t="shared" si="2"/>
        <v>610.95230769231011</v>
      </c>
      <c r="M26" s="2"/>
      <c r="N26" s="7">
        <f t="shared" si="3"/>
        <v>0.48650148540626914</v>
      </c>
      <c r="O26" s="11"/>
      <c r="P26" s="6">
        <v>4607.9399999999996</v>
      </c>
      <c r="Q26" s="2"/>
      <c r="R26" s="7">
        <f t="shared" si="4"/>
        <v>0</v>
      </c>
      <c r="S26" s="2"/>
      <c r="T26" s="6">
        <v>2825.5673076923099</v>
      </c>
      <c r="U26" s="2"/>
      <c r="V26" s="7">
        <f t="shared" si="5"/>
        <v>0</v>
      </c>
      <c r="W26" s="2"/>
      <c r="X26" s="6">
        <f t="shared" si="6"/>
        <v>1782.3726923076897</v>
      </c>
      <c r="Y26" s="2"/>
      <c r="Z26" s="7">
        <f t="shared" si="7"/>
        <v>0.63080171102467364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1152.2</v>
      </c>
      <c r="E27" s="2"/>
      <c r="F27" s="7">
        <f t="shared" si="0"/>
        <v>0</v>
      </c>
      <c r="G27" s="2"/>
      <c r="H27" s="6">
        <v>1516.8676923076898</v>
      </c>
      <c r="I27" s="2"/>
      <c r="J27" s="7">
        <f t="shared" si="1"/>
        <v>0</v>
      </c>
      <c r="K27" s="2"/>
      <c r="L27" s="6">
        <f t="shared" si="2"/>
        <v>-364.66769230768978</v>
      </c>
      <c r="M27" s="2"/>
      <c r="N27" s="7">
        <f t="shared" si="3"/>
        <v>-0.24040837190810085</v>
      </c>
      <c r="O27" s="11"/>
      <c r="P27" s="6">
        <v>5087.1099999999997</v>
      </c>
      <c r="Q27" s="2"/>
      <c r="R27" s="7">
        <f t="shared" si="4"/>
        <v>0</v>
      </c>
      <c r="S27" s="2"/>
      <c r="T27" s="6">
        <v>3412.9523076923101</v>
      </c>
      <c r="U27" s="2"/>
      <c r="V27" s="7">
        <f t="shared" si="5"/>
        <v>0</v>
      </c>
      <c r="W27" s="2"/>
      <c r="X27" s="6">
        <f t="shared" si="6"/>
        <v>1674.1576923076896</v>
      </c>
      <c r="Y27" s="2"/>
      <c r="Z27" s="7">
        <f t="shared" si="7"/>
        <v>0.49053064367010807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747.68</v>
      </c>
      <c r="E28" s="2"/>
      <c r="F28" s="7">
        <f t="shared" si="0"/>
        <v>0</v>
      </c>
      <c r="G28" s="2"/>
      <c r="H28" s="6">
        <v>750</v>
      </c>
      <c r="I28" s="2"/>
      <c r="J28" s="7">
        <f t="shared" si="1"/>
        <v>0</v>
      </c>
      <c r="K28" s="2"/>
      <c r="L28" s="6">
        <f t="shared" si="2"/>
        <v>-2.32000000000005</v>
      </c>
      <c r="M28" s="2"/>
      <c r="N28" s="7">
        <f t="shared" si="3"/>
        <v>-3.0933333333334001E-3</v>
      </c>
      <c r="O28" s="11"/>
      <c r="P28" s="6">
        <v>1431.2</v>
      </c>
      <c r="Q28" s="2"/>
      <c r="R28" s="7">
        <f t="shared" si="4"/>
        <v>0</v>
      </c>
      <c r="S28" s="2"/>
      <c r="T28" s="6">
        <v>1500</v>
      </c>
      <c r="U28" s="2"/>
      <c r="V28" s="7">
        <f t="shared" si="5"/>
        <v>0</v>
      </c>
      <c r="W28" s="2"/>
      <c r="X28" s="6">
        <f t="shared" si="6"/>
        <v>-68.799999999999955</v>
      </c>
      <c r="Y28" s="2"/>
      <c r="Z28" s="7">
        <f t="shared" si="7"/>
        <v>-4.5866666666666639E-2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27215.329999999998</v>
      </c>
      <c r="E29" s="1"/>
      <c r="F29" s="5">
        <f t="shared" ref="F29:F39" si="8">IF(D$12=0,0,D29/D$12)</f>
        <v>0</v>
      </c>
      <c r="G29" s="1"/>
      <c r="H29" s="1">
        <f>SUM(OSRRefH22_1x_0)</f>
        <v>31353.308461538421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-4137.9784615384233</v>
      </c>
      <c r="M29" s="1"/>
      <c r="N29" s="5">
        <f t="shared" ref="N29:N39" si="11">IF(H29=0,0,L29/H29)</f>
        <v>-0.13197900523367556</v>
      </c>
      <c r="O29" s="13"/>
      <c r="P29" s="1">
        <f>SUM(OSRRefP22_1x_0)</f>
        <v>60975.83</v>
      </c>
      <c r="Q29" s="1"/>
      <c r="R29" s="5">
        <f t="shared" ref="R29:R39" si="12">IF(P$12=0,0,P29/P$12)</f>
        <v>0</v>
      </c>
      <c r="S29" s="1"/>
      <c r="T29" s="1">
        <f>SUM(OSRRefT22_1x_0)</f>
        <v>70517.381538461501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-9541.5515384614991</v>
      </c>
      <c r="Y29" s="1"/>
      <c r="Z29" s="5">
        <f t="shared" ref="Z29:Z39" si="15">IF(T29=0,0,X29/T29)</f>
        <v>-0.13530779689057737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5419.3846153846198</v>
      </c>
      <c r="I30" s="2"/>
      <c r="J30" s="7">
        <f t="shared" si="9"/>
        <v>0</v>
      </c>
      <c r="K30" s="2"/>
      <c r="L30" s="6">
        <f t="shared" si="10"/>
        <v>-5419.3846153846198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12193.61538461539</v>
      </c>
      <c r="U30" s="2"/>
      <c r="V30" s="7">
        <f t="shared" si="13"/>
        <v>0</v>
      </c>
      <c r="W30" s="2"/>
      <c r="X30" s="6">
        <f t="shared" si="14"/>
        <v>-12193.61538461539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21687.21</v>
      </c>
      <c r="E31" s="2"/>
      <c r="F31" s="7">
        <f t="shared" si="8"/>
        <v>0</v>
      </c>
      <c r="G31" s="2"/>
      <c r="H31" s="6">
        <v>17185.1538461538</v>
      </c>
      <c r="I31" s="2"/>
      <c r="J31" s="7">
        <f t="shared" si="9"/>
        <v>0</v>
      </c>
      <c r="K31" s="2"/>
      <c r="L31" s="6">
        <f t="shared" si="10"/>
        <v>4502.0561538461989</v>
      </c>
      <c r="M31" s="2"/>
      <c r="N31" s="7">
        <f t="shared" si="11"/>
        <v>0.26197357289610773</v>
      </c>
      <c r="O31" s="11"/>
      <c r="P31" s="6">
        <v>50862.74</v>
      </c>
      <c r="Q31" s="2"/>
      <c r="R31" s="7">
        <f t="shared" si="12"/>
        <v>0</v>
      </c>
      <c r="S31" s="2"/>
      <c r="T31" s="6">
        <v>38666.596153846098</v>
      </c>
      <c r="U31" s="2"/>
      <c r="V31" s="7">
        <f t="shared" si="13"/>
        <v>0</v>
      </c>
      <c r="W31" s="2"/>
      <c r="X31" s="6">
        <f t="shared" si="14"/>
        <v>12196.1438461539</v>
      </c>
      <c r="Y31" s="2"/>
      <c r="Z31" s="7">
        <f t="shared" si="15"/>
        <v>0.31541808846137009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2496.7199999999998</v>
      </c>
      <c r="I33" s="2"/>
      <c r="J33" s="7">
        <f t="shared" si="9"/>
        <v>0</v>
      </c>
      <c r="K33" s="2"/>
      <c r="L33" s="6">
        <f t="shared" si="10"/>
        <v>-2496.7199999999998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5617.62</v>
      </c>
      <c r="U33" s="2"/>
      <c r="V33" s="7">
        <f t="shared" si="13"/>
        <v>0</v>
      </c>
      <c r="W33" s="2"/>
      <c r="X33" s="6">
        <f t="shared" si="14"/>
        <v>-5617.62</v>
      </c>
      <c r="Y33" s="2"/>
      <c r="Z33" s="7">
        <f t="shared" si="15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2440.3000000000002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2440.3000000000002</v>
      </c>
      <c r="M34" s="2"/>
      <c r="N34" s="7">
        <f t="shared" si="11"/>
        <v>0</v>
      </c>
      <c r="O34" s="11"/>
      <c r="P34" s="6">
        <v>4185.6499999999996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4185.6499999999996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2583.8200000000002</v>
      </c>
      <c r="E36" s="2"/>
      <c r="F36" s="7">
        <f t="shared" si="8"/>
        <v>0</v>
      </c>
      <c r="G36" s="2"/>
      <c r="H36" s="6">
        <v>3115</v>
      </c>
      <c r="I36" s="2"/>
      <c r="J36" s="7">
        <f t="shared" si="9"/>
        <v>0</v>
      </c>
      <c r="K36" s="2"/>
      <c r="L36" s="6">
        <f t="shared" si="10"/>
        <v>-531.17999999999984</v>
      </c>
      <c r="M36" s="2"/>
      <c r="N36" s="7">
        <f t="shared" si="11"/>
        <v>-0.1705232744783306</v>
      </c>
      <c r="O36" s="11"/>
      <c r="P36" s="6">
        <v>5273.44</v>
      </c>
      <c r="Q36" s="2"/>
      <c r="R36" s="7">
        <f t="shared" si="12"/>
        <v>0</v>
      </c>
      <c r="S36" s="2"/>
      <c r="T36" s="6">
        <v>10902.5</v>
      </c>
      <c r="U36" s="2"/>
      <c r="V36" s="7">
        <f t="shared" si="13"/>
        <v>0</v>
      </c>
      <c r="W36" s="2"/>
      <c r="X36" s="6">
        <f t="shared" si="14"/>
        <v>-5629.06</v>
      </c>
      <c r="Y36" s="2"/>
      <c r="Z36" s="7">
        <f t="shared" si="15"/>
        <v>-0.5163091034166476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504</v>
      </c>
      <c r="E37" s="2"/>
      <c r="F37" s="7">
        <f t="shared" si="8"/>
        <v>0</v>
      </c>
      <c r="G37" s="2"/>
      <c r="H37" s="6">
        <v>3137.05</v>
      </c>
      <c r="I37" s="2"/>
      <c r="J37" s="7">
        <f t="shared" si="9"/>
        <v>0</v>
      </c>
      <c r="K37" s="2"/>
      <c r="L37" s="6">
        <f t="shared" si="10"/>
        <v>-2633.05</v>
      </c>
      <c r="M37" s="2"/>
      <c r="N37" s="7">
        <f t="shared" si="11"/>
        <v>-0.83933950686154191</v>
      </c>
      <c r="O37" s="11"/>
      <c r="P37" s="6">
        <v>654</v>
      </c>
      <c r="Q37" s="2"/>
      <c r="R37" s="7">
        <f t="shared" si="12"/>
        <v>0</v>
      </c>
      <c r="S37" s="2"/>
      <c r="T37" s="6">
        <v>3137.05</v>
      </c>
      <c r="U37" s="2"/>
      <c r="V37" s="7">
        <f t="shared" si="13"/>
        <v>0</v>
      </c>
      <c r="W37" s="2"/>
      <c r="X37" s="6">
        <f t="shared" si="14"/>
        <v>-2483.0500000000002</v>
      </c>
      <c r="Y37" s="2"/>
      <c r="Z37" s="7">
        <f t="shared" si="15"/>
        <v>-0.79152388390366746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","Depreciation                                      ")</f>
        <v xml:space="preserve">     Depreciation                                      </v>
      </c>
      <c r="C40" s="13"/>
      <c r="D40" s="1">
        <f>SUM(OSRRefD22_2x_0)</f>
        <v>1558.88</v>
      </c>
      <c r="E40" s="1"/>
      <c r="F40" s="5">
        <f t="shared" ref="F40:F55" si="16">IF(D$12=0,0,D40/D$12)</f>
        <v>0</v>
      </c>
      <c r="G40" s="1"/>
      <c r="H40" s="1">
        <f>SUM(OSRRefH22_2x_0)</f>
        <v>1559</v>
      </c>
      <c r="I40" s="1"/>
      <c r="J40" s="5">
        <f t="shared" ref="J40:J55" si="17">IF(H$12=0,0,H40/H$12)</f>
        <v>0</v>
      </c>
      <c r="K40" s="1"/>
      <c r="L40" s="1">
        <f t="shared" ref="L40:L55" si="18">+D40-H40</f>
        <v>-0.11999999999989086</v>
      </c>
      <c r="M40" s="1"/>
      <c r="N40" s="5">
        <f t="shared" ref="N40:N55" si="19">IF(H40=0,0,L40/H40)</f>
        <v>-7.6972418216735637E-5</v>
      </c>
      <c r="O40" s="13"/>
      <c r="P40" s="1">
        <f>SUM(OSRRefP22_2x_0)</f>
        <v>3117.76</v>
      </c>
      <c r="Q40" s="1"/>
      <c r="R40" s="5">
        <f t="shared" ref="R40:R55" si="20">IF(P$12=0,0,P40/P$12)</f>
        <v>0</v>
      </c>
      <c r="S40" s="1"/>
      <c r="T40" s="1">
        <f>SUM(OSRRefT22_2x_0)</f>
        <v>3118</v>
      </c>
      <c r="U40" s="1"/>
      <c r="V40" s="5">
        <f t="shared" ref="V40:V55" si="21">IF(T$12=0,0,T40/T$12)</f>
        <v>0</v>
      </c>
      <c r="W40" s="1"/>
      <c r="X40" s="1">
        <f t="shared" ref="X40:X55" si="22">+P40-T40</f>
        <v>-0.23999999999978172</v>
      </c>
      <c r="Y40" s="1"/>
      <c r="Z40" s="5">
        <f t="shared" ref="Z40:Z55" si="23">IF(T40=0,0,X40/T40)</f>
        <v>-7.6972418216735637E-5</v>
      </c>
    </row>
    <row r="41" spans="1:26" s="24" customFormat="1" hidden="1" outlineLevel="2" x14ac:dyDescent="0.25">
      <c r="A41" s="27"/>
      <c r="B41" s="11" t="str">
        <f>CONCATENATE("          ", "6322", " - ", "EQUIPMENT DEPRECIATION EXPENSE")</f>
        <v xml:space="preserve">          6322 - EQUIPMENT DEPRECIATION EXPENSE</v>
      </c>
      <c r="C41" s="11"/>
      <c r="D41" s="6">
        <v>1558.88</v>
      </c>
      <c r="E41" s="2"/>
      <c r="F41" s="7">
        <f t="shared" si="16"/>
        <v>0</v>
      </c>
      <c r="G41" s="2"/>
      <c r="H41" s="6">
        <v>1559</v>
      </c>
      <c r="I41" s="2"/>
      <c r="J41" s="7">
        <f t="shared" si="17"/>
        <v>0</v>
      </c>
      <c r="K41" s="2"/>
      <c r="L41" s="6">
        <f t="shared" si="18"/>
        <v>-0.11999999999989086</v>
      </c>
      <c r="M41" s="2"/>
      <c r="N41" s="7">
        <f t="shared" si="19"/>
        <v>-7.6972418216735637E-5</v>
      </c>
      <c r="O41" s="11"/>
      <c r="P41" s="6">
        <v>3117.76</v>
      </c>
      <c r="Q41" s="2"/>
      <c r="R41" s="7">
        <f t="shared" si="20"/>
        <v>0</v>
      </c>
      <c r="S41" s="2"/>
      <c r="T41" s="6">
        <v>3118</v>
      </c>
      <c r="U41" s="2"/>
      <c r="V41" s="7">
        <f t="shared" si="21"/>
        <v>0</v>
      </c>
      <c r="W41" s="2"/>
      <c r="X41" s="6">
        <f t="shared" si="22"/>
        <v>-0.23999999999978172</v>
      </c>
      <c r="Y41" s="2"/>
      <c r="Z41" s="7">
        <f t="shared" si="23"/>
        <v>-7.6972418216735637E-5</v>
      </c>
    </row>
    <row r="42" spans="1:26" s="26" customFormat="1" outlineLevel="1" collapsed="1" x14ac:dyDescent="0.25">
      <c r="A42" s="25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-25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50</v>
      </c>
      <c r="U42" s="1"/>
      <c r="V42" s="5">
        <f t="shared" si="21"/>
        <v>0</v>
      </c>
      <c r="W42" s="1"/>
      <c r="X42" s="1">
        <f t="shared" si="22"/>
        <v>-50</v>
      </c>
      <c r="Y42" s="1"/>
      <c r="Z42" s="5">
        <f t="shared" si="23"/>
        <v>-1</v>
      </c>
    </row>
    <row r="43" spans="1:26" s="24" customFormat="1" hidden="1" outlineLevel="2" x14ac:dyDescent="0.25">
      <c r="A43" s="27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>
        <v>25</v>
      </c>
      <c r="I43" s="2"/>
      <c r="J43" s="7">
        <f t="shared" si="17"/>
        <v>0</v>
      </c>
      <c r="K43" s="2"/>
      <c r="L43" s="6">
        <f t="shared" si="18"/>
        <v>-25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50</v>
      </c>
      <c r="U43" s="2"/>
      <c r="V43" s="7">
        <f t="shared" si="21"/>
        <v>0</v>
      </c>
      <c r="W43" s="2"/>
      <c r="X43" s="6">
        <f t="shared" si="22"/>
        <v>-50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3" t="str">
        <f>CONCATENATE("     ","Equipment Rental                                  ")</f>
        <v xml:space="preserve">     Equipment Rental                                  </v>
      </c>
      <c r="C44" s="13"/>
      <c r="D44" s="1">
        <f>SUM(OSRRefD22_4x_0)</f>
        <v>91.26</v>
      </c>
      <c r="E44" s="1"/>
      <c r="F44" s="5">
        <f t="shared" si="16"/>
        <v>0</v>
      </c>
      <c r="G44" s="1"/>
      <c r="H44" s="1">
        <f>SUM(OSRRefH22_4x_0)</f>
        <v>91</v>
      </c>
      <c r="I44" s="1"/>
      <c r="J44" s="5">
        <f t="shared" si="17"/>
        <v>0</v>
      </c>
      <c r="K44" s="1"/>
      <c r="L44" s="1">
        <f t="shared" si="18"/>
        <v>0.26000000000000512</v>
      </c>
      <c r="M44" s="1"/>
      <c r="N44" s="5">
        <f t="shared" si="19"/>
        <v>2.8571428571429135E-3</v>
      </c>
      <c r="O44" s="13"/>
      <c r="P44" s="1">
        <f>SUM(OSRRefP22_4x_0)</f>
        <v>182.52</v>
      </c>
      <c r="Q44" s="1"/>
      <c r="R44" s="5">
        <f t="shared" si="20"/>
        <v>0</v>
      </c>
      <c r="S44" s="1"/>
      <c r="T44" s="1">
        <f>SUM(OSRRefT22_4x_0)</f>
        <v>182</v>
      </c>
      <c r="U44" s="1"/>
      <c r="V44" s="5">
        <f t="shared" si="21"/>
        <v>0</v>
      </c>
      <c r="W44" s="1"/>
      <c r="X44" s="1">
        <f t="shared" si="22"/>
        <v>0.52000000000001023</v>
      </c>
      <c r="Y44" s="1"/>
      <c r="Z44" s="5">
        <f t="shared" si="23"/>
        <v>2.8571428571429135E-3</v>
      </c>
    </row>
    <row r="45" spans="1:26" s="24" customFormat="1" hidden="1" outlineLevel="2" x14ac:dyDescent="0.25">
      <c r="A45" s="27"/>
      <c r="B45" s="11" t="str">
        <f>CONCATENATE("          ", "6351", " - ", "EQUIPMENT RENTAL")</f>
        <v xml:space="preserve">          6351 - EQUIPMENT RENTAL</v>
      </c>
      <c r="C45" s="11"/>
      <c r="D45" s="6">
        <v>91.26</v>
      </c>
      <c r="E45" s="2"/>
      <c r="F45" s="7">
        <f t="shared" si="16"/>
        <v>0</v>
      </c>
      <c r="G45" s="2"/>
      <c r="H45" s="6">
        <v>91</v>
      </c>
      <c r="I45" s="2"/>
      <c r="J45" s="7">
        <f t="shared" si="17"/>
        <v>0</v>
      </c>
      <c r="K45" s="2"/>
      <c r="L45" s="6">
        <f t="shared" si="18"/>
        <v>0.26000000000000512</v>
      </c>
      <c r="M45" s="2"/>
      <c r="N45" s="7">
        <f t="shared" si="19"/>
        <v>2.8571428571429135E-3</v>
      </c>
      <c r="O45" s="11"/>
      <c r="P45" s="6">
        <v>182.52</v>
      </c>
      <c r="Q45" s="2"/>
      <c r="R45" s="7">
        <f t="shared" si="20"/>
        <v>0</v>
      </c>
      <c r="S45" s="2"/>
      <c r="T45" s="6">
        <v>182</v>
      </c>
      <c r="U45" s="2"/>
      <c r="V45" s="7">
        <f t="shared" si="21"/>
        <v>0</v>
      </c>
      <c r="W45" s="2"/>
      <c r="X45" s="6">
        <f t="shared" si="22"/>
        <v>0.52000000000001023</v>
      </c>
      <c r="Y45" s="2"/>
      <c r="Z45" s="7">
        <f t="shared" si="23"/>
        <v>2.8571428571429135E-3</v>
      </c>
    </row>
    <row r="46" spans="1:26" s="26" customFormat="1" outlineLevel="1" collapsed="1" x14ac:dyDescent="0.25">
      <c r="A46" s="25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SUM(OSRRefD22_5x_0)</f>
        <v>121.8</v>
      </c>
      <c r="E46" s="1"/>
      <c r="F46" s="5">
        <f t="shared" si="16"/>
        <v>0</v>
      </c>
      <c r="G46" s="1"/>
      <c r="H46" s="1">
        <f>SUM(OSRRefH22_5x_0)</f>
        <v>150</v>
      </c>
      <c r="I46" s="1"/>
      <c r="J46" s="5">
        <f t="shared" si="17"/>
        <v>0</v>
      </c>
      <c r="K46" s="1"/>
      <c r="L46" s="1">
        <f t="shared" si="18"/>
        <v>-28.200000000000003</v>
      </c>
      <c r="M46" s="1"/>
      <c r="N46" s="5">
        <f t="shared" si="19"/>
        <v>-0.18800000000000003</v>
      </c>
      <c r="O46" s="13"/>
      <c r="P46" s="1">
        <f>SUM(OSRRefP22_5x_0)</f>
        <v>192.8</v>
      </c>
      <c r="Q46" s="1"/>
      <c r="R46" s="5">
        <f t="shared" si="20"/>
        <v>0</v>
      </c>
      <c r="S46" s="1"/>
      <c r="T46" s="1">
        <f>SUM(OSRRefT22_5x_0)</f>
        <v>300</v>
      </c>
      <c r="U46" s="1"/>
      <c r="V46" s="5">
        <f t="shared" si="21"/>
        <v>0</v>
      </c>
      <c r="W46" s="1"/>
      <c r="X46" s="1">
        <f t="shared" si="22"/>
        <v>-107.19999999999999</v>
      </c>
      <c r="Y46" s="1"/>
      <c r="Z46" s="5">
        <f t="shared" si="23"/>
        <v>-0.35733333333333328</v>
      </c>
    </row>
    <row r="47" spans="1:26" s="24" customFormat="1" hidden="1" outlineLevel="2" x14ac:dyDescent="0.25">
      <c r="A47" s="27"/>
      <c r="B47" s="11" t="str">
        <f>CONCATENATE("          ", "6307", " - ", "POSTAGE")</f>
        <v xml:space="preserve">          6307 - POSTAGE</v>
      </c>
      <c r="C47" s="11"/>
      <c r="D47" s="6">
        <v>121.8</v>
      </c>
      <c r="E47" s="2"/>
      <c r="F47" s="7">
        <f t="shared" si="16"/>
        <v>0</v>
      </c>
      <c r="G47" s="2"/>
      <c r="H47" s="6">
        <v>150</v>
      </c>
      <c r="I47" s="2"/>
      <c r="J47" s="7">
        <f t="shared" si="17"/>
        <v>0</v>
      </c>
      <c r="K47" s="2"/>
      <c r="L47" s="6">
        <f t="shared" si="18"/>
        <v>-28.200000000000003</v>
      </c>
      <c r="M47" s="2"/>
      <c r="N47" s="7">
        <f t="shared" si="19"/>
        <v>-0.18800000000000003</v>
      </c>
      <c r="O47" s="11"/>
      <c r="P47" s="6">
        <v>192.8</v>
      </c>
      <c r="Q47" s="2"/>
      <c r="R47" s="7">
        <f t="shared" si="20"/>
        <v>0</v>
      </c>
      <c r="S47" s="2"/>
      <c r="T47" s="6">
        <v>300</v>
      </c>
      <c r="U47" s="2"/>
      <c r="V47" s="7">
        <f t="shared" si="21"/>
        <v>0</v>
      </c>
      <c r="W47" s="2"/>
      <c r="X47" s="6">
        <f t="shared" si="22"/>
        <v>-107.19999999999999</v>
      </c>
      <c r="Y47" s="2"/>
      <c r="Z47" s="7">
        <f t="shared" si="23"/>
        <v>-0.35733333333333328</v>
      </c>
    </row>
    <row r="48" spans="1:26" s="26" customFormat="1" outlineLevel="1" collapsed="1" x14ac:dyDescent="0.25">
      <c r="A48" s="25"/>
      <c r="B48" s="13" t="str">
        <f>CONCATENATE("     ","General                                           ")</f>
        <v xml:space="preserve">     General               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25</v>
      </c>
      <c r="I48" s="1"/>
      <c r="J48" s="5">
        <f t="shared" si="17"/>
        <v>0</v>
      </c>
      <c r="K48" s="1"/>
      <c r="L48" s="1">
        <f t="shared" si="18"/>
        <v>-25</v>
      </c>
      <c r="M48" s="1"/>
      <c r="N48" s="5">
        <f t="shared" si="19"/>
        <v>-1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50</v>
      </c>
      <c r="U48" s="1"/>
      <c r="V48" s="5">
        <f t="shared" si="21"/>
        <v>0</v>
      </c>
      <c r="W48" s="1"/>
      <c r="X48" s="1">
        <f t="shared" si="22"/>
        <v>-50</v>
      </c>
      <c r="Y48" s="1"/>
      <c r="Z48" s="5">
        <f t="shared" si="23"/>
        <v>-1</v>
      </c>
    </row>
    <row r="49" spans="1:26" s="24" customFormat="1" hidden="1" outlineLevel="2" x14ac:dyDescent="0.25">
      <c r="A49" s="27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16"/>
        <v>0</v>
      </c>
      <c r="G49" s="2"/>
      <c r="H49" s="6">
        <v>25</v>
      </c>
      <c r="I49" s="2"/>
      <c r="J49" s="7">
        <f t="shared" si="17"/>
        <v>0</v>
      </c>
      <c r="K49" s="2"/>
      <c r="L49" s="6">
        <f t="shared" si="18"/>
        <v>-25</v>
      </c>
      <c r="M49" s="2"/>
      <c r="N49" s="7">
        <f t="shared" si="19"/>
        <v>-1</v>
      </c>
      <c r="O49" s="11"/>
      <c r="P49" s="6"/>
      <c r="Q49" s="2"/>
      <c r="R49" s="7">
        <f t="shared" si="20"/>
        <v>0</v>
      </c>
      <c r="S49" s="2"/>
      <c r="T49" s="6">
        <v>50</v>
      </c>
      <c r="U49" s="2"/>
      <c r="V49" s="7">
        <f t="shared" si="21"/>
        <v>0</v>
      </c>
      <c r="W49" s="2"/>
      <c r="X49" s="6">
        <f t="shared" si="22"/>
        <v>-50</v>
      </c>
      <c r="Y49" s="2"/>
      <c r="Z49" s="7">
        <f t="shared" si="23"/>
        <v>-1</v>
      </c>
    </row>
    <row r="50" spans="1:26" s="26" customFormat="1" outlineLevel="1" collapsed="1" x14ac:dyDescent="0.25">
      <c r="A50" s="25"/>
      <c r="B50" s="13" t="str">
        <f>CONCATENATE("     ","Insurance                                         ")</f>
        <v xml:space="preserve">     Insurance                                         </v>
      </c>
      <c r="C50" s="13"/>
      <c r="D50" s="1">
        <f>SUM(OSRRefD22_7x_0)</f>
        <v>132.16999999999999</v>
      </c>
      <c r="E50" s="1"/>
      <c r="F50" s="5">
        <f t="shared" si="16"/>
        <v>0</v>
      </c>
      <c r="G50" s="1"/>
      <c r="H50" s="1">
        <f>SUM(OSRRefH22_7x_0)</f>
        <v>125</v>
      </c>
      <c r="I50" s="1"/>
      <c r="J50" s="5">
        <f t="shared" si="17"/>
        <v>0</v>
      </c>
      <c r="K50" s="1"/>
      <c r="L50" s="1">
        <f t="shared" si="18"/>
        <v>7.1699999999999875</v>
      </c>
      <c r="M50" s="1"/>
      <c r="N50" s="5">
        <f t="shared" si="19"/>
        <v>5.7359999999999897E-2</v>
      </c>
      <c r="O50" s="13"/>
      <c r="P50" s="1">
        <f>SUM(OSRRefP22_7x_0)</f>
        <v>264.33999999999997</v>
      </c>
      <c r="Q50" s="1"/>
      <c r="R50" s="5">
        <f t="shared" si="20"/>
        <v>0</v>
      </c>
      <c r="S50" s="1"/>
      <c r="T50" s="1">
        <f>SUM(OSRRefT22_7x_0)</f>
        <v>250</v>
      </c>
      <c r="U50" s="1"/>
      <c r="V50" s="5">
        <f t="shared" si="21"/>
        <v>0</v>
      </c>
      <c r="W50" s="1"/>
      <c r="X50" s="1">
        <f t="shared" si="22"/>
        <v>14.339999999999975</v>
      </c>
      <c r="Y50" s="1"/>
      <c r="Z50" s="5">
        <f t="shared" si="23"/>
        <v>5.7359999999999897E-2</v>
      </c>
    </row>
    <row r="51" spans="1:26" s="24" customFormat="1" hidden="1" outlineLevel="2" x14ac:dyDescent="0.25">
      <c r="A51" s="27"/>
      <c r="B51" s="11" t="str">
        <f>CONCATENATE("          ", "6314", " - ", "LIABILITY INSURANCE")</f>
        <v xml:space="preserve">          6314 - LIABILITY INSURANCE</v>
      </c>
      <c r="C51" s="11"/>
      <c r="D51" s="6">
        <v>132.16999999999999</v>
      </c>
      <c r="E51" s="2"/>
      <c r="F51" s="7">
        <f t="shared" si="16"/>
        <v>0</v>
      </c>
      <c r="G51" s="2"/>
      <c r="H51" s="6">
        <v>125</v>
      </c>
      <c r="I51" s="2"/>
      <c r="J51" s="7">
        <f t="shared" si="17"/>
        <v>0</v>
      </c>
      <c r="K51" s="2"/>
      <c r="L51" s="6">
        <f t="shared" si="18"/>
        <v>7.1699999999999875</v>
      </c>
      <c r="M51" s="2"/>
      <c r="N51" s="7">
        <f t="shared" si="19"/>
        <v>5.7359999999999897E-2</v>
      </c>
      <c r="O51" s="11"/>
      <c r="P51" s="6">
        <v>264.33999999999997</v>
      </c>
      <c r="Q51" s="2"/>
      <c r="R51" s="7">
        <f t="shared" si="20"/>
        <v>0</v>
      </c>
      <c r="S51" s="2"/>
      <c r="T51" s="6">
        <v>250</v>
      </c>
      <c r="U51" s="2"/>
      <c r="V51" s="7">
        <f t="shared" si="21"/>
        <v>0</v>
      </c>
      <c r="W51" s="2"/>
      <c r="X51" s="6">
        <f t="shared" si="22"/>
        <v>14.339999999999975</v>
      </c>
      <c r="Y51" s="2"/>
      <c r="Z51" s="7">
        <f t="shared" si="23"/>
        <v>5.7359999999999897E-2</v>
      </c>
    </row>
    <row r="52" spans="1:26" s="26" customFormat="1" outlineLevel="1" collapsed="1" x14ac:dyDescent="0.25">
      <c r="A52" s="25"/>
      <c r="B52" s="13" t="str">
        <f>CONCATENATE("     ","Interest                                          ")</f>
        <v xml:space="preserve">     Interest                                          </v>
      </c>
      <c r="C52" s="13"/>
      <c r="D52" s="1">
        <f>SUM(OSRRefD22_8x_0)</f>
        <v>0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0</v>
      </c>
      <c r="M52" s="1"/>
      <c r="N52" s="5">
        <f t="shared" si="19"/>
        <v>0</v>
      </c>
      <c r="O52" s="13"/>
      <c r="P52" s="1">
        <f>SUM(OSRRefP22_8x_0)</f>
        <v>0</v>
      </c>
      <c r="Q52" s="1"/>
      <c r="R52" s="5">
        <f t="shared" si="20"/>
        <v>0</v>
      </c>
      <c r="S52" s="1"/>
      <c r="T52" s="1">
        <f>SUM(OSRRefT22_8x_0)</f>
        <v>0</v>
      </c>
      <c r="U52" s="1"/>
      <c r="V52" s="5">
        <f t="shared" si="21"/>
        <v>0</v>
      </c>
      <c r="W52" s="1"/>
      <c r="X52" s="1">
        <f t="shared" si="22"/>
        <v>0</v>
      </c>
      <c r="Y52" s="1"/>
      <c r="Z52" s="5">
        <f t="shared" si="23"/>
        <v>0</v>
      </c>
    </row>
    <row r="53" spans="1:26" s="24" customFormat="1" hidden="1" outlineLevel="2" x14ac:dyDescent="0.25">
      <c r="A53" s="27"/>
      <c r="B53" s="11" t="str">
        <f>CONCATENATE("          ", "6401", " - ", "INTEREST EXPENSE")</f>
        <v xml:space="preserve">          6401 - INTEREST EXPENSE</v>
      </c>
      <c r="C53" s="11"/>
      <c r="D53" s="6"/>
      <c r="E53" s="2"/>
      <c r="F53" s="7">
        <f t="shared" si="16"/>
        <v>0</v>
      </c>
      <c r="G53" s="2"/>
      <c r="H53" s="6">
        <v>0</v>
      </c>
      <c r="I53" s="2"/>
      <c r="J53" s="7">
        <f t="shared" si="17"/>
        <v>0</v>
      </c>
      <c r="K53" s="2"/>
      <c r="L53" s="6">
        <f t="shared" si="18"/>
        <v>0</v>
      </c>
      <c r="M53" s="2"/>
      <c r="N53" s="7">
        <f t="shared" si="19"/>
        <v>0</v>
      </c>
      <c r="O53" s="11"/>
      <c r="P53" s="6"/>
      <c r="Q53" s="2"/>
      <c r="R53" s="7">
        <f t="shared" si="20"/>
        <v>0</v>
      </c>
      <c r="S53" s="2"/>
      <c r="T53" s="6">
        <v>0</v>
      </c>
      <c r="U53" s="2"/>
      <c r="V53" s="7">
        <f t="shared" si="21"/>
        <v>0</v>
      </c>
      <c r="W53" s="2"/>
      <c r="X53" s="6">
        <f t="shared" si="22"/>
        <v>0</v>
      </c>
      <c r="Y53" s="2"/>
      <c r="Z53" s="7">
        <f t="shared" si="23"/>
        <v>0</v>
      </c>
    </row>
    <row r="54" spans="1:26" s="24" customFormat="1" hidden="1" outlineLevel="2" x14ac:dyDescent="0.25">
      <c r="A54" s="27"/>
      <c r="B54" s="11" t="str">
        <f>CONCATENATE("          ", "6402", " - ", "INTEREST EXPENSE BOND ISSUANCE")</f>
        <v xml:space="preserve">          6402 - INTEREST EXPENSE BOND ISSUANCE</v>
      </c>
      <c r="C54" s="11"/>
      <c r="D54" s="6"/>
      <c r="E54" s="2"/>
      <c r="F54" s="7">
        <f t="shared" si="16"/>
        <v>0</v>
      </c>
      <c r="G54" s="2"/>
      <c r="H54" s="6">
        <v>0</v>
      </c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1"/>
      <c r="P54" s="6"/>
      <c r="Q54" s="2"/>
      <c r="R54" s="7">
        <f t="shared" si="20"/>
        <v>0</v>
      </c>
      <c r="S54" s="2"/>
      <c r="T54" s="6">
        <v>0</v>
      </c>
      <c r="U54" s="2"/>
      <c r="V54" s="7">
        <f t="shared" si="21"/>
        <v>0</v>
      </c>
      <c r="W54" s="2"/>
      <c r="X54" s="6">
        <f t="shared" si="22"/>
        <v>0</v>
      </c>
      <c r="Y54" s="2"/>
      <c r="Z54" s="7">
        <f t="shared" si="23"/>
        <v>0</v>
      </c>
    </row>
    <row r="55" spans="1:26" s="24" customFormat="1" hidden="1" outlineLevel="2" x14ac:dyDescent="0.25">
      <c r="A55" s="27"/>
      <c r="B55" s="11" t="str">
        <f>CONCATENATE("          ", "6403", " - ", "INTEREST EXPENSE LEASE EQUIP")</f>
        <v xml:space="preserve">          6403 - INTEREST EXPENSE LEASE EQUIP</v>
      </c>
      <c r="C55" s="11"/>
      <c r="D55" s="6"/>
      <c r="E55" s="2"/>
      <c r="F55" s="7">
        <f t="shared" si="16"/>
        <v>0</v>
      </c>
      <c r="G55" s="2"/>
      <c r="H55" s="6">
        <v>0</v>
      </c>
      <c r="I55" s="2"/>
      <c r="J55" s="7">
        <f t="shared" si="17"/>
        <v>0</v>
      </c>
      <c r="K55" s="2"/>
      <c r="L55" s="6">
        <f t="shared" si="18"/>
        <v>0</v>
      </c>
      <c r="M55" s="2"/>
      <c r="N55" s="7">
        <f t="shared" si="19"/>
        <v>0</v>
      </c>
      <c r="O55" s="11"/>
      <c r="P55" s="6"/>
      <c r="Q55" s="2"/>
      <c r="R55" s="7">
        <f t="shared" si="20"/>
        <v>0</v>
      </c>
      <c r="S55" s="2"/>
      <c r="T55" s="6">
        <v>0</v>
      </c>
      <c r="U55" s="2"/>
      <c r="V55" s="7">
        <f t="shared" si="21"/>
        <v>0</v>
      </c>
      <c r="W55" s="2"/>
      <c r="X55" s="6">
        <f t="shared" si="22"/>
        <v>0</v>
      </c>
      <c r="Y55" s="2"/>
      <c r="Z55" s="7">
        <f t="shared" si="23"/>
        <v>0</v>
      </c>
    </row>
    <row r="56" spans="1:26" s="26" customFormat="1" outlineLevel="1" collapsed="1" x14ac:dyDescent="0.25">
      <c r="A56" s="25"/>
      <c r="B56" s="13" t="str">
        <f>CONCATENATE("     ","Professional Services                             ")</f>
        <v xml:space="preserve">     Professional Services                             </v>
      </c>
      <c r="C56" s="13"/>
      <c r="D56" s="1">
        <f>SUM(OSRRefD22_9x_0)</f>
        <v>0</v>
      </c>
      <c r="E56" s="1"/>
      <c r="F56" s="5">
        <f t="shared" ref="F56:F64" si="24">IF(D$12=0,0,D56/D$12)</f>
        <v>0</v>
      </c>
      <c r="G56" s="1"/>
      <c r="H56" s="1">
        <f>SUM(OSRRefH22_9x_0)</f>
        <v>100</v>
      </c>
      <c r="I56" s="1"/>
      <c r="J56" s="5">
        <f t="shared" ref="J56:J64" si="25">IF(H$12=0,0,H56/H$12)</f>
        <v>0</v>
      </c>
      <c r="K56" s="1"/>
      <c r="L56" s="1">
        <f t="shared" ref="L56:L64" si="26">+D56-H56</f>
        <v>-100</v>
      </c>
      <c r="M56" s="1"/>
      <c r="N56" s="5">
        <f t="shared" ref="N56:N64" si="27">IF(H56=0,0,L56/H56)</f>
        <v>-1</v>
      </c>
      <c r="O56" s="13"/>
      <c r="P56" s="1">
        <f>SUM(OSRRefP22_9x_0)</f>
        <v>82.5</v>
      </c>
      <c r="Q56" s="1"/>
      <c r="R56" s="5">
        <f t="shared" ref="R56:R64" si="28">IF(P$12=0,0,P56/P$12)</f>
        <v>0</v>
      </c>
      <c r="S56" s="1"/>
      <c r="T56" s="1">
        <f>SUM(OSRRefT22_9x_0)</f>
        <v>200</v>
      </c>
      <c r="U56" s="1"/>
      <c r="V56" s="5">
        <f t="shared" ref="V56:V64" si="29">IF(T$12=0,0,T56/T$12)</f>
        <v>0</v>
      </c>
      <c r="W56" s="1"/>
      <c r="X56" s="1">
        <f t="shared" ref="X56:X64" si="30">+P56-T56</f>
        <v>-117.5</v>
      </c>
      <c r="Y56" s="1"/>
      <c r="Z56" s="5">
        <f t="shared" ref="Z56:Z64" si="31">IF(T56=0,0,X56/T56)</f>
        <v>-0.58750000000000002</v>
      </c>
    </row>
    <row r="57" spans="1:26" s="24" customFormat="1" hidden="1" outlineLevel="2" x14ac:dyDescent="0.25">
      <c r="A57" s="27"/>
      <c r="B57" s="11" t="str">
        <f>CONCATENATE("          ", "6332", " - ", "CONSULTANT FEES")</f>
        <v xml:space="preserve">          6332 - CONSULTANT FEES</v>
      </c>
      <c r="C57" s="11"/>
      <c r="D57" s="6"/>
      <c r="E57" s="2"/>
      <c r="F57" s="7">
        <f t="shared" si="24"/>
        <v>0</v>
      </c>
      <c r="G57" s="2"/>
      <c r="H57" s="6">
        <v>100</v>
      </c>
      <c r="I57" s="2"/>
      <c r="J57" s="7">
        <f t="shared" si="25"/>
        <v>0</v>
      </c>
      <c r="K57" s="2"/>
      <c r="L57" s="6">
        <f t="shared" si="26"/>
        <v>-100</v>
      </c>
      <c r="M57" s="2"/>
      <c r="N57" s="7">
        <f t="shared" si="27"/>
        <v>-1</v>
      </c>
      <c r="O57" s="11"/>
      <c r="P57" s="6">
        <v>82.5</v>
      </c>
      <c r="Q57" s="2"/>
      <c r="R57" s="7">
        <f t="shared" si="28"/>
        <v>0</v>
      </c>
      <c r="S57" s="2"/>
      <c r="T57" s="6">
        <v>200</v>
      </c>
      <c r="U57" s="2"/>
      <c r="V57" s="7">
        <f t="shared" si="29"/>
        <v>0</v>
      </c>
      <c r="W57" s="2"/>
      <c r="X57" s="6">
        <f t="shared" si="30"/>
        <v>-117.5</v>
      </c>
      <c r="Y57" s="2"/>
      <c r="Z57" s="7">
        <f t="shared" si="31"/>
        <v>-0.58750000000000002</v>
      </c>
    </row>
    <row r="58" spans="1:26" s="26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20.69</v>
      </c>
      <c r="E58" s="1"/>
      <c r="F58" s="5">
        <f t="shared" si="24"/>
        <v>0</v>
      </c>
      <c r="G58" s="1"/>
      <c r="H58" s="1">
        <f>SUM(OSRRefH22_10x_0)</f>
        <v>20</v>
      </c>
      <c r="I58" s="1"/>
      <c r="J58" s="5">
        <f t="shared" si="25"/>
        <v>0</v>
      </c>
      <c r="K58" s="1"/>
      <c r="L58" s="1">
        <f t="shared" si="26"/>
        <v>0.69000000000000128</v>
      </c>
      <c r="M58" s="1"/>
      <c r="N58" s="5">
        <f t="shared" si="27"/>
        <v>3.4500000000000065E-2</v>
      </c>
      <c r="O58" s="13"/>
      <c r="P58" s="1">
        <f>SUM(OSRRefP22_10x_0)</f>
        <v>42.69</v>
      </c>
      <c r="Q58" s="1"/>
      <c r="R58" s="5">
        <f t="shared" si="28"/>
        <v>0</v>
      </c>
      <c r="S58" s="1"/>
      <c r="T58" s="1">
        <f>SUM(OSRRefT22_10x_0)</f>
        <v>40</v>
      </c>
      <c r="U58" s="1"/>
      <c r="V58" s="5">
        <f t="shared" si="29"/>
        <v>0</v>
      </c>
      <c r="W58" s="1"/>
      <c r="X58" s="1">
        <f t="shared" si="30"/>
        <v>2.6899999999999977</v>
      </c>
      <c r="Y58" s="1"/>
      <c r="Z58" s="5">
        <f t="shared" si="31"/>
        <v>6.7249999999999949E-2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6">
        <v>20.69</v>
      </c>
      <c r="E59" s="2"/>
      <c r="F59" s="7">
        <f t="shared" si="24"/>
        <v>0</v>
      </c>
      <c r="G59" s="2"/>
      <c r="H59" s="6">
        <v>20</v>
      </c>
      <c r="I59" s="2"/>
      <c r="J59" s="7">
        <f t="shared" si="25"/>
        <v>0</v>
      </c>
      <c r="K59" s="2"/>
      <c r="L59" s="6">
        <f t="shared" si="26"/>
        <v>0.69000000000000128</v>
      </c>
      <c r="M59" s="2"/>
      <c r="N59" s="7">
        <f t="shared" si="27"/>
        <v>3.4500000000000065E-2</v>
      </c>
      <c r="O59" s="11"/>
      <c r="P59" s="6">
        <v>42.69</v>
      </c>
      <c r="Q59" s="2"/>
      <c r="R59" s="7">
        <f t="shared" si="28"/>
        <v>0</v>
      </c>
      <c r="S59" s="2"/>
      <c r="T59" s="6">
        <v>40</v>
      </c>
      <c r="U59" s="2"/>
      <c r="V59" s="7">
        <f t="shared" si="29"/>
        <v>0</v>
      </c>
      <c r="W59" s="2"/>
      <c r="X59" s="6">
        <f t="shared" si="30"/>
        <v>2.6899999999999977</v>
      </c>
      <c r="Y59" s="2"/>
      <c r="Z59" s="7">
        <f t="shared" si="31"/>
        <v>6.7249999999999949E-2</v>
      </c>
    </row>
    <row r="60" spans="1:26" s="26" customFormat="1" outlineLevel="1" collapsed="1" x14ac:dyDescent="0.25">
      <c r="A60" s="25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SUM(OSRRefD22_11x_0)</f>
        <v>1842.78</v>
      </c>
      <c r="E60" s="1"/>
      <c r="F60" s="5">
        <f t="shared" si="24"/>
        <v>0</v>
      </c>
      <c r="G60" s="1"/>
      <c r="H60" s="1">
        <f>SUM(OSRRefH22_11x_0)</f>
        <v>600</v>
      </c>
      <c r="I60" s="1"/>
      <c r="J60" s="5">
        <f t="shared" si="25"/>
        <v>0</v>
      </c>
      <c r="K60" s="1"/>
      <c r="L60" s="1">
        <f t="shared" si="26"/>
        <v>1242.78</v>
      </c>
      <c r="M60" s="1"/>
      <c r="N60" s="5">
        <f t="shared" si="27"/>
        <v>2.0712999999999999</v>
      </c>
      <c r="O60" s="13"/>
      <c r="P60" s="1">
        <f>SUM(OSRRefP22_11x_0)</f>
        <v>2856.48</v>
      </c>
      <c r="Q60" s="1"/>
      <c r="R60" s="5">
        <f t="shared" si="28"/>
        <v>0</v>
      </c>
      <c r="S60" s="1"/>
      <c r="T60" s="1">
        <f>SUM(OSRRefT22_11x_0)</f>
        <v>1200</v>
      </c>
      <c r="U60" s="1"/>
      <c r="V60" s="5">
        <f t="shared" si="29"/>
        <v>0</v>
      </c>
      <c r="W60" s="1"/>
      <c r="X60" s="1">
        <f t="shared" si="30"/>
        <v>1656.48</v>
      </c>
      <c r="Y60" s="1"/>
      <c r="Z60" s="5">
        <f t="shared" si="31"/>
        <v>1.3804000000000001</v>
      </c>
    </row>
    <row r="61" spans="1:26" s="24" customFormat="1" hidden="1" outlineLevel="2" x14ac:dyDescent="0.25">
      <c r="A61" s="27"/>
      <c r="B61" s="11" t="str">
        <f>CONCATENATE("          ", "6281", " - ", "STORAGE FEE")</f>
        <v xml:space="preserve">          6281 - STORAGE FEE</v>
      </c>
      <c r="C61" s="11"/>
      <c r="D61" s="6">
        <v>1842.78</v>
      </c>
      <c r="E61" s="2"/>
      <c r="F61" s="7">
        <f t="shared" si="24"/>
        <v>0</v>
      </c>
      <c r="G61" s="2"/>
      <c r="H61" s="6">
        <v>600</v>
      </c>
      <c r="I61" s="2"/>
      <c r="J61" s="7">
        <f t="shared" si="25"/>
        <v>0</v>
      </c>
      <c r="K61" s="2"/>
      <c r="L61" s="6">
        <f t="shared" si="26"/>
        <v>1242.78</v>
      </c>
      <c r="M61" s="2"/>
      <c r="N61" s="7">
        <f t="shared" si="27"/>
        <v>2.0712999999999999</v>
      </c>
      <c r="O61" s="11"/>
      <c r="P61" s="6">
        <v>2856.48</v>
      </c>
      <c r="Q61" s="2"/>
      <c r="R61" s="7">
        <f t="shared" si="28"/>
        <v>0</v>
      </c>
      <c r="S61" s="2"/>
      <c r="T61" s="6">
        <v>1200</v>
      </c>
      <c r="U61" s="2"/>
      <c r="V61" s="7">
        <f t="shared" si="29"/>
        <v>0</v>
      </c>
      <c r="W61" s="2"/>
      <c r="X61" s="6">
        <f t="shared" si="30"/>
        <v>1656.48</v>
      </c>
      <c r="Y61" s="2"/>
      <c r="Z61" s="7">
        <f t="shared" si="31"/>
        <v>1.3804000000000001</v>
      </c>
    </row>
    <row r="62" spans="1:26" s="26" customFormat="1" outlineLevel="1" collapsed="1" x14ac:dyDescent="0.25">
      <c r="A62" s="25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SUM(OSRRefD22_12x_0)</f>
        <v>753.2</v>
      </c>
      <c r="E62" s="1"/>
      <c r="F62" s="5">
        <f t="shared" si="24"/>
        <v>0</v>
      </c>
      <c r="G62" s="1"/>
      <c r="H62" s="1">
        <f>SUM(OSRRefH22_12x_0)</f>
        <v>200</v>
      </c>
      <c r="I62" s="1"/>
      <c r="J62" s="5">
        <f t="shared" si="25"/>
        <v>0</v>
      </c>
      <c r="K62" s="1"/>
      <c r="L62" s="1">
        <f t="shared" si="26"/>
        <v>553.20000000000005</v>
      </c>
      <c r="M62" s="1"/>
      <c r="N62" s="5">
        <f t="shared" si="27"/>
        <v>2.766</v>
      </c>
      <c r="O62" s="13"/>
      <c r="P62" s="1">
        <f>SUM(OSRRefP22_12x_0)</f>
        <v>1112.1100000000001</v>
      </c>
      <c r="Q62" s="1"/>
      <c r="R62" s="5">
        <f t="shared" si="28"/>
        <v>0</v>
      </c>
      <c r="S62" s="1"/>
      <c r="T62" s="1">
        <f>SUM(OSRRefT22_12x_0)</f>
        <v>350</v>
      </c>
      <c r="U62" s="1"/>
      <c r="V62" s="5">
        <f t="shared" si="29"/>
        <v>0</v>
      </c>
      <c r="W62" s="1"/>
      <c r="X62" s="1">
        <f t="shared" si="30"/>
        <v>762.11000000000013</v>
      </c>
      <c r="Y62" s="1"/>
      <c r="Z62" s="5">
        <f t="shared" si="31"/>
        <v>2.1774571428571434</v>
      </c>
    </row>
    <row r="63" spans="1:26" s="24" customFormat="1" hidden="1" outlineLevel="2" x14ac:dyDescent="0.25">
      <c r="A63" s="27"/>
      <c r="B63" s="11" t="str">
        <f>CONCATENATE("          ", "6241", " - ", "OFFICE EXPENSE")</f>
        <v xml:space="preserve">          6241 - OFFICE EXPENSE</v>
      </c>
      <c r="C63" s="11"/>
      <c r="D63" s="6">
        <v>91.7</v>
      </c>
      <c r="E63" s="2"/>
      <c r="F63" s="7">
        <f t="shared" si="24"/>
        <v>0</v>
      </c>
      <c r="G63" s="2"/>
      <c r="H63" s="6">
        <v>200</v>
      </c>
      <c r="I63" s="2"/>
      <c r="J63" s="7">
        <f t="shared" si="25"/>
        <v>0</v>
      </c>
      <c r="K63" s="2"/>
      <c r="L63" s="6">
        <f t="shared" si="26"/>
        <v>-108.3</v>
      </c>
      <c r="M63" s="2"/>
      <c r="N63" s="7">
        <f t="shared" si="27"/>
        <v>-0.54149999999999998</v>
      </c>
      <c r="O63" s="11"/>
      <c r="P63" s="6">
        <v>450.61</v>
      </c>
      <c r="Q63" s="2"/>
      <c r="R63" s="7">
        <f t="shared" si="28"/>
        <v>0</v>
      </c>
      <c r="S63" s="2"/>
      <c r="T63" s="6">
        <v>350</v>
      </c>
      <c r="U63" s="2"/>
      <c r="V63" s="7">
        <f t="shared" si="29"/>
        <v>0</v>
      </c>
      <c r="W63" s="2"/>
      <c r="X63" s="6">
        <f t="shared" si="30"/>
        <v>100.61000000000001</v>
      </c>
      <c r="Y63" s="2"/>
      <c r="Z63" s="7">
        <f t="shared" si="31"/>
        <v>0.28745714285714291</v>
      </c>
    </row>
    <row r="64" spans="1:26" s="24" customFormat="1" hidden="1" outlineLevel="2" x14ac:dyDescent="0.25">
      <c r="A64" s="27"/>
      <c r="B64" s="11" t="str">
        <f>CONCATENATE("          ", "6245", " - ", "PRINTING")</f>
        <v xml:space="preserve">          6245 - PRINTING</v>
      </c>
      <c r="C64" s="11"/>
      <c r="D64" s="6">
        <v>661.5</v>
      </c>
      <c r="E64" s="2"/>
      <c r="F64" s="7">
        <f t="shared" si="24"/>
        <v>0</v>
      </c>
      <c r="G64" s="2"/>
      <c r="H64" s="6"/>
      <c r="I64" s="2"/>
      <c r="J64" s="7">
        <f t="shared" si="25"/>
        <v>0</v>
      </c>
      <c r="K64" s="2"/>
      <c r="L64" s="6">
        <f t="shared" si="26"/>
        <v>661.5</v>
      </c>
      <c r="M64" s="2"/>
      <c r="N64" s="7">
        <f t="shared" si="27"/>
        <v>0</v>
      </c>
      <c r="O64" s="11"/>
      <c r="P64" s="6">
        <v>661.5</v>
      </c>
      <c r="Q64" s="2"/>
      <c r="R64" s="7">
        <f t="shared" si="28"/>
        <v>0</v>
      </c>
      <c r="S64" s="2"/>
      <c r="T64" s="6"/>
      <c r="U64" s="2"/>
      <c r="V64" s="7">
        <f t="shared" si="29"/>
        <v>0</v>
      </c>
      <c r="W64" s="2"/>
      <c r="X64" s="6">
        <f t="shared" si="30"/>
        <v>661.5</v>
      </c>
      <c r="Y64" s="2"/>
      <c r="Z64" s="7">
        <f t="shared" si="31"/>
        <v>0</v>
      </c>
    </row>
    <row r="65" spans="1:26" s="26" customFormat="1" outlineLevel="1" collapsed="1" x14ac:dyDescent="0.25">
      <c r="A65" s="25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SUM(OSRRefD22_13x_0)</f>
        <v>376.35</v>
      </c>
      <c r="E65" s="1"/>
      <c r="F65" s="5">
        <f t="shared" ref="F65:F68" si="32">IF(D$12=0,0,D65/D$12)</f>
        <v>0</v>
      </c>
      <c r="G65" s="1"/>
      <c r="H65" s="1">
        <f>SUM(OSRRefH22_13x_0)</f>
        <v>375</v>
      </c>
      <c r="I65" s="1"/>
      <c r="J65" s="5">
        <f t="shared" ref="J65:J68" si="33">IF(H$12=0,0,H65/H$12)</f>
        <v>0</v>
      </c>
      <c r="K65" s="1"/>
      <c r="L65" s="1">
        <f t="shared" ref="L65:L68" si="34">+D65-H65</f>
        <v>1.3500000000000227</v>
      </c>
      <c r="M65" s="1"/>
      <c r="N65" s="5">
        <f t="shared" ref="N65:N68" si="35">IF(H65=0,0,L65/H65)</f>
        <v>3.6000000000000606E-3</v>
      </c>
      <c r="O65" s="13"/>
      <c r="P65" s="1">
        <f>SUM(OSRRefP22_13x_0)</f>
        <v>742.15</v>
      </c>
      <c r="Q65" s="1"/>
      <c r="R65" s="5">
        <f t="shared" ref="R65:R68" si="36">IF(P$12=0,0,P65/P$12)</f>
        <v>0</v>
      </c>
      <c r="S65" s="1"/>
      <c r="T65" s="1">
        <f>SUM(OSRRefT22_13x_0)</f>
        <v>750</v>
      </c>
      <c r="U65" s="1"/>
      <c r="V65" s="5">
        <f t="shared" ref="V65:V68" si="37">IF(T$12=0,0,T65/T$12)</f>
        <v>0</v>
      </c>
      <c r="W65" s="1"/>
      <c r="X65" s="1">
        <f t="shared" ref="X65:X68" si="38">+P65-T65</f>
        <v>-7.8500000000000227</v>
      </c>
      <c r="Y65" s="1"/>
      <c r="Z65" s="5">
        <f t="shared" ref="Z65:Z68" si="39">IF(T65=0,0,X65/T65)</f>
        <v>-1.0466666666666697E-2</v>
      </c>
    </row>
    <row r="66" spans="1:26" s="24" customFormat="1" hidden="1" outlineLevel="2" x14ac:dyDescent="0.25">
      <c r="A66" s="27"/>
      <c r="B66" s="11" t="str">
        <f>CONCATENATE("          ", "6309", " - ", "TELEPHONE")</f>
        <v xml:space="preserve">          6309 - TELEPHONE</v>
      </c>
      <c r="C66" s="11"/>
      <c r="D66" s="6">
        <v>376.35</v>
      </c>
      <c r="E66" s="2"/>
      <c r="F66" s="7">
        <f t="shared" si="32"/>
        <v>0</v>
      </c>
      <c r="G66" s="2"/>
      <c r="H66" s="6">
        <v>375</v>
      </c>
      <c r="I66" s="2"/>
      <c r="J66" s="7">
        <f t="shared" si="33"/>
        <v>0</v>
      </c>
      <c r="K66" s="2"/>
      <c r="L66" s="6">
        <f t="shared" si="34"/>
        <v>1.3500000000000227</v>
      </c>
      <c r="M66" s="2"/>
      <c r="N66" s="7">
        <f t="shared" si="35"/>
        <v>3.6000000000000606E-3</v>
      </c>
      <c r="O66" s="11"/>
      <c r="P66" s="6">
        <v>742.15</v>
      </c>
      <c r="Q66" s="2"/>
      <c r="R66" s="7">
        <f t="shared" si="36"/>
        <v>0</v>
      </c>
      <c r="S66" s="2"/>
      <c r="T66" s="6">
        <v>750</v>
      </c>
      <c r="U66" s="2"/>
      <c r="V66" s="7">
        <f t="shared" si="37"/>
        <v>0</v>
      </c>
      <c r="W66" s="2"/>
      <c r="X66" s="6">
        <f t="shared" si="38"/>
        <v>-7.8500000000000227</v>
      </c>
      <c r="Y66" s="2"/>
      <c r="Z66" s="7">
        <f t="shared" si="39"/>
        <v>-1.0466666666666697E-2</v>
      </c>
    </row>
    <row r="67" spans="1:26" s="26" customFormat="1" outlineLevel="1" collapsed="1" x14ac:dyDescent="0.25">
      <c r="A67" s="25"/>
      <c r="B67" s="13" t="str">
        <f>CONCATENATE("     ","Training                                          ")</f>
        <v xml:space="preserve">     Training                                          </v>
      </c>
      <c r="C67" s="13"/>
      <c r="D67" s="1">
        <f>SUM(OSRRefD22_14x_0)</f>
        <v>0</v>
      </c>
      <c r="E67" s="1"/>
      <c r="F67" s="5">
        <f t="shared" si="32"/>
        <v>0</v>
      </c>
      <c r="G67" s="1"/>
      <c r="H67" s="1">
        <f>SUM(OSRRefH22_14x_0)</f>
        <v>583</v>
      </c>
      <c r="I67" s="1"/>
      <c r="J67" s="5">
        <f t="shared" si="33"/>
        <v>0</v>
      </c>
      <c r="K67" s="1"/>
      <c r="L67" s="1">
        <f t="shared" si="34"/>
        <v>-583</v>
      </c>
      <c r="M67" s="1"/>
      <c r="N67" s="5">
        <f t="shared" si="35"/>
        <v>-1</v>
      </c>
      <c r="O67" s="13"/>
      <c r="P67" s="1">
        <f>SUM(OSRRefP22_14x_0)</f>
        <v>0</v>
      </c>
      <c r="Q67" s="1"/>
      <c r="R67" s="5">
        <f t="shared" si="36"/>
        <v>0</v>
      </c>
      <c r="S67" s="1"/>
      <c r="T67" s="1">
        <f>SUM(OSRRefT22_14x_0)</f>
        <v>1166</v>
      </c>
      <c r="U67" s="1"/>
      <c r="V67" s="5">
        <f t="shared" si="37"/>
        <v>0</v>
      </c>
      <c r="W67" s="1"/>
      <c r="X67" s="1">
        <f t="shared" si="38"/>
        <v>-1166</v>
      </c>
      <c r="Y67" s="1"/>
      <c r="Z67" s="5">
        <f t="shared" si="39"/>
        <v>-1</v>
      </c>
    </row>
    <row r="68" spans="1:26" s="24" customFormat="1" hidden="1" outlineLevel="2" x14ac:dyDescent="0.25">
      <c r="A68" s="27"/>
      <c r="B68" s="11" t="str">
        <f>CONCATENATE("          ", "6376", " - ", "TRAINING")</f>
        <v xml:space="preserve">          6376 - TRAINING</v>
      </c>
      <c r="C68" s="11"/>
      <c r="D68" s="6"/>
      <c r="E68" s="2"/>
      <c r="F68" s="7">
        <f t="shared" si="32"/>
        <v>0</v>
      </c>
      <c r="G68" s="2"/>
      <c r="H68" s="6">
        <v>583</v>
      </c>
      <c r="I68" s="2"/>
      <c r="J68" s="7">
        <f t="shared" si="33"/>
        <v>0</v>
      </c>
      <c r="K68" s="2"/>
      <c r="L68" s="6">
        <f t="shared" si="34"/>
        <v>-583</v>
      </c>
      <c r="M68" s="2"/>
      <c r="N68" s="7">
        <f t="shared" si="35"/>
        <v>-1</v>
      </c>
      <c r="O68" s="11"/>
      <c r="P68" s="6"/>
      <c r="Q68" s="2"/>
      <c r="R68" s="7">
        <f t="shared" si="36"/>
        <v>0</v>
      </c>
      <c r="S68" s="2"/>
      <c r="T68" s="6">
        <v>1166</v>
      </c>
      <c r="U68" s="2"/>
      <c r="V68" s="7">
        <f t="shared" si="37"/>
        <v>0</v>
      </c>
      <c r="W68" s="2"/>
      <c r="X68" s="6">
        <f t="shared" si="38"/>
        <v>-1166</v>
      </c>
      <c r="Y68" s="2"/>
      <c r="Z68" s="7">
        <f t="shared" si="39"/>
        <v>-1</v>
      </c>
    </row>
    <row r="69" spans="1:26" s="63" customFormat="1" x14ac:dyDescent="0.25">
      <c r="A69" s="36"/>
      <c r="B69" s="36"/>
      <c r="C69" s="36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8" t="s">
        <v>0</v>
      </c>
      <c r="C70" s="10"/>
      <c r="D70" s="4">
        <f>SUM(0)</f>
        <v>0</v>
      </c>
      <c r="E70" s="4"/>
      <c r="F70" s="12">
        <f>IF(D$12=0,0,D70/D$12)</f>
        <v>0</v>
      </c>
      <c r="G70" s="4"/>
      <c r="H70" s="4">
        <f>SUM(0)</f>
        <v>0</v>
      </c>
      <c r="I70" s="4"/>
      <c r="J70" s="12">
        <f>IF(H$12=0,0,H70/H$12)</f>
        <v>0</v>
      </c>
      <c r="K70" s="4"/>
      <c r="L70" s="4">
        <f>+D70-H70</f>
        <v>0</v>
      </c>
      <c r="M70" s="4"/>
      <c r="N70" s="12">
        <f>IF(H70=0,0,L70/H70)</f>
        <v>0</v>
      </c>
      <c r="O70" s="10"/>
      <c r="P70" s="4">
        <f>SUM(0)</f>
        <v>0</v>
      </c>
      <c r="Q70" s="4"/>
      <c r="R70" s="12">
        <f>IF(P$12=0,0,P70/P$12)</f>
        <v>0</v>
      </c>
      <c r="S70" s="4"/>
      <c r="T70" s="4">
        <f>SUM(0)</f>
        <v>0</v>
      </c>
      <c r="U70" s="4"/>
      <c r="V70" s="12">
        <f>IF(T$12=0,0,T70/T$12)</f>
        <v>0</v>
      </c>
      <c r="W70" s="4"/>
      <c r="X70" s="4">
        <f>+P70-T70</f>
        <v>0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9" t="s">
        <v>3</v>
      </c>
      <c r="C72" s="29"/>
      <c r="D72" s="22">
        <f>+D16-D18+D70</f>
        <v>-46130.020000000004</v>
      </c>
      <c r="E72" s="14"/>
      <c r="F72" s="20">
        <f>IF(D$12=0,0,D72/D$12)</f>
        <v>0</v>
      </c>
      <c r="G72" s="14"/>
      <c r="H72" s="22">
        <f>+H16-H18+H70</f>
        <v>-49506.594363846103</v>
      </c>
      <c r="I72" s="14"/>
      <c r="J72" s="20">
        <f>IF(H$12=0,0,H72/H$12)</f>
        <v>0</v>
      </c>
      <c r="K72" s="15"/>
      <c r="L72" s="22">
        <f>+D72-H72</f>
        <v>3376.574363846099</v>
      </c>
      <c r="M72" s="15"/>
      <c r="N72" s="20">
        <f>IF(H72=0,0,L72/H72)</f>
        <v>-6.8204537339614679E-2</v>
      </c>
      <c r="O72" s="28"/>
      <c r="P72" s="22">
        <f>+P16-P18+P70</f>
        <v>-101417.27999999998</v>
      </c>
      <c r="Q72" s="14"/>
      <c r="R72" s="20">
        <f>IF(P$12=0,0,P72/P$12)</f>
        <v>0</v>
      </c>
      <c r="S72" s="14"/>
      <c r="T72" s="22">
        <f>+T16-T18+T70</f>
        <v>-108943.26350615379</v>
      </c>
      <c r="U72" s="14"/>
      <c r="V72" s="20">
        <f>IF(T$12=0,0,T72/T$12)</f>
        <v>0</v>
      </c>
      <c r="W72" s="15"/>
      <c r="X72" s="22">
        <f>+P72-T72</f>
        <v>7525.9835061538033</v>
      </c>
      <c r="Y72" s="15"/>
      <c r="Z72" s="20">
        <f>IF(T72=0,0,X72/T72)</f>
        <v>-6.9081678517264988E-2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2"/>
      <c r="B74" s="10" t="s">
        <v>14</v>
      </c>
      <c r="C74" s="10"/>
      <c r="D74" s="4"/>
      <c r="E74" s="4"/>
      <c r="F74" s="12">
        <f>IF(D$12=0,0,D74/D$12)</f>
        <v>0</v>
      </c>
      <c r="G74" s="4"/>
      <c r="H74" s="4"/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/>
      <c r="Q74" s="4"/>
      <c r="R74" s="12">
        <f>IF(P$12=0,0,P74/P$12)</f>
        <v>0</v>
      </c>
      <c r="S74" s="4"/>
      <c r="T74" s="4"/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9" t="s">
        <v>4</v>
      </c>
      <c r="C76" s="29"/>
      <c r="D76" s="31">
        <f>+D72-D74</f>
        <v>-46130.020000000004</v>
      </c>
      <c r="E76" s="14"/>
      <c r="F76" s="32">
        <f>IF(D$12=0,0,D76/D$12)</f>
        <v>0</v>
      </c>
      <c r="G76" s="14"/>
      <c r="H76" s="31">
        <f>+H72-H74</f>
        <v>-49506.594363846103</v>
      </c>
      <c r="I76" s="14"/>
      <c r="J76" s="32">
        <f>IF(H$12=0,0,H76/H$12)</f>
        <v>0</v>
      </c>
      <c r="K76" s="15"/>
      <c r="L76" s="31">
        <f>D76-H76</f>
        <v>3376.574363846099</v>
      </c>
      <c r="M76" s="15"/>
      <c r="N76" s="32">
        <f>IF(H76=0,0,L76/H76)</f>
        <v>-6.8204537339614679E-2</v>
      </c>
      <c r="O76" s="28"/>
      <c r="P76" s="31">
        <f>+P72-P74</f>
        <v>-101417.27999999998</v>
      </c>
      <c r="Q76" s="14"/>
      <c r="R76" s="32">
        <f>IF(P$12=0,0,P76/P$12)</f>
        <v>0</v>
      </c>
      <c r="S76" s="14"/>
      <c r="T76" s="31">
        <f>+T72-T74</f>
        <v>-108943.26350615379</v>
      </c>
      <c r="U76" s="14"/>
      <c r="V76" s="32">
        <f>IF(T$12=0,0,T76/T$12)</f>
        <v>0</v>
      </c>
      <c r="W76" s="15"/>
      <c r="X76" s="31">
        <f>P76-T76</f>
        <v>7525.9835061538033</v>
      </c>
      <c r="Y76" s="15"/>
      <c r="Z76" s="32">
        <f>IF(T76=0,0,X76/T76)</f>
        <v>-6.9081678517264988E-2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5</v>
      </c>
      <c r="C79" s="29"/>
      <c r="D79" s="33">
        <f>SUM(D76:D78)</f>
        <v>-46130.020000000004</v>
      </c>
      <c r="E79" s="14"/>
      <c r="F79" s="35">
        <f>IF(D$12=0,0,D79/D$12)</f>
        <v>0</v>
      </c>
      <c r="G79" s="14"/>
      <c r="H79" s="33">
        <f>SUM(H76:H78)</f>
        <v>-49506.594363846103</v>
      </c>
      <c r="I79" s="14"/>
      <c r="J79" s="35">
        <f>IF(H$12=0,0,H79/H$12)</f>
        <v>0</v>
      </c>
      <c r="K79" s="15"/>
      <c r="L79" s="33">
        <f>+D79-H79</f>
        <v>3376.574363846099</v>
      </c>
      <c r="M79" s="15"/>
      <c r="N79" s="35">
        <f>IF(H79=0,0,L79/H79)</f>
        <v>-6.8204537339614679E-2</v>
      </c>
      <c r="O79" s="28"/>
      <c r="P79" s="33">
        <f>SUM(P76:P78)</f>
        <v>-101417.27999999998</v>
      </c>
      <c r="Q79" s="14"/>
      <c r="R79" s="35">
        <f>IF(P$12=0,0,P79/P$12)</f>
        <v>0</v>
      </c>
      <c r="S79" s="14"/>
      <c r="T79" s="33">
        <f>SUM(T76:T78)</f>
        <v>-108943.26350615379</v>
      </c>
      <c r="U79" s="14"/>
      <c r="V79" s="35">
        <f>IF(T$12=0,0,T79/T$12)</f>
        <v>0</v>
      </c>
      <c r="W79" s="15"/>
      <c r="X79" s="33">
        <f>+P79-T79</f>
        <v>7525.9835061538033</v>
      </c>
      <c r="Y79" s="15"/>
      <c r="Z79" s="35">
        <f>IF(T79=0,0,X79/T79)</f>
        <v>-6.9081678517264988E-2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61">
        <v>43732.70574513889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2" t="s">
        <v>314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8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","203", " - ", "Human Resources")</f>
        <v>Department 203 - Human Resources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68393.530000000013</v>
      </c>
      <c r="E18" s="19"/>
      <c r="F18" s="34">
        <f t="shared" ref="F18:F29" si="0">IF(D$12=0,0,D18/D$12)</f>
        <v>0</v>
      </c>
      <c r="G18" s="19"/>
      <c r="H18" s="19">
        <f>SUM(OSRRefH22x_0)</f>
        <v>51311.270203673834</v>
      </c>
      <c r="I18" s="19"/>
      <c r="J18" s="34">
        <f t="shared" ref="J18:J29" si="1">IF(H$12=0,0,H18/H$12)</f>
        <v>0</v>
      </c>
      <c r="K18" s="4"/>
      <c r="L18" s="19">
        <f t="shared" ref="L18:L29" si="2">+D18-H18</f>
        <v>17082.25979632618</v>
      </c>
      <c r="M18" s="4"/>
      <c r="N18" s="34">
        <f t="shared" ref="N18:N29" si="3">IF(H18=0,0,L18/H18)</f>
        <v>0.33291438174343047</v>
      </c>
      <c r="O18" s="10"/>
      <c r="P18" s="19">
        <f>SUM(OSRRefP22x_0)</f>
        <v>134006.37</v>
      </c>
      <c r="Q18" s="19"/>
      <c r="R18" s="34">
        <f t="shared" ref="R18:R29" si="4">IF(P$12=0,0,P18/P$12)</f>
        <v>0</v>
      </c>
      <c r="S18" s="19"/>
      <c r="T18" s="19">
        <f>SUM(OSRRefT22x_0)</f>
        <v>132258.85795826613</v>
      </c>
      <c r="U18" s="19"/>
      <c r="V18" s="34">
        <f t="shared" ref="V18:V29" si="5">IF(T$12=0,0,T18/T$12)</f>
        <v>0</v>
      </c>
      <c r="W18" s="4"/>
      <c r="X18" s="19">
        <f t="shared" ref="X18:X29" si="6">+P18-T18</f>
        <v>1747.5120417338621</v>
      </c>
      <c r="Y18" s="4"/>
      <c r="Z18" s="34">
        <f t="shared" ref="Z18:Z29" si="7">IF(T18=0,0,X18/T18)</f>
        <v>1.3212816659019421E-2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11573.3</v>
      </c>
      <c r="E19" s="1"/>
      <c r="F19" s="5">
        <f t="shared" si="0"/>
        <v>0</v>
      </c>
      <c r="G19" s="1"/>
      <c r="H19" s="1">
        <f>SUM(OSRRefH22_0x_0)</f>
        <v>10034.688480596915</v>
      </c>
      <c r="I19" s="1"/>
      <c r="J19" s="5">
        <f t="shared" si="1"/>
        <v>0</v>
      </c>
      <c r="K19" s="1"/>
      <c r="L19" s="1">
        <f t="shared" si="2"/>
        <v>1538.6115194030845</v>
      </c>
      <c r="M19" s="1"/>
      <c r="N19" s="5">
        <f t="shared" si="3"/>
        <v>0.15332927597883536</v>
      </c>
      <c r="O19" s="13"/>
      <c r="P19" s="1">
        <f>SUM(OSRRefP22_0x_0)</f>
        <v>27615.299999999996</v>
      </c>
      <c r="Q19" s="1"/>
      <c r="R19" s="5">
        <f t="shared" si="4"/>
        <v>0</v>
      </c>
      <c r="S19" s="1"/>
      <c r="T19" s="1">
        <f>SUM(OSRRefT22_0x_0)</f>
        <v>21846.29908134307</v>
      </c>
      <c r="U19" s="1"/>
      <c r="V19" s="5">
        <f t="shared" si="5"/>
        <v>0</v>
      </c>
      <c r="W19" s="1"/>
      <c r="X19" s="1">
        <f t="shared" si="6"/>
        <v>5769.0009186569259</v>
      </c>
      <c r="Y19" s="1"/>
      <c r="Z19" s="5">
        <f t="shared" si="7"/>
        <v>0.26407223013730974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1783.34</v>
      </c>
      <c r="E20" s="2"/>
      <c r="F20" s="7">
        <f t="shared" si="0"/>
        <v>0</v>
      </c>
      <c r="G20" s="2"/>
      <c r="H20" s="6">
        <v>1285.4190258276901</v>
      </c>
      <c r="I20" s="2"/>
      <c r="J20" s="7">
        <f t="shared" si="1"/>
        <v>0</v>
      </c>
      <c r="K20" s="2"/>
      <c r="L20" s="6">
        <f t="shared" si="2"/>
        <v>497.9209741723098</v>
      </c>
      <c r="M20" s="2"/>
      <c r="N20" s="7">
        <f t="shared" si="3"/>
        <v>0.38736082488875179</v>
      </c>
      <c r="O20" s="11"/>
      <c r="P20" s="6">
        <v>3547.12</v>
      </c>
      <c r="Q20" s="2"/>
      <c r="R20" s="7">
        <f t="shared" si="4"/>
        <v>0</v>
      </c>
      <c r="S20" s="2"/>
      <c r="T20" s="6">
        <v>2892.1928081123096</v>
      </c>
      <c r="U20" s="2"/>
      <c r="V20" s="7">
        <f t="shared" si="5"/>
        <v>0</v>
      </c>
      <c r="W20" s="2"/>
      <c r="X20" s="6">
        <f t="shared" si="6"/>
        <v>654.92719188769024</v>
      </c>
      <c r="Y20" s="2"/>
      <c r="Z20" s="7">
        <f t="shared" si="7"/>
        <v>0.2264465875340971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78.900000000000006</v>
      </c>
      <c r="E21" s="2"/>
      <c r="F21" s="7">
        <f t="shared" si="0"/>
        <v>0</v>
      </c>
      <c r="G21" s="2"/>
      <c r="H21" s="6">
        <v>81.560139446153897</v>
      </c>
      <c r="I21" s="2"/>
      <c r="J21" s="7">
        <f t="shared" si="1"/>
        <v>0</v>
      </c>
      <c r="K21" s="2"/>
      <c r="L21" s="6">
        <f t="shared" si="2"/>
        <v>-2.6601394461538916</v>
      </c>
      <c r="M21" s="2"/>
      <c r="N21" s="7">
        <f t="shared" si="3"/>
        <v>-3.2615680456384195E-2</v>
      </c>
      <c r="O21" s="11"/>
      <c r="P21" s="6">
        <v>157.19</v>
      </c>
      <c r="Q21" s="2"/>
      <c r="R21" s="7">
        <f t="shared" si="4"/>
        <v>0</v>
      </c>
      <c r="S21" s="2"/>
      <c r="T21" s="6">
        <v>183.51031375384588</v>
      </c>
      <c r="U21" s="2"/>
      <c r="V21" s="7">
        <f t="shared" si="5"/>
        <v>0</v>
      </c>
      <c r="W21" s="2"/>
      <c r="X21" s="6">
        <f t="shared" si="6"/>
        <v>-26.32031375384588</v>
      </c>
      <c r="Y21" s="2"/>
      <c r="Z21" s="7">
        <f t="shared" si="7"/>
        <v>-0.14342689092206012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5861.61</v>
      </c>
      <c r="E22" s="2"/>
      <c r="F22" s="7">
        <f t="shared" si="0"/>
        <v>0</v>
      </c>
      <c r="G22" s="2"/>
      <c r="H22" s="6">
        <v>5626.8461538461497</v>
      </c>
      <c r="I22" s="2"/>
      <c r="J22" s="7">
        <f t="shared" si="1"/>
        <v>0</v>
      </c>
      <c r="K22" s="2"/>
      <c r="L22" s="6">
        <f t="shared" si="2"/>
        <v>234.76384615384995</v>
      </c>
      <c r="M22" s="2"/>
      <c r="N22" s="7">
        <f t="shared" si="3"/>
        <v>4.1722101464135554E-2</v>
      </c>
      <c r="O22" s="11"/>
      <c r="P22" s="6">
        <v>11723.22</v>
      </c>
      <c r="Q22" s="2"/>
      <c r="R22" s="7">
        <f t="shared" si="4"/>
        <v>0</v>
      </c>
      <c r="S22" s="2"/>
      <c r="T22" s="6">
        <v>12166.15384615384</v>
      </c>
      <c r="U22" s="2"/>
      <c r="V22" s="7">
        <f t="shared" si="5"/>
        <v>0</v>
      </c>
      <c r="W22" s="2"/>
      <c r="X22" s="6">
        <f t="shared" si="6"/>
        <v>-442.93384615384093</v>
      </c>
      <c r="Y22" s="2"/>
      <c r="Z22" s="7">
        <f t="shared" si="7"/>
        <v>-3.6407056145674854E-2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60.34</v>
      </c>
      <c r="E23" s="2"/>
      <c r="F23" s="7">
        <f t="shared" si="0"/>
        <v>0</v>
      </c>
      <c r="G23" s="2"/>
      <c r="H23" s="6">
        <v>62.369518399999997</v>
      </c>
      <c r="I23" s="2"/>
      <c r="J23" s="7">
        <f t="shared" si="1"/>
        <v>0</v>
      </c>
      <c r="K23" s="2"/>
      <c r="L23" s="6">
        <f t="shared" si="2"/>
        <v>-2.0295183999999935</v>
      </c>
      <c r="M23" s="2"/>
      <c r="N23" s="7">
        <f t="shared" si="3"/>
        <v>-3.2540228817928368E-2</v>
      </c>
      <c r="O23" s="11"/>
      <c r="P23" s="6">
        <v>120.21</v>
      </c>
      <c r="Q23" s="2"/>
      <c r="R23" s="7">
        <f t="shared" si="4"/>
        <v>0</v>
      </c>
      <c r="S23" s="2"/>
      <c r="T23" s="6">
        <v>140.33141639999999</v>
      </c>
      <c r="U23" s="2"/>
      <c r="V23" s="7">
        <f t="shared" si="5"/>
        <v>0</v>
      </c>
      <c r="W23" s="2"/>
      <c r="X23" s="6">
        <f t="shared" si="6"/>
        <v>-20.121416400000001</v>
      </c>
      <c r="Y23" s="2"/>
      <c r="Z23" s="7">
        <f t="shared" si="7"/>
        <v>-0.14338497334514186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919.4</v>
      </c>
      <c r="E24" s="2"/>
      <c r="F24" s="7">
        <f t="shared" si="0"/>
        <v>0</v>
      </c>
      <c r="G24" s="2"/>
      <c r="H24" s="6">
        <v>684.79153846153804</v>
      </c>
      <c r="I24" s="2"/>
      <c r="J24" s="7">
        <f t="shared" si="1"/>
        <v>0</v>
      </c>
      <c r="K24" s="2"/>
      <c r="L24" s="6">
        <f t="shared" si="2"/>
        <v>234.60846153846194</v>
      </c>
      <c r="M24" s="2"/>
      <c r="N24" s="7">
        <f t="shared" si="3"/>
        <v>0.34259836513975694</v>
      </c>
      <c r="O24" s="11"/>
      <c r="P24" s="6">
        <v>1838.8</v>
      </c>
      <c r="Q24" s="2"/>
      <c r="R24" s="7">
        <f t="shared" si="4"/>
        <v>0</v>
      </c>
      <c r="S24" s="2"/>
      <c r="T24" s="6">
        <v>1540.7809615384608</v>
      </c>
      <c r="U24" s="2"/>
      <c r="V24" s="7">
        <f t="shared" si="5"/>
        <v>0</v>
      </c>
      <c r="W24" s="2"/>
      <c r="X24" s="6">
        <f t="shared" si="6"/>
        <v>298.01903846153914</v>
      </c>
      <c r="Y24" s="2"/>
      <c r="Z24" s="7">
        <f t="shared" si="7"/>
        <v>0.19342076901311714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500</v>
      </c>
      <c r="I25" s="2"/>
      <c r="J25" s="7">
        <f t="shared" si="1"/>
        <v>0</v>
      </c>
      <c r="K25" s="2"/>
      <c r="L25" s="6">
        <f t="shared" si="2"/>
        <v>-500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1000</v>
      </c>
      <c r="U25" s="2"/>
      <c r="V25" s="7">
        <f t="shared" si="5"/>
        <v>0</v>
      </c>
      <c r="W25" s="2"/>
      <c r="X25" s="6">
        <f t="shared" si="6"/>
        <v>-1000</v>
      </c>
      <c r="Y25" s="2"/>
      <c r="Z25" s="7">
        <f t="shared" si="7"/>
        <v>-1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445.39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445.39</v>
      </c>
      <c r="M26" s="2"/>
      <c r="N26" s="7">
        <f t="shared" si="3"/>
        <v>0</v>
      </c>
      <c r="O26" s="11"/>
      <c r="P26" s="6">
        <v>881.11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881.11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1171.02</v>
      </c>
      <c r="E27" s="2"/>
      <c r="F27" s="7">
        <f t="shared" si="0"/>
        <v>0</v>
      </c>
      <c r="G27" s="2"/>
      <c r="H27" s="6">
        <v>839.81381538461505</v>
      </c>
      <c r="I27" s="2"/>
      <c r="J27" s="7">
        <f t="shared" si="1"/>
        <v>0</v>
      </c>
      <c r="K27" s="2"/>
      <c r="L27" s="6">
        <f t="shared" si="2"/>
        <v>331.20618461538493</v>
      </c>
      <c r="M27" s="2"/>
      <c r="N27" s="7">
        <f t="shared" si="3"/>
        <v>0.3943804907087653</v>
      </c>
      <c r="O27" s="11"/>
      <c r="P27" s="6">
        <v>5632.45</v>
      </c>
      <c r="Q27" s="2"/>
      <c r="R27" s="7">
        <f t="shared" si="4"/>
        <v>0</v>
      </c>
      <c r="S27" s="2"/>
      <c r="T27" s="6">
        <v>1889.5810846153852</v>
      </c>
      <c r="U27" s="2"/>
      <c r="V27" s="7">
        <f t="shared" si="5"/>
        <v>0</v>
      </c>
      <c r="W27" s="2"/>
      <c r="X27" s="6">
        <f t="shared" si="6"/>
        <v>3742.8689153846144</v>
      </c>
      <c r="Y27" s="2"/>
      <c r="Z27" s="7">
        <f t="shared" si="7"/>
        <v>1.9807929629791234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822.34</v>
      </c>
      <c r="E28" s="2"/>
      <c r="F28" s="7">
        <f t="shared" si="0"/>
        <v>0</v>
      </c>
      <c r="G28" s="2"/>
      <c r="H28" s="6">
        <v>503.88828923076903</v>
      </c>
      <c r="I28" s="2"/>
      <c r="J28" s="7">
        <f t="shared" si="1"/>
        <v>0</v>
      </c>
      <c r="K28" s="2"/>
      <c r="L28" s="6">
        <f t="shared" si="2"/>
        <v>318.451710769231</v>
      </c>
      <c r="M28" s="2"/>
      <c r="N28" s="7">
        <f t="shared" si="3"/>
        <v>0.63198871173484961</v>
      </c>
      <c r="O28" s="11"/>
      <c r="P28" s="6">
        <v>2925.03</v>
      </c>
      <c r="Q28" s="2"/>
      <c r="R28" s="7">
        <f t="shared" si="4"/>
        <v>0</v>
      </c>
      <c r="S28" s="2"/>
      <c r="T28" s="6">
        <v>1133.7486507692311</v>
      </c>
      <c r="U28" s="2"/>
      <c r="V28" s="7">
        <f t="shared" si="5"/>
        <v>0</v>
      </c>
      <c r="W28" s="2"/>
      <c r="X28" s="6">
        <f t="shared" si="6"/>
        <v>1791.2813492307691</v>
      </c>
      <c r="Y28" s="2"/>
      <c r="Z28" s="7">
        <f t="shared" si="7"/>
        <v>1.5799633790218073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430.96</v>
      </c>
      <c r="E29" s="2"/>
      <c r="F29" s="7">
        <f t="shared" si="0"/>
        <v>0</v>
      </c>
      <c r="G29" s="2"/>
      <c r="H29" s="6">
        <v>450</v>
      </c>
      <c r="I29" s="2"/>
      <c r="J29" s="7">
        <f t="shared" si="1"/>
        <v>0</v>
      </c>
      <c r="K29" s="2"/>
      <c r="L29" s="6">
        <f t="shared" si="2"/>
        <v>-19.04000000000002</v>
      </c>
      <c r="M29" s="2"/>
      <c r="N29" s="7">
        <f t="shared" si="3"/>
        <v>-4.2311111111111153E-2</v>
      </c>
      <c r="O29" s="11"/>
      <c r="P29" s="6">
        <v>790.17</v>
      </c>
      <c r="Q29" s="2"/>
      <c r="R29" s="7">
        <f t="shared" si="4"/>
        <v>0</v>
      </c>
      <c r="S29" s="2"/>
      <c r="T29" s="6">
        <v>900</v>
      </c>
      <c r="U29" s="2"/>
      <c r="V29" s="7">
        <f t="shared" si="5"/>
        <v>0</v>
      </c>
      <c r="W29" s="2"/>
      <c r="X29" s="6">
        <f t="shared" si="6"/>
        <v>-109.83000000000004</v>
      </c>
      <c r="Y29" s="2"/>
      <c r="Z29" s="7">
        <f t="shared" si="7"/>
        <v>-0.12203333333333338</v>
      </c>
    </row>
    <row r="30" spans="1:26" s="26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21238.840000000004</v>
      </c>
      <c r="E30" s="1"/>
      <c r="F30" s="5">
        <f t="shared" ref="F30:F40" si="8">IF(D$12=0,0,D30/D$12)</f>
        <v>0</v>
      </c>
      <c r="G30" s="1"/>
      <c r="H30" s="1">
        <f>SUM(OSRRefH22_1x_0)</f>
        <v>22909.581723076921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-1670.741723076917</v>
      </c>
      <c r="M30" s="1"/>
      <c r="N30" s="5">
        <f t="shared" ref="N30:N40" si="11">IF(H30=0,0,L30/H30)</f>
        <v>-7.2927639765416219E-2</v>
      </c>
      <c r="O30" s="13"/>
      <c r="P30" s="1">
        <f>SUM(OSRRefP22_1x_0)</f>
        <v>49569.789999999994</v>
      </c>
      <c r="Q30" s="1"/>
      <c r="R30" s="5">
        <f t="shared" ref="R30:R40" si="12">IF(P$12=0,0,P30/P$12)</f>
        <v>0</v>
      </c>
      <c r="S30" s="1"/>
      <c r="T30" s="1">
        <f>SUM(OSRRefT22_1x_0)</f>
        <v>51546.558876923067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-1976.7688769230735</v>
      </c>
      <c r="Y30" s="1"/>
      <c r="Z30" s="5">
        <f t="shared" ref="Z30:Z40" si="15">IF(T30=0,0,X30/T30)</f>
        <v>-3.8349191876085743E-2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7645.89</v>
      </c>
      <c r="E31" s="2"/>
      <c r="F31" s="7">
        <f t="shared" si="8"/>
        <v>0</v>
      </c>
      <c r="G31" s="2"/>
      <c r="H31" s="6">
        <v>7325.6769230769205</v>
      </c>
      <c r="I31" s="2"/>
      <c r="J31" s="7">
        <f t="shared" si="9"/>
        <v>0</v>
      </c>
      <c r="K31" s="2"/>
      <c r="L31" s="6">
        <f t="shared" si="10"/>
        <v>320.21307692307983</v>
      </c>
      <c r="M31" s="2"/>
      <c r="N31" s="7">
        <f t="shared" si="11"/>
        <v>4.3711056368642635E-2</v>
      </c>
      <c r="O31" s="11"/>
      <c r="P31" s="6">
        <v>18890.05</v>
      </c>
      <c r="Q31" s="2"/>
      <c r="R31" s="7">
        <f t="shared" si="12"/>
        <v>0</v>
      </c>
      <c r="S31" s="2"/>
      <c r="T31" s="6">
        <v>16482.773076923069</v>
      </c>
      <c r="U31" s="2"/>
      <c r="V31" s="7">
        <f t="shared" si="13"/>
        <v>0</v>
      </c>
      <c r="W31" s="2"/>
      <c r="X31" s="6">
        <f t="shared" si="14"/>
        <v>2407.27692307693</v>
      </c>
      <c r="Y31" s="2"/>
      <c r="Z31" s="7">
        <f t="shared" si="15"/>
        <v>0.14604805343387703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8524.35</v>
      </c>
      <c r="E34" s="2"/>
      <c r="F34" s="7">
        <f t="shared" si="8"/>
        <v>0</v>
      </c>
      <c r="G34" s="2"/>
      <c r="H34" s="6">
        <v>8391.9048000000003</v>
      </c>
      <c r="I34" s="2"/>
      <c r="J34" s="7">
        <f t="shared" si="9"/>
        <v>0</v>
      </c>
      <c r="K34" s="2"/>
      <c r="L34" s="6">
        <f t="shared" si="10"/>
        <v>132.44520000000011</v>
      </c>
      <c r="M34" s="2"/>
      <c r="N34" s="7">
        <f t="shared" si="11"/>
        <v>1.5782495530692879E-2</v>
      </c>
      <c r="O34" s="11"/>
      <c r="P34" s="6">
        <v>17161.21</v>
      </c>
      <c r="Q34" s="2"/>
      <c r="R34" s="7">
        <f t="shared" si="12"/>
        <v>0</v>
      </c>
      <c r="S34" s="2"/>
      <c r="T34" s="6">
        <v>18881.785799999998</v>
      </c>
      <c r="U34" s="2"/>
      <c r="V34" s="7">
        <f t="shared" si="13"/>
        <v>0</v>
      </c>
      <c r="W34" s="2"/>
      <c r="X34" s="6">
        <f t="shared" si="14"/>
        <v>-1720.5757999999987</v>
      </c>
      <c r="Y34" s="2"/>
      <c r="Z34" s="7">
        <f t="shared" si="15"/>
        <v>-9.1123573703499952E-2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5350.6</v>
      </c>
      <c r="E35" s="2"/>
      <c r="F35" s="7">
        <f t="shared" si="8"/>
        <v>0</v>
      </c>
      <c r="G35" s="2"/>
      <c r="H35" s="6">
        <v>7192</v>
      </c>
      <c r="I35" s="2"/>
      <c r="J35" s="7">
        <f t="shared" si="9"/>
        <v>0</v>
      </c>
      <c r="K35" s="2"/>
      <c r="L35" s="6">
        <f t="shared" si="10"/>
        <v>-1841.3999999999996</v>
      </c>
      <c r="M35" s="2"/>
      <c r="N35" s="7">
        <f t="shared" si="11"/>
        <v>-0.25603448275862062</v>
      </c>
      <c r="O35" s="11"/>
      <c r="P35" s="6">
        <v>10514.53</v>
      </c>
      <c r="Q35" s="2"/>
      <c r="R35" s="7">
        <f t="shared" si="12"/>
        <v>0</v>
      </c>
      <c r="S35" s="2"/>
      <c r="T35" s="6">
        <v>16182</v>
      </c>
      <c r="U35" s="2"/>
      <c r="V35" s="7">
        <f t="shared" si="13"/>
        <v>0</v>
      </c>
      <c r="W35" s="2"/>
      <c r="X35" s="6">
        <f t="shared" si="14"/>
        <v>-5667.4699999999993</v>
      </c>
      <c r="Y35" s="2"/>
      <c r="Z35" s="7">
        <f t="shared" si="15"/>
        <v>-0.35023297491039423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-282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-282</v>
      </c>
      <c r="M37" s="2"/>
      <c r="N37" s="7">
        <f t="shared" si="11"/>
        <v>0</v>
      </c>
      <c r="O37" s="11"/>
      <c r="P37" s="6">
        <v>3004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3004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6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0</v>
      </c>
      <c r="E41" s="1"/>
      <c r="F41" s="5">
        <f t="shared" ref="F41:F57" si="16">IF(D$12=0,0,D41/D$12)</f>
        <v>0</v>
      </c>
      <c r="G41" s="1"/>
      <c r="H41" s="1">
        <f>SUM(OSRRefH22_2x_0)</f>
        <v>260</v>
      </c>
      <c r="I41" s="1"/>
      <c r="J41" s="5">
        <f t="shared" ref="J41:J57" si="17">IF(H$12=0,0,H41/H$12)</f>
        <v>0</v>
      </c>
      <c r="K41" s="1"/>
      <c r="L41" s="1">
        <f t="shared" ref="L41:L57" si="18">+D41-H41</f>
        <v>-260</v>
      </c>
      <c r="M41" s="1"/>
      <c r="N41" s="5">
        <f t="shared" ref="N41:N57" si="19">IF(H41=0,0,L41/H41)</f>
        <v>-1</v>
      </c>
      <c r="O41" s="13"/>
      <c r="P41" s="1">
        <f>SUM(OSRRefP22_2x_0)</f>
        <v>588.74</v>
      </c>
      <c r="Q41" s="1"/>
      <c r="R41" s="5">
        <f t="shared" ref="R41:R57" si="20">IF(P$12=0,0,P41/P$12)</f>
        <v>0</v>
      </c>
      <c r="S41" s="1"/>
      <c r="T41" s="1">
        <f>SUM(OSRRefT22_2x_0)</f>
        <v>520</v>
      </c>
      <c r="U41" s="1"/>
      <c r="V41" s="5">
        <f t="shared" ref="V41:V57" si="21">IF(T$12=0,0,T41/T$12)</f>
        <v>0</v>
      </c>
      <c r="W41" s="1"/>
      <c r="X41" s="1">
        <f t="shared" ref="X41:X57" si="22">+P41-T41</f>
        <v>68.740000000000009</v>
      </c>
      <c r="Y41" s="1"/>
      <c r="Z41" s="5">
        <f t="shared" ref="Z41:Z57" si="23">IF(T41=0,0,X41/T41)</f>
        <v>0.13219230769230772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>
        <v>260</v>
      </c>
      <c r="I42" s="2"/>
      <c r="J42" s="7">
        <f t="shared" si="17"/>
        <v>0</v>
      </c>
      <c r="K42" s="2"/>
      <c r="L42" s="6">
        <f t="shared" si="18"/>
        <v>-260</v>
      </c>
      <c r="M42" s="2"/>
      <c r="N42" s="7">
        <f t="shared" si="19"/>
        <v>-1</v>
      </c>
      <c r="O42" s="11"/>
      <c r="P42" s="6">
        <v>588.74</v>
      </c>
      <c r="Q42" s="2"/>
      <c r="R42" s="7">
        <f t="shared" si="20"/>
        <v>0</v>
      </c>
      <c r="S42" s="2"/>
      <c r="T42" s="6">
        <v>520</v>
      </c>
      <c r="U42" s="2"/>
      <c r="V42" s="7">
        <f t="shared" si="21"/>
        <v>0</v>
      </c>
      <c r="W42" s="2"/>
      <c r="X42" s="6">
        <f t="shared" si="22"/>
        <v>68.740000000000009</v>
      </c>
      <c r="Y42" s="2"/>
      <c r="Z42" s="7">
        <f t="shared" si="23"/>
        <v>0.13219230769230772</v>
      </c>
    </row>
    <row r="43" spans="1:26" s="26" customFormat="1" outlineLevel="1" collapsed="1" x14ac:dyDescent="0.25">
      <c r="A43" s="25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224.18</v>
      </c>
      <c r="E43" s="1"/>
      <c r="F43" s="5">
        <f t="shared" si="16"/>
        <v>0</v>
      </c>
      <c r="G43" s="1"/>
      <c r="H43" s="1">
        <f>SUM(OSRRefH22_3x_0)</f>
        <v>224</v>
      </c>
      <c r="I43" s="1"/>
      <c r="J43" s="5">
        <f t="shared" si="17"/>
        <v>0</v>
      </c>
      <c r="K43" s="1"/>
      <c r="L43" s="1">
        <f t="shared" si="18"/>
        <v>0.18000000000000682</v>
      </c>
      <c r="M43" s="1"/>
      <c r="N43" s="5">
        <f t="shared" si="19"/>
        <v>8.0357142857145902E-4</v>
      </c>
      <c r="O43" s="13"/>
      <c r="P43" s="1">
        <f>SUM(OSRRefP22_3x_0)</f>
        <v>448.36</v>
      </c>
      <c r="Q43" s="1"/>
      <c r="R43" s="5">
        <f t="shared" si="20"/>
        <v>0</v>
      </c>
      <c r="S43" s="1"/>
      <c r="T43" s="1">
        <f>SUM(OSRRefT22_3x_0)</f>
        <v>448</v>
      </c>
      <c r="U43" s="1"/>
      <c r="V43" s="5">
        <f t="shared" si="21"/>
        <v>0</v>
      </c>
      <c r="W43" s="1"/>
      <c r="X43" s="1">
        <f t="shared" si="22"/>
        <v>0.36000000000001364</v>
      </c>
      <c r="Y43" s="1"/>
      <c r="Z43" s="5">
        <f t="shared" si="23"/>
        <v>8.0357142857145902E-4</v>
      </c>
    </row>
    <row r="44" spans="1:26" s="24" customFormat="1" hidden="1" outlineLevel="2" x14ac:dyDescent="0.25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224.18</v>
      </c>
      <c r="E44" s="2"/>
      <c r="F44" s="7">
        <f t="shared" si="16"/>
        <v>0</v>
      </c>
      <c r="G44" s="2"/>
      <c r="H44" s="6">
        <v>224</v>
      </c>
      <c r="I44" s="2"/>
      <c r="J44" s="7">
        <f t="shared" si="17"/>
        <v>0</v>
      </c>
      <c r="K44" s="2"/>
      <c r="L44" s="6">
        <f t="shared" si="18"/>
        <v>0.18000000000000682</v>
      </c>
      <c r="M44" s="2"/>
      <c r="N44" s="7">
        <f t="shared" si="19"/>
        <v>8.0357142857145902E-4</v>
      </c>
      <c r="O44" s="11"/>
      <c r="P44" s="6">
        <v>448.36</v>
      </c>
      <c r="Q44" s="2"/>
      <c r="R44" s="7">
        <f t="shared" si="20"/>
        <v>0</v>
      </c>
      <c r="S44" s="2"/>
      <c r="T44" s="6">
        <v>448</v>
      </c>
      <c r="U44" s="2"/>
      <c r="V44" s="7">
        <f t="shared" si="21"/>
        <v>0</v>
      </c>
      <c r="W44" s="2"/>
      <c r="X44" s="6">
        <f t="shared" si="22"/>
        <v>0.36000000000001364</v>
      </c>
      <c r="Y44" s="2"/>
      <c r="Z44" s="7">
        <f t="shared" si="23"/>
        <v>8.0357142857145902E-4</v>
      </c>
    </row>
    <row r="45" spans="1:26" s="26" customFormat="1" outlineLevel="1" collapsed="1" x14ac:dyDescent="0.25">
      <c r="A45" s="25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5979.54</v>
      </c>
      <c r="E45" s="1"/>
      <c r="F45" s="5">
        <f t="shared" si="16"/>
        <v>0</v>
      </c>
      <c r="G45" s="1"/>
      <c r="H45" s="1">
        <f>SUM(OSRRefH22_4x_0)</f>
        <v>583</v>
      </c>
      <c r="I45" s="1"/>
      <c r="J45" s="5">
        <f t="shared" si="17"/>
        <v>0</v>
      </c>
      <c r="K45" s="1"/>
      <c r="L45" s="1">
        <f t="shared" si="18"/>
        <v>5396.54</v>
      </c>
      <c r="M45" s="1"/>
      <c r="N45" s="5">
        <f t="shared" si="19"/>
        <v>9.2565008576329326</v>
      </c>
      <c r="O45" s="13"/>
      <c r="P45" s="1">
        <f>SUM(OSRRefP22_4x_0)</f>
        <v>11127.12</v>
      </c>
      <c r="Q45" s="1"/>
      <c r="R45" s="5">
        <f t="shared" si="20"/>
        <v>0</v>
      </c>
      <c r="S45" s="1"/>
      <c r="T45" s="1">
        <f>SUM(OSRRefT22_4x_0)</f>
        <v>11166</v>
      </c>
      <c r="U45" s="1"/>
      <c r="V45" s="5">
        <f t="shared" si="21"/>
        <v>0</v>
      </c>
      <c r="W45" s="1"/>
      <c r="X45" s="1">
        <f t="shared" si="22"/>
        <v>-38.8799999999992</v>
      </c>
      <c r="Y45" s="1"/>
      <c r="Z45" s="5">
        <f t="shared" si="23"/>
        <v>-3.481998925308902E-3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>
        <v>5979.54</v>
      </c>
      <c r="E46" s="2"/>
      <c r="F46" s="7">
        <f t="shared" si="16"/>
        <v>0</v>
      </c>
      <c r="G46" s="2"/>
      <c r="H46" s="6">
        <v>583</v>
      </c>
      <c r="I46" s="2"/>
      <c r="J46" s="7">
        <f t="shared" si="17"/>
        <v>0</v>
      </c>
      <c r="K46" s="2"/>
      <c r="L46" s="6">
        <f t="shared" si="18"/>
        <v>5396.54</v>
      </c>
      <c r="M46" s="2"/>
      <c r="N46" s="7">
        <f t="shared" si="19"/>
        <v>9.2565008576329326</v>
      </c>
      <c r="O46" s="11"/>
      <c r="P46" s="6">
        <v>11127.12</v>
      </c>
      <c r="Q46" s="2"/>
      <c r="R46" s="7">
        <f t="shared" si="20"/>
        <v>0</v>
      </c>
      <c r="S46" s="2"/>
      <c r="T46" s="6">
        <v>11166</v>
      </c>
      <c r="U46" s="2"/>
      <c r="V46" s="7">
        <f t="shared" si="21"/>
        <v>0</v>
      </c>
      <c r="W46" s="2"/>
      <c r="X46" s="6">
        <f t="shared" si="22"/>
        <v>-38.8799999999992</v>
      </c>
      <c r="Y46" s="2"/>
      <c r="Z46" s="7">
        <f t="shared" si="23"/>
        <v>-3.481998925308902E-3</v>
      </c>
    </row>
    <row r="47" spans="1:26" s="26" customFormat="1" outlineLevel="1" collapsed="1" x14ac:dyDescent="0.25">
      <c r="A47" s="25"/>
      <c r="B47" s="13" t="str">
        <f>CONCATENATE("     ","Equipment Rental                                  ")</f>
        <v xml:space="preserve">     Equipment Rental                                  </v>
      </c>
      <c r="C47" s="13"/>
      <c r="D47" s="1">
        <f>SUM(OSRRefD22_5x_0)</f>
        <v>91.26</v>
      </c>
      <c r="E47" s="1"/>
      <c r="F47" s="5">
        <f t="shared" si="16"/>
        <v>0</v>
      </c>
      <c r="G47" s="1"/>
      <c r="H47" s="1">
        <f>SUM(OSRRefH22_5x_0)</f>
        <v>90</v>
      </c>
      <c r="I47" s="1"/>
      <c r="J47" s="5">
        <f t="shared" si="17"/>
        <v>0</v>
      </c>
      <c r="K47" s="1"/>
      <c r="L47" s="1">
        <f t="shared" si="18"/>
        <v>1.2600000000000051</v>
      </c>
      <c r="M47" s="1"/>
      <c r="N47" s="5">
        <f t="shared" si="19"/>
        <v>1.4000000000000058E-2</v>
      </c>
      <c r="O47" s="13"/>
      <c r="P47" s="1">
        <f>SUM(OSRRefP22_5x_0)</f>
        <v>182.52</v>
      </c>
      <c r="Q47" s="1"/>
      <c r="R47" s="5">
        <f t="shared" si="20"/>
        <v>0</v>
      </c>
      <c r="S47" s="1"/>
      <c r="T47" s="1">
        <f>SUM(OSRRefT22_5x_0)</f>
        <v>90</v>
      </c>
      <c r="U47" s="1"/>
      <c r="V47" s="5">
        <f t="shared" si="21"/>
        <v>0</v>
      </c>
      <c r="W47" s="1"/>
      <c r="X47" s="1">
        <f t="shared" si="22"/>
        <v>92.52000000000001</v>
      </c>
      <c r="Y47" s="1"/>
      <c r="Z47" s="5">
        <f t="shared" si="23"/>
        <v>1.028</v>
      </c>
    </row>
    <row r="48" spans="1:26" s="24" customFormat="1" hidden="1" outlineLevel="2" x14ac:dyDescent="0.25">
      <c r="A48" s="27"/>
      <c r="B48" s="11" t="str">
        <f>CONCATENATE("          ", "6351", " - ", "EQUIPMENT RENTAL")</f>
        <v xml:space="preserve">          6351 - EQUIPMENT RENTAL</v>
      </c>
      <c r="C48" s="11"/>
      <c r="D48" s="6">
        <v>91.26</v>
      </c>
      <c r="E48" s="2"/>
      <c r="F48" s="7">
        <f t="shared" si="16"/>
        <v>0</v>
      </c>
      <c r="G48" s="2"/>
      <c r="H48" s="6">
        <v>90</v>
      </c>
      <c r="I48" s="2"/>
      <c r="J48" s="7">
        <f t="shared" si="17"/>
        <v>0</v>
      </c>
      <c r="K48" s="2"/>
      <c r="L48" s="6">
        <f t="shared" si="18"/>
        <v>1.2600000000000051</v>
      </c>
      <c r="M48" s="2"/>
      <c r="N48" s="7">
        <f t="shared" si="19"/>
        <v>1.4000000000000058E-2</v>
      </c>
      <c r="O48" s="11"/>
      <c r="P48" s="6">
        <v>182.52</v>
      </c>
      <c r="Q48" s="2"/>
      <c r="R48" s="7">
        <f t="shared" si="20"/>
        <v>0</v>
      </c>
      <c r="S48" s="2"/>
      <c r="T48" s="6">
        <v>90</v>
      </c>
      <c r="U48" s="2"/>
      <c r="V48" s="7">
        <f t="shared" si="21"/>
        <v>0</v>
      </c>
      <c r="W48" s="2"/>
      <c r="X48" s="6">
        <f t="shared" si="22"/>
        <v>92.52000000000001</v>
      </c>
      <c r="Y48" s="2"/>
      <c r="Z48" s="7">
        <f t="shared" si="23"/>
        <v>1.028</v>
      </c>
    </row>
    <row r="49" spans="1:26" s="26" customFormat="1" outlineLevel="1" collapsed="1" x14ac:dyDescent="0.25">
      <c r="A49" s="25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SUM(OSRRefD22_6x_0)</f>
        <v>117.05</v>
      </c>
      <c r="E49" s="1"/>
      <c r="F49" s="5">
        <f t="shared" si="16"/>
        <v>0</v>
      </c>
      <c r="G49" s="1"/>
      <c r="H49" s="1">
        <f>SUM(OSRRefH22_6x_0)</f>
        <v>95</v>
      </c>
      <c r="I49" s="1"/>
      <c r="J49" s="5">
        <f t="shared" si="17"/>
        <v>0</v>
      </c>
      <c r="K49" s="1"/>
      <c r="L49" s="1">
        <f t="shared" si="18"/>
        <v>22.049999999999997</v>
      </c>
      <c r="M49" s="1"/>
      <c r="N49" s="5">
        <f t="shared" si="19"/>
        <v>0.2321052631578947</v>
      </c>
      <c r="O49" s="13"/>
      <c r="P49" s="1">
        <f>SUM(OSRRefP22_6x_0)</f>
        <v>154.69999999999999</v>
      </c>
      <c r="Q49" s="1"/>
      <c r="R49" s="5">
        <f t="shared" si="20"/>
        <v>0</v>
      </c>
      <c r="S49" s="1"/>
      <c r="T49" s="1">
        <f>SUM(OSRRefT22_6x_0)</f>
        <v>95</v>
      </c>
      <c r="U49" s="1"/>
      <c r="V49" s="5">
        <f t="shared" si="21"/>
        <v>0</v>
      </c>
      <c r="W49" s="1"/>
      <c r="X49" s="1">
        <f t="shared" si="22"/>
        <v>59.699999999999989</v>
      </c>
      <c r="Y49" s="1"/>
      <c r="Z49" s="5">
        <f t="shared" si="23"/>
        <v>0.62842105263157888</v>
      </c>
    </row>
    <row r="50" spans="1:26" s="24" customFormat="1" hidden="1" outlineLevel="2" x14ac:dyDescent="0.25">
      <c r="A50" s="27"/>
      <c r="B50" s="11" t="str">
        <f>CONCATENATE("          ", "6307", " - ", "POSTAGE")</f>
        <v xml:space="preserve">          6307 - POSTAGE</v>
      </c>
      <c r="C50" s="11"/>
      <c r="D50" s="6">
        <v>117.05</v>
      </c>
      <c r="E50" s="2"/>
      <c r="F50" s="7">
        <f t="shared" si="16"/>
        <v>0</v>
      </c>
      <c r="G50" s="2"/>
      <c r="H50" s="6">
        <v>95</v>
      </c>
      <c r="I50" s="2"/>
      <c r="J50" s="7">
        <f t="shared" si="17"/>
        <v>0</v>
      </c>
      <c r="K50" s="2"/>
      <c r="L50" s="6">
        <f t="shared" si="18"/>
        <v>22.049999999999997</v>
      </c>
      <c r="M50" s="2"/>
      <c r="N50" s="7">
        <f t="shared" si="19"/>
        <v>0.2321052631578947</v>
      </c>
      <c r="O50" s="11"/>
      <c r="P50" s="6">
        <v>154.69999999999999</v>
      </c>
      <c r="Q50" s="2"/>
      <c r="R50" s="7">
        <f t="shared" si="20"/>
        <v>0</v>
      </c>
      <c r="S50" s="2"/>
      <c r="T50" s="6">
        <v>95</v>
      </c>
      <c r="U50" s="2"/>
      <c r="V50" s="7">
        <f t="shared" si="21"/>
        <v>0</v>
      </c>
      <c r="W50" s="2"/>
      <c r="X50" s="6">
        <f t="shared" si="22"/>
        <v>59.699999999999989</v>
      </c>
      <c r="Y50" s="2"/>
      <c r="Z50" s="7">
        <f t="shared" si="23"/>
        <v>0.62842105263157888</v>
      </c>
    </row>
    <row r="51" spans="1:26" s="26" customFormat="1" outlineLevel="1" collapsed="1" x14ac:dyDescent="0.25">
      <c r="A51" s="25"/>
      <c r="B51" s="13" t="str">
        <f>CONCATENATE("     ","General                                           ")</f>
        <v xml:space="preserve">     General                                           </v>
      </c>
      <c r="C51" s="13"/>
      <c r="D51" s="1">
        <f>SUM(OSRRefD22_7x_0)</f>
        <v>0</v>
      </c>
      <c r="E51" s="1"/>
      <c r="F51" s="5">
        <f t="shared" si="16"/>
        <v>0</v>
      </c>
      <c r="G51" s="1"/>
      <c r="H51" s="1">
        <f>SUM(OSRRefH22_7x_0)</f>
        <v>390</v>
      </c>
      <c r="I51" s="1"/>
      <c r="J51" s="5">
        <f t="shared" si="17"/>
        <v>0</v>
      </c>
      <c r="K51" s="1"/>
      <c r="L51" s="1">
        <f t="shared" si="18"/>
        <v>-390</v>
      </c>
      <c r="M51" s="1"/>
      <c r="N51" s="5">
        <f t="shared" si="19"/>
        <v>-1</v>
      </c>
      <c r="O51" s="13"/>
      <c r="P51" s="1">
        <f>SUM(OSRRefP22_7x_0)</f>
        <v>0</v>
      </c>
      <c r="Q51" s="1"/>
      <c r="R51" s="5">
        <f t="shared" si="20"/>
        <v>0</v>
      </c>
      <c r="S51" s="1"/>
      <c r="T51" s="1">
        <f>SUM(OSRRefT22_7x_0)</f>
        <v>390</v>
      </c>
      <c r="U51" s="1"/>
      <c r="V51" s="5">
        <f t="shared" si="21"/>
        <v>0</v>
      </c>
      <c r="W51" s="1"/>
      <c r="X51" s="1">
        <f t="shared" si="22"/>
        <v>-390</v>
      </c>
      <c r="Y51" s="1"/>
      <c r="Z51" s="5">
        <f t="shared" si="23"/>
        <v>-1</v>
      </c>
    </row>
    <row r="52" spans="1:26" s="24" customFormat="1" hidden="1" outlineLevel="2" x14ac:dyDescent="0.25">
      <c r="A52" s="27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16"/>
        <v>0</v>
      </c>
      <c r="G52" s="2"/>
      <c r="H52" s="6">
        <v>390</v>
      </c>
      <c r="I52" s="2"/>
      <c r="J52" s="7">
        <f t="shared" si="17"/>
        <v>0</v>
      </c>
      <c r="K52" s="2"/>
      <c r="L52" s="6">
        <f t="shared" si="18"/>
        <v>-390</v>
      </c>
      <c r="M52" s="2"/>
      <c r="N52" s="7">
        <f t="shared" si="19"/>
        <v>-1</v>
      </c>
      <c r="O52" s="11"/>
      <c r="P52" s="6"/>
      <c r="Q52" s="2"/>
      <c r="R52" s="7">
        <f t="shared" si="20"/>
        <v>0</v>
      </c>
      <c r="S52" s="2"/>
      <c r="T52" s="6">
        <v>390</v>
      </c>
      <c r="U52" s="2"/>
      <c r="V52" s="7">
        <f t="shared" si="21"/>
        <v>0</v>
      </c>
      <c r="W52" s="2"/>
      <c r="X52" s="6">
        <f t="shared" si="22"/>
        <v>-390</v>
      </c>
      <c r="Y52" s="2"/>
      <c r="Z52" s="7">
        <f t="shared" si="23"/>
        <v>-1</v>
      </c>
    </row>
    <row r="53" spans="1:26" s="26" customFormat="1" outlineLevel="1" collapsed="1" x14ac:dyDescent="0.25">
      <c r="A53" s="25"/>
      <c r="B53" s="13" t="str">
        <f>CONCATENATE("     ","Insurance                                         ")</f>
        <v xml:space="preserve">     Insurance                                         </v>
      </c>
      <c r="C53" s="13"/>
      <c r="D53" s="1">
        <f>SUM(OSRRefD22_8x_0)</f>
        <v>65.47</v>
      </c>
      <c r="E53" s="1"/>
      <c r="F53" s="5">
        <f t="shared" si="16"/>
        <v>0</v>
      </c>
      <c r="G53" s="1"/>
      <c r="H53" s="1">
        <f>SUM(OSRRefH22_8x_0)</f>
        <v>65</v>
      </c>
      <c r="I53" s="1"/>
      <c r="J53" s="5">
        <f t="shared" si="17"/>
        <v>0</v>
      </c>
      <c r="K53" s="1"/>
      <c r="L53" s="1">
        <f t="shared" si="18"/>
        <v>0.46999999999999886</v>
      </c>
      <c r="M53" s="1"/>
      <c r="N53" s="5">
        <f t="shared" si="19"/>
        <v>7.2307692307692134E-3</v>
      </c>
      <c r="O53" s="13"/>
      <c r="P53" s="1">
        <f>SUM(OSRRefP22_8x_0)</f>
        <v>130.94</v>
      </c>
      <c r="Q53" s="1"/>
      <c r="R53" s="5">
        <f t="shared" si="20"/>
        <v>0</v>
      </c>
      <c r="S53" s="1"/>
      <c r="T53" s="1">
        <f>SUM(OSRRefT22_8x_0)</f>
        <v>130</v>
      </c>
      <c r="U53" s="1"/>
      <c r="V53" s="5">
        <f t="shared" si="21"/>
        <v>0</v>
      </c>
      <c r="W53" s="1"/>
      <c r="X53" s="1">
        <f t="shared" si="22"/>
        <v>0.93999999999999773</v>
      </c>
      <c r="Y53" s="1"/>
      <c r="Z53" s="5">
        <f t="shared" si="23"/>
        <v>7.2307692307692134E-3</v>
      </c>
    </row>
    <row r="54" spans="1:26" s="24" customFormat="1" hidden="1" outlineLevel="2" x14ac:dyDescent="0.25">
      <c r="A54" s="27"/>
      <c r="B54" s="11" t="str">
        <f>CONCATENATE("          ", "6314", " - ", "LIABILITY INSURANCE")</f>
        <v xml:space="preserve">          6314 - LIABILITY INSURANCE</v>
      </c>
      <c r="C54" s="11"/>
      <c r="D54" s="6">
        <v>65.47</v>
      </c>
      <c r="E54" s="2"/>
      <c r="F54" s="7">
        <f t="shared" si="16"/>
        <v>0</v>
      </c>
      <c r="G54" s="2"/>
      <c r="H54" s="6">
        <v>65</v>
      </c>
      <c r="I54" s="2"/>
      <c r="J54" s="7">
        <f t="shared" si="17"/>
        <v>0</v>
      </c>
      <c r="K54" s="2"/>
      <c r="L54" s="6">
        <f t="shared" si="18"/>
        <v>0.46999999999999886</v>
      </c>
      <c r="M54" s="2"/>
      <c r="N54" s="7">
        <f t="shared" si="19"/>
        <v>7.2307692307692134E-3</v>
      </c>
      <c r="O54" s="11"/>
      <c r="P54" s="6">
        <v>130.94</v>
      </c>
      <c r="Q54" s="2"/>
      <c r="R54" s="7">
        <f t="shared" si="20"/>
        <v>0</v>
      </c>
      <c r="S54" s="2"/>
      <c r="T54" s="6">
        <v>130</v>
      </c>
      <c r="U54" s="2"/>
      <c r="V54" s="7">
        <f t="shared" si="21"/>
        <v>0</v>
      </c>
      <c r="W54" s="2"/>
      <c r="X54" s="6">
        <f t="shared" si="22"/>
        <v>0.93999999999999773</v>
      </c>
      <c r="Y54" s="2"/>
      <c r="Z54" s="7">
        <f t="shared" si="23"/>
        <v>7.2307692307692134E-3</v>
      </c>
    </row>
    <row r="55" spans="1:26" s="26" customFormat="1" outlineLevel="1" collapsed="1" x14ac:dyDescent="0.25">
      <c r="A55" s="25"/>
      <c r="B55" s="13" t="str">
        <f>CONCATENATE("     ","Professional Services                             ")</f>
        <v xml:space="preserve">     Professional Services                             </v>
      </c>
      <c r="C55" s="13"/>
      <c r="D55" s="1">
        <f>SUM(OSRRefD22_9x_0)</f>
        <v>8352</v>
      </c>
      <c r="E55" s="1"/>
      <c r="F55" s="5">
        <f t="shared" si="16"/>
        <v>0</v>
      </c>
      <c r="G55" s="1"/>
      <c r="H55" s="1">
        <f>SUM(OSRRefH22_9x_0)</f>
        <v>833</v>
      </c>
      <c r="I55" s="1"/>
      <c r="J55" s="5">
        <f t="shared" si="17"/>
        <v>0</v>
      </c>
      <c r="K55" s="1"/>
      <c r="L55" s="1">
        <f t="shared" si="18"/>
        <v>7519</v>
      </c>
      <c r="M55" s="1"/>
      <c r="N55" s="5">
        <f t="shared" si="19"/>
        <v>9.0264105642256904</v>
      </c>
      <c r="O55" s="13"/>
      <c r="P55" s="1">
        <f>SUM(OSRRefP22_9x_0)</f>
        <v>9005.74</v>
      </c>
      <c r="Q55" s="1"/>
      <c r="R55" s="5">
        <f t="shared" si="20"/>
        <v>0</v>
      </c>
      <c r="S55" s="1"/>
      <c r="T55" s="1">
        <f>SUM(OSRRefT22_9x_0)</f>
        <v>21666</v>
      </c>
      <c r="U55" s="1"/>
      <c r="V55" s="5">
        <f t="shared" si="21"/>
        <v>0</v>
      </c>
      <c r="W55" s="1"/>
      <c r="X55" s="1">
        <f t="shared" si="22"/>
        <v>-12660.26</v>
      </c>
      <c r="Y55" s="1"/>
      <c r="Z55" s="5">
        <f t="shared" si="23"/>
        <v>-0.58433767192836705</v>
      </c>
    </row>
    <row r="56" spans="1:26" s="24" customFormat="1" hidden="1" outlineLevel="2" x14ac:dyDescent="0.25">
      <c r="A56" s="27"/>
      <c r="B56" s="11" t="str">
        <f>CONCATENATE("          ", "6334", " - ", "LEGAL COUNCIL EXPENSE")</f>
        <v xml:space="preserve">          6334 - LEGAL COUNCIL EXPENSE</v>
      </c>
      <c r="C56" s="11"/>
      <c r="D56" s="6">
        <v>6615</v>
      </c>
      <c r="E56" s="2"/>
      <c r="F56" s="7">
        <f t="shared" si="16"/>
        <v>0</v>
      </c>
      <c r="G56" s="2"/>
      <c r="H56" s="6">
        <v>833</v>
      </c>
      <c r="I56" s="2"/>
      <c r="J56" s="7">
        <f t="shared" si="17"/>
        <v>0</v>
      </c>
      <c r="K56" s="2"/>
      <c r="L56" s="6">
        <f t="shared" si="18"/>
        <v>5782</v>
      </c>
      <c r="M56" s="2"/>
      <c r="N56" s="7">
        <f t="shared" si="19"/>
        <v>6.9411764705882355</v>
      </c>
      <c r="O56" s="11"/>
      <c r="P56" s="6">
        <v>6615</v>
      </c>
      <c r="Q56" s="2"/>
      <c r="R56" s="7">
        <f t="shared" si="20"/>
        <v>0</v>
      </c>
      <c r="S56" s="2"/>
      <c r="T56" s="6">
        <v>1666</v>
      </c>
      <c r="U56" s="2"/>
      <c r="V56" s="7">
        <f t="shared" si="21"/>
        <v>0</v>
      </c>
      <c r="W56" s="2"/>
      <c r="X56" s="6">
        <f t="shared" si="22"/>
        <v>4949</v>
      </c>
      <c r="Y56" s="2"/>
      <c r="Z56" s="7">
        <f t="shared" si="23"/>
        <v>2.9705882352941178</v>
      </c>
    </row>
    <row r="57" spans="1:26" s="24" customFormat="1" hidden="1" outlineLevel="2" x14ac:dyDescent="0.25">
      <c r="A57" s="27"/>
      <c r="B57" s="11" t="str">
        <f>CONCATENATE("          ", "6336", " - ", "PROFESSIONAL SERVICES")</f>
        <v xml:space="preserve">          6336 - PROFESSIONAL SERVICES</v>
      </c>
      <c r="C57" s="11"/>
      <c r="D57" s="6">
        <v>1737</v>
      </c>
      <c r="E57" s="2"/>
      <c r="F57" s="7">
        <f t="shared" si="16"/>
        <v>0</v>
      </c>
      <c r="G57" s="2"/>
      <c r="H57" s="6"/>
      <c r="I57" s="2"/>
      <c r="J57" s="7">
        <f t="shared" si="17"/>
        <v>0</v>
      </c>
      <c r="K57" s="2"/>
      <c r="L57" s="6">
        <f t="shared" si="18"/>
        <v>1737</v>
      </c>
      <c r="M57" s="2"/>
      <c r="N57" s="7">
        <f t="shared" si="19"/>
        <v>0</v>
      </c>
      <c r="O57" s="11"/>
      <c r="P57" s="6">
        <v>2390.7399999999998</v>
      </c>
      <c r="Q57" s="2"/>
      <c r="R57" s="7">
        <f t="shared" si="20"/>
        <v>0</v>
      </c>
      <c r="S57" s="2"/>
      <c r="T57" s="6">
        <v>20000</v>
      </c>
      <c r="U57" s="2"/>
      <c r="V57" s="7">
        <f t="shared" si="21"/>
        <v>0</v>
      </c>
      <c r="W57" s="2"/>
      <c r="X57" s="6">
        <f t="shared" si="22"/>
        <v>-17609.260000000002</v>
      </c>
      <c r="Y57" s="2"/>
      <c r="Z57" s="7">
        <f t="shared" si="23"/>
        <v>-0.88046300000000011</v>
      </c>
    </row>
    <row r="58" spans="1:26" s="26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SUM(OSRRefD22_10x_0)</f>
        <v>9554.7200000000012</v>
      </c>
      <c r="E58" s="1"/>
      <c r="F58" s="5">
        <f t="shared" ref="F58:F60" si="24">IF(D$12=0,0,D58/D$12)</f>
        <v>0</v>
      </c>
      <c r="G58" s="1"/>
      <c r="H58" s="1">
        <f>SUM(OSRRefH22_10x_0)</f>
        <v>12920</v>
      </c>
      <c r="I58" s="1"/>
      <c r="J58" s="5">
        <f t="shared" ref="J58:J60" si="25">IF(H$12=0,0,H58/H$12)</f>
        <v>0</v>
      </c>
      <c r="K58" s="1"/>
      <c r="L58" s="1">
        <f t="shared" ref="L58:L60" si="26">+D58-H58</f>
        <v>-3365.2799999999988</v>
      </c>
      <c r="M58" s="1"/>
      <c r="N58" s="5">
        <f t="shared" ref="N58:N60" si="27">IF(H58=0,0,L58/H58)</f>
        <v>-0.26047058823529401</v>
      </c>
      <c r="O58" s="13"/>
      <c r="P58" s="1">
        <f>SUM(OSRRefP22_10x_0)</f>
        <v>20249.02</v>
      </c>
      <c r="Q58" s="1"/>
      <c r="R58" s="5">
        <f t="shared" ref="R58:R60" si="28">IF(P$12=0,0,P58/P$12)</f>
        <v>0</v>
      </c>
      <c r="S58" s="1"/>
      <c r="T58" s="1">
        <f>SUM(OSRRefT22_10x_0)</f>
        <v>12920</v>
      </c>
      <c r="U58" s="1"/>
      <c r="V58" s="5">
        <f t="shared" ref="V58:V60" si="29">IF(T$12=0,0,T58/T$12)</f>
        <v>0</v>
      </c>
      <c r="W58" s="1"/>
      <c r="X58" s="1">
        <f t="shared" ref="X58:X60" si="30">+P58-T58</f>
        <v>7329.02</v>
      </c>
      <c r="Y58" s="1"/>
      <c r="Z58" s="5">
        <f t="shared" ref="Z58:Z60" si="31">IF(T58=0,0,X58/T58)</f>
        <v>0.56726160990712082</v>
      </c>
    </row>
    <row r="59" spans="1:26" s="24" customFormat="1" hidden="1" outlineLevel="2" x14ac:dyDescent="0.25">
      <c r="A59" s="27"/>
      <c r="B59" s="11" t="str">
        <f>CONCATENATE("          ", "6371", " - ", "COMPUTER SOFTWARE MAINTENANCE")</f>
        <v xml:space="preserve">          6371 - COMPUTER SOFTWARE MAINTENANCE</v>
      </c>
      <c r="C59" s="11"/>
      <c r="D59" s="6">
        <v>9530.6</v>
      </c>
      <c r="E59" s="2"/>
      <c r="F59" s="7">
        <f t="shared" si="24"/>
        <v>0</v>
      </c>
      <c r="G59" s="2"/>
      <c r="H59" s="6">
        <v>12920</v>
      </c>
      <c r="I59" s="2"/>
      <c r="J59" s="7">
        <f t="shared" si="25"/>
        <v>0</v>
      </c>
      <c r="K59" s="2"/>
      <c r="L59" s="6">
        <f t="shared" si="26"/>
        <v>-3389.3999999999996</v>
      </c>
      <c r="M59" s="2"/>
      <c r="N59" s="7">
        <f t="shared" si="27"/>
        <v>-0.26233746130030955</v>
      </c>
      <c r="O59" s="11"/>
      <c r="P59" s="6">
        <v>20195.560000000001</v>
      </c>
      <c r="Q59" s="2"/>
      <c r="R59" s="7">
        <f t="shared" si="28"/>
        <v>0</v>
      </c>
      <c r="S59" s="2"/>
      <c r="T59" s="6">
        <v>12920</v>
      </c>
      <c r="U59" s="2"/>
      <c r="V59" s="7">
        <f t="shared" si="29"/>
        <v>0</v>
      </c>
      <c r="W59" s="2"/>
      <c r="X59" s="6">
        <f t="shared" si="30"/>
        <v>7275.5600000000013</v>
      </c>
      <c r="Y59" s="2"/>
      <c r="Z59" s="7">
        <f t="shared" si="31"/>
        <v>0.56312383900928797</v>
      </c>
    </row>
    <row r="60" spans="1:26" s="24" customFormat="1" hidden="1" outlineLevel="2" x14ac:dyDescent="0.25">
      <c r="A60" s="27"/>
      <c r="B60" s="11" t="str">
        <f>CONCATENATE("          ", "6373", " - ", "MAINTENANCE CONTRACTS")</f>
        <v xml:space="preserve">          6373 - MAINTENANCE CONTRACTS</v>
      </c>
      <c r="C60" s="11"/>
      <c r="D60" s="6">
        <v>24.12</v>
      </c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24.12</v>
      </c>
      <c r="M60" s="2"/>
      <c r="N60" s="7">
        <f t="shared" si="27"/>
        <v>0</v>
      </c>
      <c r="O60" s="11"/>
      <c r="P60" s="6">
        <v>53.46</v>
      </c>
      <c r="Q60" s="2"/>
      <c r="R60" s="7">
        <f t="shared" si="28"/>
        <v>0</v>
      </c>
      <c r="S60" s="2"/>
      <c r="T60" s="6"/>
      <c r="U60" s="2"/>
      <c r="V60" s="7">
        <f t="shared" si="29"/>
        <v>0</v>
      </c>
      <c r="W60" s="2"/>
      <c r="X60" s="6">
        <f t="shared" si="30"/>
        <v>53.46</v>
      </c>
      <c r="Y60" s="2"/>
      <c r="Z60" s="7">
        <f t="shared" si="31"/>
        <v>0</v>
      </c>
    </row>
    <row r="61" spans="1:26" s="26" customFormat="1" outlineLevel="1" collapsed="1" x14ac:dyDescent="0.25">
      <c r="A61" s="25"/>
      <c r="B61" s="13" t="str">
        <f>CONCATENATE("     ","Subscriptions &amp; Dues                              ")</f>
        <v xml:space="preserve">     Subscriptions &amp; Dues                              </v>
      </c>
      <c r="C61" s="13"/>
      <c r="D61" s="1">
        <f>SUM(OSRRefD22_11x_0)</f>
        <v>587</v>
      </c>
      <c r="E61" s="1"/>
      <c r="F61" s="5">
        <f t="shared" ref="F61:F66" si="32">IF(D$12=0,0,D61/D$12)</f>
        <v>0</v>
      </c>
      <c r="G61" s="1"/>
      <c r="H61" s="1">
        <f>SUM(OSRRefH22_11x_0)</f>
        <v>0</v>
      </c>
      <c r="I61" s="1"/>
      <c r="J61" s="5">
        <f t="shared" ref="J61:J66" si="33">IF(H$12=0,0,H61/H$12)</f>
        <v>0</v>
      </c>
      <c r="K61" s="1"/>
      <c r="L61" s="1">
        <f t="shared" ref="L61:L66" si="34">+D61-H61</f>
        <v>587</v>
      </c>
      <c r="M61" s="1"/>
      <c r="N61" s="5">
        <f t="shared" ref="N61:N66" si="35">IF(H61=0,0,L61/H61)</f>
        <v>0</v>
      </c>
      <c r="O61" s="13"/>
      <c r="P61" s="1">
        <f>SUM(OSRRefP22_11x_0)</f>
        <v>587</v>
      </c>
      <c r="Q61" s="1"/>
      <c r="R61" s="5">
        <f t="shared" ref="R61:R66" si="36">IF(P$12=0,0,P61/P$12)</f>
        <v>0</v>
      </c>
      <c r="S61" s="1"/>
      <c r="T61" s="1">
        <f>SUM(OSRRefT22_11x_0)</f>
        <v>627</v>
      </c>
      <c r="U61" s="1"/>
      <c r="V61" s="5">
        <f t="shared" ref="V61:V66" si="37">IF(T$12=0,0,T61/T$12)</f>
        <v>0</v>
      </c>
      <c r="W61" s="1"/>
      <c r="X61" s="1">
        <f t="shared" ref="X61:X66" si="38">+P61-T61</f>
        <v>-40</v>
      </c>
      <c r="Y61" s="1"/>
      <c r="Z61" s="5">
        <f t="shared" ref="Z61:Z66" si="39">IF(T61=0,0,X61/T61)</f>
        <v>-6.3795853269537475E-2</v>
      </c>
    </row>
    <row r="62" spans="1:26" s="24" customFormat="1" hidden="1" outlineLevel="2" x14ac:dyDescent="0.25">
      <c r="A62" s="27"/>
      <c r="B62" s="11" t="str">
        <f>CONCATENATE("          ", "6258", " - ", "MEMBERSHIP DUES")</f>
        <v xml:space="preserve">          6258 - MEMBERSHIP DUES</v>
      </c>
      <c r="C62" s="11"/>
      <c r="D62" s="6">
        <v>587</v>
      </c>
      <c r="E62" s="2"/>
      <c r="F62" s="7">
        <f t="shared" si="32"/>
        <v>0</v>
      </c>
      <c r="G62" s="2"/>
      <c r="H62" s="6"/>
      <c r="I62" s="2"/>
      <c r="J62" s="7">
        <f t="shared" si="33"/>
        <v>0</v>
      </c>
      <c r="K62" s="2"/>
      <c r="L62" s="6">
        <f t="shared" si="34"/>
        <v>587</v>
      </c>
      <c r="M62" s="2"/>
      <c r="N62" s="7">
        <f t="shared" si="35"/>
        <v>0</v>
      </c>
      <c r="O62" s="11"/>
      <c r="P62" s="6">
        <v>587</v>
      </c>
      <c r="Q62" s="2"/>
      <c r="R62" s="7">
        <f t="shared" si="36"/>
        <v>0</v>
      </c>
      <c r="S62" s="2"/>
      <c r="T62" s="6">
        <v>627</v>
      </c>
      <c r="U62" s="2"/>
      <c r="V62" s="7">
        <f t="shared" si="37"/>
        <v>0</v>
      </c>
      <c r="W62" s="2"/>
      <c r="X62" s="6">
        <f t="shared" si="38"/>
        <v>-40</v>
      </c>
      <c r="Y62" s="2"/>
      <c r="Z62" s="7">
        <f t="shared" si="39"/>
        <v>-6.3795853269537475E-2</v>
      </c>
    </row>
    <row r="63" spans="1:26" s="26" customFormat="1" outlineLevel="1" collapsed="1" x14ac:dyDescent="0.25">
      <c r="A63" s="25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SUM(OSRRefD22_12x_0)</f>
        <v>4943.2299999999996</v>
      </c>
      <c r="E63" s="1"/>
      <c r="F63" s="5">
        <f t="shared" si="32"/>
        <v>0</v>
      </c>
      <c r="G63" s="1"/>
      <c r="H63" s="1">
        <f>SUM(OSRRefH22_12x_0)</f>
        <v>2617</v>
      </c>
      <c r="I63" s="1"/>
      <c r="J63" s="5">
        <f t="shared" si="33"/>
        <v>0</v>
      </c>
      <c r="K63" s="1"/>
      <c r="L63" s="1">
        <f t="shared" si="34"/>
        <v>2326.2299999999996</v>
      </c>
      <c r="M63" s="1"/>
      <c r="N63" s="5">
        <f t="shared" si="35"/>
        <v>0.88889186090943817</v>
      </c>
      <c r="O63" s="13"/>
      <c r="P63" s="1">
        <f>SUM(OSRRefP22_12x_0)</f>
        <v>7394.5700000000006</v>
      </c>
      <c r="Q63" s="1"/>
      <c r="R63" s="5">
        <f t="shared" si="36"/>
        <v>0</v>
      </c>
      <c r="S63" s="1"/>
      <c r="T63" s="1">
        <f>SUM(OSRRefT22_12x_0)</f>
        <v>5234</v>
      </c>
      <c r="U63" s="1"/>
      <c r="V63" s="5">
        <f t="shared" si="37"/>
        <v>0</v>
      </c>
      <c r="W63" s="1"/>
      <c r="X63" s="1">
        <f t="shared" si="38"/>
        <v>2160.5700000000006</v>
      </c>
      <c r="Y63" s="1"/>
      <c r="Z63" s="5">
        <f t="shared" si="39"/>
        <v>0.41279518532671011</v>
      </c>
    </row>
    <row r="64" spans="1:26" s="24" customFormat="1" hidden="1" outlineLevel="2" x14ac:dyDescent="0.25">
      <c r="A64" s="27"/>
      <c r="B64" s="11" t="str">
        <f>CONCATENATE("          ", "6241", " - ", "OFFICE EXPENSE")</f>
        <v xml:space="preserve">          6241 - OFFICE EXPENSE</v>
      </c>
      <c r="C64" s="11"/>
      <c r="D64" s="6">
        <v>3149.72</v>
      </c>
      <c r="E64" s="2"/>
      <c r="F64" s="7">
        <f t="shared" si="32"/>
        <v>0</v>
      </c>
      <c r="G64" s="2"/>
      <c r="H64" s="6">
        <v>2200</v>
      </c>
      <c r="I64" s="2"/>
      <c r="J64" s="7">
        <f t="shared" si="33"/>
        <v>0</v>
      </c>
      <c r="K64" s="2"/>
      <c r="L64" s="6">
        <f t="shared" si="34"/>
        <v>949.7199999999998</v>
      </c>
      <c r="M64" s="2"/>
      <c r="N64" s="7">
        <f t="shared" si="35"/>
        <v>0.43169090909090901</v>
      </c>
      <c r="O64" s="11"/>
      <c r="P64" s="6">
        <v>4896.3100000000004</v>
      </c>
      <c r="Q64" s="2"/>
      <c r="R64" s="7">
        <f t="shared" si="36"/>
        <v>0</v>
      </c>
      <c r="S64" s="2"/>
      <c r="T64" s="6">
        <v>4400</v>
      </c>
      <c r="U64" s="2"/>
      <c r="V64" s="7">
        <f t="shared" si="37"/>
        <v>0</v>
      </c>
      <c r="W64" s="2"/>
      <c r="X64" s="6">
        <f t="shared" si="38"/>
        <v>496.3100000000004</v>
      </c>
      <c r="Y64" s="2"/>
      <c r="Z64" s="7">
        <f t="shared" si="39"/>
        <v>0.11279772727272737</v>
      </c>
    </row>
    <row r="65" spans="1:26" s="24" customFormat="1" hidden="1" outlineLevel="2" x14ac:dyDescent="0.25">
      <c r="A65" s="27"/>
      <c r="B65" s="11" t="str">
        <f>CONCATENATE("          ", "6244", " - ", "SAFETY SUPPLY EXPENSE")</f>
        <v xml:space="preserve">          6244 - SAFETY SUPPLY EXPENSE</v>
      </c>
      <c r="C65" s="11"/>
      <c r="D65" s="6">
        <v>750</v>
      </c>
      <c r="E65" s="2"/>
      <c r="F65" s="7">
        <f t="shared" si="32"/>
        <v>0</v>
      </c>
      <c r="G65" s="2"/>
      <c r="H65" s="6">
        <v>417</v>
      </c>
      <c r="I65" s="2"/>
      <c r="J65" s="7">
        <f t="shared" si="33"/>
        <v>0</v>
      </c>
      <c r="K65" s="2"/>
      <c r="L65" s="6">
        <f t="shared" si="34"/>
        <v>333</v>
      </c>
      <c r="M65" s="2"/>
      <c r="N65" s="7">
        <f t="shared" si="35"/>
        <v>0.79856115107913672</v>
      </c>
      <c r="O65" s="11"/>
      <c r="P65" s="6">
        <v>877.92</v>
      </c>
      <c r="Q65" s="2"/>
      <c r="R65" s="7">
        <f t="shared" si="36"/>
        <v>0</v>
      </c>
      <c r="S65" s="2"/>
      <c r="T65" s="6">
        <v>834</v>
      </c>
      <c r="U65" s="2"/>
      <c r="V65" s="7">
        <f t="shared" si="37"/>
        <v>0</v>
      </c>
      <c r="W65" s="2"/>
      <c r="X65" s="6">
        <f t="shared" si="38"/>
        <v>43.919999999999959</v>
      </c>
      <c r="Y65" s="2"/>
      <c r="Z65" s="7">
        <f t="shared" si="39"/>
        <v>5.2661870503597073E-2</v>
      </c>
    </row>
    <row r="66" spans="1:26" s="24" customFormat="1" hidden="1" outlineLevel="2" x14ac:dyDescent="0.25">
      <c r="A66" s="27"/>
      <c r="B66" s="11" t="str">
        <f>CONCATENATE("          ", "6245", " - ", "PRINTING")</f>
        <v xml:space="preserve">          6245 - PRINTING</v>
      </c>
      <c r="C66" s="11"/>
      <c r="D66" s="6">
        <v>1043.51</v>
      </c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1043.51</v>
      </c>
      <c r="M66" s="2"/>
      <c r="N66" s="7">
        <f t="shared" si="35"/>
        <v>0</v>
      </c>
      <c r="O66" s="11"/>
      <c r="P66" s="6">
        <v>1620.34</v>
      </c>
      <c r="Q66" s="2"/>
      <c r="R66" s="7">
        <f t="shared" si="36"/>
        <v>0</v>
      </c>
      <c r="S66" s="2"/>
      <c r="T66" s="6"/>
      <c r="U66" s="2"/>
      <c r="V66" s="7">
        <f t="shared" si="37"/>
        <v>0</v>
      </c>
      <c r="W66" s="2"/>
      <c r="X66" s="6">
        <f t="shared" si="38"/>
        <v>1620.34</v>
      </c>
      <c r="Y66" s="2"/>
      <c r="Z66" s="7">
        <f t="shared" si="39"/>
        <v>0</v>
      </c>
    </row>
    <row r="67" spans="1:26" s="26" customFormat="1" outlineLevel="1" collapsed="1" x14ac:dyDescent="0.25">
      <c r="A67" s="25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SUM(OSRRefD22_13x_0)</f>
        <v>347.8</v>
      </c>
      <c r="E67" s="1"/>
      <c r="F67" s="5">
        <f t="shared" ref="F67:F72" si="40">IF(D$12=0,0,D67/D$12)</f>
        <v>0</v>
      </c>
      <c r="G67" s="1"/>
      <c r="H67" s="1">
        <f>SUM(OSRRefH22_13x_0)</f>
        <v>290</v>
      </c>
      <c r="I67" s="1"/>
      <c r="J67" s="5">
        <f t="shared" ref="J67:J72" si="41">IF(H$12=0,0,H67/H$12)</f>
        <v>0</v>
      </c>
      <c r="K67" s="1"/>
      <c r="L67" s="1">
        <f t="shared" ref="L67:L72" si="42">+D67-H67</f>
        <v>57.800000000000011</v>
      </c>
      <c r="M67" s="1"/>
      <c r="N67" s="5">
        <f t="shared" ref="N67:N72" si="43">IF(H67=0,0,L67/H67)</f>
        <v>0.19931034482758625</v>
      </c>
      <c r="O67" s="13"/>
      <c r="P67" s="1">
        <f>SUM(OSRRefP22_13x_0)</f>
        <v>687.65</v>
      </c>
      <c r="Q67" s="1"/>
      <c r="R67" s="5">
        <f t="shared" ref="R67:R72" si="44">IF(P$12=0,0,P67/P$12)</f>
        <v>0</v>
      </c>
      <c r="S67" s="1"/>
      <c r="T67" s="1">
        <f>SUM(OSRRefT22_13x_0)</f>
        <v>580</v>
      </c>
      <c r="U67" s="1"/>
      <c r="V67" s="5">
        <f t="shared" ref="V67:V72" si="45">IF(T$12=0,0,T67/T$12)</f>
        <v>0</v>
      </c>
      <c r="W67" s="1"/>
      <c r="X67" s="1">
        <f t="shared" ref="X67:X72" si="46">+P67-T67</f>
        <v>107.64999999999998</v>
      </c>
      <c r="Y67" s="1"/>
      <c r="Z67" s="5">
        <f t="shared" ref="Z67:Z72" si="47">IF(T67=0,0,X67/T67)</f>
        <v>0.18560344827586203</v>
      </c>
    </row>
    <row r="68" spans="1:26" s="24" customFormat="1" hidden="1" outlineLevel="2" x14ac:dyDescent="0.25">
      <c r="A68" s="27"/>
      <c r="B68" s="11" t="str">
        <f>CONCATENATE("          ", "6309", " - ", "TELEPHONE")</f>
        <v xml:space="preserve">          6309 - TELEPHONE</v>
      </c>
      <c r="C68" s="11"/>
      <c r="D68" s="6">
        <v>347.8</v>
      </c>
      <c r="E68" s="2"/>
      <c r="F68" s="7">
        <f t="shared" si="40"/>
        <v>0</v>
      </c>
      <c r="G68" s="2"/>
      <c r="H68" s="6">
        <v>290</v>
      </c>
      <c r="I68" s="2"/>
      <c r="J68" s="7">
        <f t="shared" si="41"/>
        <v>0</v>
      </c>
      <c r="K68" s="2"/>
      <c r="L68" s="6">
        <f t="shared" si="42"/>
        <v>57.800000000000011</v>
      </c>
      <c r="M68" s="2"/>
      <c r="N68" s="7">
        <f t="shared" si="43"/>
        <v>0.19931034482758625</v>
      </c>
      <c r="O68" s="11"/>
      <c r="P68" s="6">
        <v>687.65</v>
      </c>
      <c r="Q68" s="2"/>
      <c r="R68" s="7">
        <f t="shared" si="44"/>
        <v>0</v>
      </c>
      <c r="S68" s="2"/>
      <c r="T68" s="6">
        <v>580</v>
      </c>
      <c r="U68" s="2"/>
      <c r="V68" s="7">
        <f t="shared" si="45"/>
        <v>0</v>
      </c>
      <c r="W68" s="2"/>
      <c r="X68" s="6">
        <f t="shared" si="46"/>
        <v>107.64999999999998</v>
      </c>
      <c r="Y68" s="2"/>
      <c r="Z68" s="7">
        <f t="shared" si="47"/>
        <v>0.18560344827586203</v>
      </c>
    </row>
    <row r="69" spans="1:26" s="26" customFormat="1" outlineLevel="1" collapsed="1" x14ac:dyDescent="0.25">
      <c r="A69" s="25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SUM(OSRRefD22_14x_0)</f>
        <v>4203.3599999999997</v>
      </c>
      <c r="E69" s="1"/>
      <c r="F69" s="5">
        <f t="shared" si="40"/>
        <v>0</v>
      </c>
      <c r="G69" s="1"/>
      <c r="H69" s="1">
        <f>SUM(OSRRefH22_14x_0)</f>
        <v>0</v>
      </c>
      <c r="I69" s="1"/>
      <c r="J69" s="5">
        <f t="shared" si="41"/>
        <v>0</v>
      </c>
      <c r="K69" s="1"/>
      <c r="L69" s="1">
        <f t="shared" si="42"/>
        <v>4203.3599999999997</v>
      </c>
      <c r="M69" s="1"/>
      <c r="N69" s="5">
        <f t="shared" si="43"/>
        <v>0</v>
      </c>
      <c r="O69" s="13"/>
      <c r="P69" s="1">
        <f>SUM(OSRRefP22_14x_0)</f>
        <v>4900.9799999999996</v>
      </c>
      <c r="Q69" s="1"/>
      <c r="R69" s="5">
        <f t="shared" si="44"/>
        <v>0</v>
      </c>
      <c r="S69" s="1"/>
      <c r="T69" s="1">
        <f>SUM(OSRRefT22_14x_0)</f>
        <v>4000</v>
      </c>
      <c r="U69" s="1"/>
      <c r="V69" s="5">
        <f t="shared" si="45"/>
        <v>0</v>
      </c>
      <c r="W69" s="1"/>
      <c r="X69" s="1">
        <f t="shared" si="46"/>
        <v>900.97999999999956</v>
      </c>
      <c r="Y69" s="1"/>
      <c r="Z69" s="5">
        <f t="shared" si="47"/>
        <v>0.22524499999999989</v>
      </c>
    </row>
    <row r="70" spans="1:26" s="24" customFormat="1" hidden="1" outlineLevel="2" x14ac:dyDescent="0.25">
      <c r="A70" s="27"/>
      <c r="B70" s="11" t="str">
        <f>CONCATENATE("          ", "6376", " - ", "TRAINING")</f>
        <v xml:space="preserve">          6376 - TRAINING</v>
      </c>
      <c r="C70" s="11"/>
      <c r="D70" s="6">
        <v>4203.3599999999997</v>
      </c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4203.3599999999997</v>
      </c>
      <c r="M70" s="2"/>
      <c r="N70" s="7">
        <f t="shared" si="43"/>
        <v>0</v>
      </c>
      <c r="O70" s="11"/>
      <c r="P70" s="6">
        <v>4900.9799999999996</v>
      </c>
      <c r="Q70" s="2"/>
      <c r="R70" s="7">
        <f t="shared" si="44"/>
        <v>0</v>
      </c>
      <c r="S70" s="2"/>
      <c r="T70" s="6">
        <v>4000</v>
      </c>
      <c r="U70" s="2"/>
      <c r="V70" s="7">
        <f t="shared" si="45"/>
        <v>0</v>
      </c>
      <c r="W70" s="2"/>
      <c r="X70" s="6">
        <f t="shared" si="46"/>
        <v>900.97999999999956</v>
      </c>
      <c r="Y70" s="2"/>
      <c r="Z70" s="7">
        <f t="shared" si="47"/>
        <v>0.22524499999999989</v>
      </c>
    </row>
    <row r="71" spans="1:26" s="26" customFormat="1" outlineLevel="1" collapsed="1" x14ac:dyDescent="0.25">
      <c r="A71" s="25"/>
      <c r="B71" s="13" t="str">
        <f>CONCATENATE("     ","Travel                                            ")</f>
        <v xml:space="preserve">     Travel                                            </v>
      </c>
      <c r="C71" s="13"/>
      <c r="D71" s="1">
        <f>SUM(OSRRefD22_15x_0)</f>
        <v>1115.78</v>
      </c>
      <c r="E71" s="1"/>
      <c r="F71" s="5">
        <f t="shared" si="40"/>
        <v>0</v>
      </c>
      <c r="G71" s="1"/>
      <c r="H71" s="1">
        <f>SUM(OSRRefH22_15x_0)</f>
        <v>0</v>
      </c>
      <c r="I71" s="1"/>
      <c r="J71" s="5">
        <f t="shared" si="41"/>
        <v>0</v>
      </c>
      <c r="K71" s="1"/>
      <c r="L71" s="1">
        <f t="shared" si="42"/>
        <v>1115.78</v>
      </c>
      <c r="M71" s="1"/>
      <c r="N71" s="5">
        <f t="shared" si="43"/>
        <v>0</v>
      </c>
      <c r="O71" s="13"/>
      <c r="P71" s="1">
        <f>SUM(OSRRefP22_15x_0)</f>
        <v>1363.94</v>
      </c>
      <c r="Q71" s="1"/>
      <c r="R71" s="5">
        <f t="shared" si="44"/>
        <v>0</v>
      </c>
      <c r="S71" s="1"/>
      <c r="T71" s="1">
        <f>SUM(OSRRefT22_15x_0)</f>
        <v>1000</v>
      </c>
      <c r="U71" s="1"/>
      <c r="V71" s="5">
        <f t="shared" si="45"/>
        <v>0</v>
      </c>
      <c r="W71" s="1"/>
      <c r="X71" s="1">
        <f t="shared" si="46"/>
        <v>363.94000000000005</v>
      </c>
      <c r="Y71" s="1"/>
      <c r="Z71" s="5">
        <f t="shared" si="47"/>
        <v>0.36394000000000004</v>
      </c>
    </row>
    <row r="72" spans="1:26" s="24" customFormat="1" hidden="1" outlineLevel="2" x14ac:dyDescent="0.25">
      <c r="A72" s="27"/>
      <c r="B72" s="11" t="str">
        <f>CONCATENATE("          ", "6292", " - ", "TRAVEL/CONFERENCE")</f>
        <v xml:space="preserve">          6292 - TRAVEL/CONFERENCE</v>
      </c>
      <c r="C72" s="11"/>
      <c r="D72" s="6">
        <v>1115.78</v>
      </c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1115.78</v>
      </c>
      <c r="M72" s="2"/>
      <c r="N72" s="7">
        <f t="shared" si="43"/>
        <v>0</v>
      </c>
      <c r="O72" s="11"/>
      <c r="P72" s="6">
        <v>1363.94</v>
      </c>
      <c r="Q72" s="2"/>
      <c r="R72" s="7">
        <f t="shared" si="44"/>
        <v>0</v>
      </c>
      <c r="S72" s="2"/>
      <c r="T72" s="6">
        <v>1000</v>
      </c>
      <c r="U72" s="2"/>
      <c r="V72" s="7">
        <f t="shared" si="45"/>
        <v>0</v>
      </c>
      <c r="W72" s="2"/>
      <c r="X72" s="6">
        <f t="shared" si="46"/>
        <v>363.94000000000005</v>
      </c>
      <c r="Y72" s="2"/>
      <c r="Z72" s="7">
        <f t="shared" si="47"/>
        <v>0.36394000000000004</v>
      </c>
    </row>
    <row r="73" spans="1:26" s="63" customFormat="1" x14ac:dyDescent="0.25">
      <c r="A73" s="36"/>
      <c r="B73" s="36"/>
      <c r="C73" s="36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6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8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2">
        <f>+D16-D18+D74</f>
        <v>-68393.530000000013</v>
      </c>
      <c r="E76" s="14"/>
      <c r="F76" s="20">
        <f>IF(D$12=0,0,D76/D$12)</f>
        <v>0</v>
      </c>
      <c r="G76" s="14"/>
      <c r="H76" s="22">
        <f>+H16-H18+H74</f>
        <v>-51311.270203673834</v>
      </c>
      <c r="I76" s="14"/>
      <c r="J76" s="20">
        <f>IF(H$12=0,0,H76/H$12)</f>
        <v>0</v>
      </c>
      <c r="K76" s="15"/>
      <c r="L76" s="22">
        <f>+D76-H76</f>
        <v>-17082.25979632618</v>
      </c>
      <c r="M76" s="15"/>
      <c r="N76" s="20">
        <f>IF(H76=0,0,L76/H76)</f>
        <v>0.33291438174343047</v>
      </c>
      <c r="O76" s="28"/>
      <c r="P76" s="22">
        <f>+P16-P18+P74</f>
        <v>-134006.37</v>
      </c>
      <c r="Q76" s="14"/>
      <c r="R76" s="20">
        <f>IF(P$12=0,0,P76/P$12)</f>
        <v>0</v>
      </c>
      <c r="S76" s="14"/>
      <c r="T76" s="22">
        <f>+T16-T18+T74</f>
        <v>-132258.85795826613</v>
      </c>
      <c r="U76" s="14"/>
      <c r="V76" s="20">
        <f>IF(T$12=0,0,T76/T$12)</f>
        <v>0</v>
      </c>
      <c r="W76" s="15"/>
      <c r="X76" s="22">
        <f>+P76-T76</f>
        <v>-1747.5120417338621</v>
      </c>
      <c r="Y76" s="15"/>
      <c r="Z76" s="20">
        <f>IF(T76=0,0,X76/T76)</f>
        <v>1.3212816659019421E-2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/>
      <c r="E78" s="4"/>
      <c r="F78" s="12">
        <f>IF(D$12=0,0,D78/D$12)</f>
        <v>0</v>
      </c>
      <c r="G78" s="4"/>
      <c r="H78" s="4"/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/>
      <c r="Q78" s="4"/>
      <c r="R78" s="12">
        <f>IF(P$12=0,0,P78/P$12)</f>
        <v>0</v>
      </c>
      <c r="S78" s="4"/>
      <c r="T78" s="4"/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1">
        <f>+D76-D78</f>
        <v>-68393.530000000013</v>
      </c>
      <c r="E80" s="14"/>
      <c r="F80" s="32">
        <f>IF(D$12=0,0,D80/D$12)</f>
        <v>0</v>
      </c>
      <c r="G80" s="14"/>
      <c r="H80" s="31">
        <f>+H76-H78</f>
        <v>-51311.270203673834</v>
      </c>
      <c r="I80" s="14"/>
      <c r="J80" s="32">
        <f>IF(H$12=0,0,H80/H$12)</f>
        <v>0</v>
      </c>
      <c r="K80" s="15"/>
      <c r="L80" s="31">
        <f>D80-H80</f>
        <v>-17082.25979632618</v>
      </c>
      <c r="M80" s="15"/>
      <c r="N80" s="32">
        <f>IF(H80=0,0,L80/H80)</f>
        <v>0.33291438174343047</v>
      </c>
      <c r="O80" s="28"/>
      <c r="P80" s="31">
        <f>+P76-P78</f>
        <v>-134006.37</v>
      </c>
      <c r="Q80" s="14"/>
      <c r="R80" s="32">
        <f>IF(P$12=0,0,P80/P$12)</f>
        <v>0</v>
      </c>
      <c r="S80" s="14"/>
      <c r="T80" s="31">
        <f>+T76-T78</f>
        <v>-132258.85795826613</v>
      </c>
      <c r="U80" s="14"/>
      <c r="V80" s="32">
        <f>IF(T$12=0,0,T80/T$12)</f>
        <v>0</v>
      </c>
      <c r="W80" s="15"/>
      <c r="X80" s="31">
        <f>P80-T80</f>
        <v>-1747.5120417338621</v>
      </c>
      <c r="Y80" s="15"/>
      <c r="Z80" s="32">
        <f>IF(T80=0,0,X80/T80)</f>
        <v>1.3212816659019421E-2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3">
        <f>SUM(D80:D82)</f>
        <v>-68393.530000000013</v>
      </c>
      <c r="E83" s="14"/>
      <c r="F83" s="35">
        <f>IF(D$12=0,0,D83/D$12)</f>
        <v>0</v>
      </c>
      <c r="G83" s="14"/>
      <c r="H83" s="33">
        <f>SUM(H80:H82)</f>
        <v>-51311.270203673834</v>
      </c>
      <c r="I83" s="14"/>
      <c r="J83" s="35">
        <f>IF(H$12=0,0,H83/H$12)</f>
        <v>0</v>
      </c>
      <c r="K83" s="15"/>
      <c r="L83" s="33">
        <f>+D83-H83</f>
        <v>-17082.25979632618</v>
      </c>
      <c r="M83" s="15"/>
      <c r="N83" s="35">
        <f>IF(H83=0,0,L83/H83)</f>
        <v>0.33291438174343047</v>
      </c>
      <c r="O83" s="28"/>
      <c r="P83" s="33">
        <f>SUM(P80:P82)</f>
        <v>-134006.37</v>
      </c>
      <c r="Q83" s="14"/>
      <c r="R83" s="35">
        <f>IF(P$12=0,0,P83/P$12)</f>
        <v>0</v>
      </c>
      <c r="S83" s="14"/>
      <c r="T83" s="33">
        <f>SUM(T80:T82)</f>
        <v>-132258.85795826613</v>
      </c>
      <c r="U83" s="14"/>
      <c r="V83" s="35">
        <f>IF(T$12=0,0,T83/T$12)</f>
        <v>0</v>
      </c>
      <c r="W83" s="15"/>
      <c r="X83" s="33">
        <f>+P83-T83</f>
        <v>-1747.5120417338621</v>
      </c>
      <c r="Y83" s="15"/>
      <c r="Z83" s="35">
        <f>IF(T83=0,0,X83/T83)</f>
        <v>1.3212816659019421E-2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61">
        <v>43732.70576261574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62" t="s">
        <v>314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8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","204", " - ", "Information Technology")</f>
        <v>Department 204 - Information Technology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56780.079999999994</v>
      </c>
      <c r="E18" s="19"/>
      <c r="F18" s="34">
        <f t="shared" ref="F18:F29" si="0">IF(D$12=0,0,D18/D$12)</f>
        <v>0</v>
      </c>
      <c r="G18" s="19"/>
      <c r="H18" s="19">
        <f>SUM(OSRRefH22x_0)</f>
        <v>63522.194832076886</v>
      </c>
      <c r="I18" s="19"/>
      <c r="J18" s="34">
        <f t="shared" ref="J18:J29" si="1">IF(H$12=0,0,H18/H$12)</f>
        <v>0</v>
      </c>
      <c r="K18" s="4"/>
      <c r="L18" s="19">
        <f t="shared" ref="L18:L29" si="2">+D18-H18</f>
        <v>-6742.1148320768916</v>
      </c>
      <c r="M18" s="4"/>
      <c r="N18" s="34">
        <f t="shared" ref="N18:N29" si="3">IF(H18=0,0,L18/H18)</f>
        <v>-0.10613793887160078</v>
      </c>
      <c r="O18" s="10"/>
      <c r="P18" s="19">
        <f>SUM(OSRRefP22x_0)</f>
        <v>124455.92999999998</v>
      </c>
      <c r="Q18" s="19"/>
      <c r="R18" s="34">
        <f t="shared" ref="R18:R29" si="4">IF(P$12=0,0,P18/P$12)</f>
        <v>0</v>
      </c>
      <c r="S18" s="19"/>
      <c r="T18" s="19">
        <f>SUM(OSRRefT22x_0)</f>
        <v>128209.15799023073</v>
      </c>
      <c r="U18" s="19"/>
      <c r="V18" s="34">
        <f t="shared" ref="V18:V29" si="5">IF(T$12=0,0,T18/T$12)</f>
        <v>0</v>
      </c>
      <c r="W18" s="4"/>
      <c r="X18" s="19">
        <f t="shared" ref="X18:X29" si="6">+P18-T18</f>
        <v>-3753.2279902307491</v>
      </c>
      <c r="Y18" s="4"/>
      <c r="Z18" s="34">
        <f t="shared" ref="Z18:Z29" si="7">IF(T18=0,0,X18/T18)</f>
        <v>-2.9274258165838181E-2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12054.33</v>
      </c>
      <c r="E19" s="1"/>
      <c r="F19" s="5">
        <f t="shared" si="0"/>
        <v>0</v>
      </c>
      <c r="G19" s="1"/>
      <c r="H19" s="1">
        <f>SUM(OSRRefH22_0x_0)</f>
        <v>13720.970293615388</v>
      </c>
      <c r="I19" s="1"/>
      <c r="J19" s="5">
        <f t="shared" si="1"/>
        <v>0</v>
      </c>
      <c r="K19" s="1"/>
      <c r="L19" s="1">
        <f t="shared" si="2"/>
        <v>-1666.6402936153881</v>
      </c>
      <c r="M19" s="1"/>
      <c r="N19" s="5">
        <f t="shared" si="3"/>
        <v>-0.12146664980325084</v>
      </c>
      <c r="O19" s="13"/>
      <c r="P19" s="1">
        <f>SUM(OSRRefP22_0x_0)</f>
        <v>24705.190000000006</v>
      </c>
      <c r="Q19" s="1"/>
      <c r="R19" s="5">
        <f t="shared" si="4"/>
        <v>0</v>
      </c>
      <c r="S19" s="1"/>
      <c r="T19" s="1">
        <f>SUM(OSRRefT22_0x_0)</f>
        <v>30058.172528692336</v>
      </c>
      <c r="U19" s="1"/>
      <c r="V19" s="5">
        <f t="shared" si="5"/>
        <v>0</v>
      </c>
      <c r="W19" s="1"/>
      <c r="X19" s="1">
        <f t="shared" si="6"/>
        <v>-5352.9825286923297</v>
      </c>
      <c r="Y19" s="1"/>
      <c r="Z19" s="5">
        <f t="shared" si="7"/>
        <v>-0.17808742442949868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1991.9</v>
      </c>
      <c r="E20" s="2"/>
      <c r="F20" s="7">
        <f t="shared" si="0"/>
        <v>0</v>
      </c>
      <c r="G20" s="2"/>
      <c r="H20" s="6">
        <v>2180.6275705384601</v>
      </c>
      <c r="I20" s="2"/>
      <c r="J20" s="7">
        <f t="shared" si="1"/>
        <v>0</v>
      </c>
      <c r="K20" s="2"/>
      <c r="L20" s="6">
        <f t="shared" si="2"/>
        <v>-188.72757053845999</v>
      </c>
      <c r="M20" s="2"/>
      <c r="N20" s="7">
        <f t="shared" si="3"/>
        <v>-8.6547365120151029E-2</v>
      </c>
      <c r="O20" s="11"/>
      <c r="P20" s="6">
        <v>3730.97</v>
      </c>
      <c r="Q20" s="2"/>
      <c r="R20" s="7">
        <f t="shared" si="4"/>
        <v>0</v>
      </c>
      <c r="S20" s="2"/>
      <c r="T20" s="6">
        <v>4968.8815594615398</v>
      </c>
      <c r="U20" s="2"/>
      <c r="V20" s="7">
        <f t="shared" si="5"/>
        <v>0</v>
      </c>
      <c r="W20" s="2"/>
      <c r="X20" s="6">
        <f t="shared" si="6"/>
        <v>-1237.91155946154</v>
      </c>
      <c r="Y20" s="2"/>
      <c r="Z20" s="7">
        <f t="shared" si="7"/>
        <v>-0.24913283696697494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90.17</v>
      </c>
      <c r="E21" s="2"/>
      <c r="F21" s="7">
        <f t="shared" si="0"/>
        <v>0</v>
      </c>
      <c r="G21" s="2"/>
      <c r="H21" s="6">
        <v>102.590789230769</v>
      </c>
      <c r="I21" s="2"/>
      <c r="J21" s="7">
        <f t="shared" si="1"/>
        <v>0</v>
      </c>
      <c r="K21" s="2"/>
      <c r="L21" s="6">
        <f t="shared" si="2"/>
        <v>-12.420789230769003</v>
      </c>
      <c r="M21" s="2"/>
      <c r="N21" s="7">
        <f t="shared" si="3"/>
        <v>-0.12107119288096638</v>
      </c>
      <c r="O21" s="11"/>
      <c r="P21" s="6">
        <v>173.17</v>
      </c>
      <c r="Q21" s="2"/>
      <c r="R21" s="7">
        <f t="shared" si="4"/>
        <v>0</v>
      </c>
      <c r="S21" s="2"/>
      <c r="T21" s="6">
        <v>234.08061076923101</v>
      </c>
      <c r="U21" s="2"/>
      <c r="V21" s="7">
        <f t="shared" si="5"/>
        <v>0</v>
      </c>
      <c r="W21" s="2"/>
      <c r="X21" s="6">
        <f t="shared" si="6"/>
        <v>-60.910610769231027</v>
      </c>
      <c r="Y21" s="2"/>
      <c r="Z21" s="7">
        <f t="shared" si="7"/>
        <v>-0.26021211483115925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5268.48</v>
      </c>
      <c r="E22" s="2"/>
      <c r="F22" s="7">
        <f t="shared" si="0"/>
        <v>0</v>
      </c>
      <c r="G22" s="2"/>
      <c r="H22" s="6">
        <v>7007.1923076923094</v>
      </c>
      <c r="I22" s="2"/>
      <c r="J22" s="7">
        <f t="shared" si="1"/>
        <v>0</v>
      </c>
      <c r="K22" s="2"/>
      <c r="L22" s="6">
        <f t="shared" si="2"/>
        <v>-1738.7123076923099</v>
      </c>
      <c r="M22" s="2"/>
      <c r="N22" s="7">
        <f t="shared" si="3"/>
        <v>-0.24813252317673623</v>
      </c>
      <c r="O22" s="11"/>
      <c r="P22" s="6">
        <v>9901.86</v>
      </c>
      <c r="Q22" s="2"/>
      <c r="R22" s="7">
        <f t="shared" si="4"/>
        <v>0</v>
      </c>
      <c r="S22" s="2"/>
      <c r="T22" s="6">
        <v>14811.11538461539</v>
      </c>
      <c r="U22" s="2"/>
      <c r="V22" s="7">
        <f t="shared" si="5"/>
        <v>0</v>
      </c>
      <c r="W22" s="2"/>
      <c r="X22" s="6">
        <f t="shared" si="6"/>
        <v>-4909.2553846153896</v>
      </c>
      <c r="Y22" s="2"/>
      <c r="Z22" s="7">
        <f t="shared" si="7"/>
        <v>-0.33145750722560263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68.95</v>
      </c>
      <c r="E23" s="2"/>
      <c r="F23" s="7">
        <f t="shared" si="0"/>
        <v>0</v>
      </c>
      <c r="G23" s="2"/>
      <c r="H23" s="6">
        <v>78.451779999999999</v>
      </c>
      <c r="I23" s="2"/>
      <c r="J23" s="7">
        <f t="shared" si="1"/>
        <v>0</v>
      </c>
      <c r="K23" s="2"/>
      <c r="L23" s="6">
        <f t="shared" si="2"/>
        <v>-9.5017799999999966</v>
      </c>
      <c r="M23" s="2"/>
      <c r="N23" s="7">
        <f t="shared" si="3"/>
        <v>-0.12111618117523906</v>
      </c>
      <c r="O23" s="11"/>
      <c r="P23" s="6">
        <v>132.41999999999999</v>
      </c>
      <c r="Q23" s="2"/>
      <c r="R23" s="7">
        <f t="shared" si="4"/>
        <v>0</v>
      </c>
      <c r="S23" s="2"/>
      <c r="T23" s="6">
        <v>179.00282000000001</v>
      </c>
      <c r="U23" s="2"/>
      <c r="V23" s="7">
        <f t="shared" si="5"/>
        <v>0</v>
      </c>
      <c r="W23" s="2"/>
      <c r="X23" s="6">
        <f t="shared" si="6"/>
        <v>-46.582820000000027</v>
      </c>
      <c r="Y23" s="2"/>
      <c r="Z23" s="7">
        <f t="shared" si="7"/>
        <v>-0.26023511808361466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1339.05</v>
      </c>
      <c r="E24" s="2"/>
      <c r="F24" s="7">
        <f t="shared" si="0"/>
        <v>0</v>
      </c>
      <c r="G24" s="2"/>
      <c r="H24" s="6">
        <v>1608.0676923076899</v>
      </c>
      <c r="I24" s="2"/>
      <c r="J24" s="7">
        <f t="shared" si="1"/>
        <v>0</v>
      </c>
      <c r="K24" s="2"/>
      <c r="L24" s="6">
        <f t="shared" si="2"/>
        <v>-269.01769230768991</v>
      </c>
      <c r="M24" s="2"/>
      <c r="N24" s="7">
        <f t="shared" si="3"/>
        <v>-0.16729251734523107</v>
      </c>
      <c r="O24" s="11"/>
      <c r="P24" s="6">
        <v>2678.1</v>
      </c>
      <c r="Q24" s="2"/>
      <c r="R24" s="7">
        <f t="shared" si="4"/>
        <v>0</v>
      </c>
      <c r="S24" s="2"/>
      <c r="T24" s="6">
        <v>3618.1523076923099</v>
      </c>
      <c r="U24" s="2"/>
      <c r="V24" s="7">
        <f t="shared" si="5"/>
        <v>0</v>
      </c>
      <c r="W24" s="2"/>
      <c r="X24" s="6">
        <f t="shared" si="6"/>
        <v>-940.05230769231002</v>
      </c>
      <c r="Y24" s="2"/>
      <c r="Z24" s="7">
        <f t="shared" si="7"/>
        <v>-0.2598155709735403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363.06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363.06</v>
      </c>
      <c r="M26" s="2"/>
      <c r="N26" s="7">
        <f t="shared" si="3"/>
        <v>0</v>
      </c>
      <c r="O26" s="11"/>
      <c r="P26" s="6">
        <v>559.66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559.66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1408.62</v>
      </c>
      <c r="E27" s="2"/>
      <c r="F27" s="7">
        <f t="shared" si="0"/>
        <v>0</v>
      </c>
      <c r="G27" s="2"/>
      <c r="H27" s="6">
        <v>1313.44807692308</v>
      </c>
      <c r="I27" s="2"/>
      <c r="J27" s="7">
        <f t="shared" si="1"/>
        <v>0</v>
      </c>
      <c r="K27" s="2"/>
      <c r="L27" s="6">
        <f t="shared" si="2"/>
        <v>95.171923076919938</v>
      </c>
      <c r="M27" s="2"/>
      <c r="N27" s="7">
        <f t="shared" si="3"/>
        <v>7.2459600610838254E-2</v>
      </c>
      <c r="O27" s="11"/>
      <c r="P27" s="6">
        <v>3832.01</v>
      </c>
      <c r="Q27" s="2"/>
      <c r="R27" s="7">
        <f t="shared" si="4"/>
        <v>0</v>
      </c>
      <c r="S27" s="2"/>
      <c r="T27" s="6">
        <v>2986.8019230769301</v>
      </c>
      <c r="U27" s="2"/>
      <c r="V27" s="7">
        <f t="shared" si="5"/>
        <v>0</v>
      </c>
      <c r="W27" s="2"/>
      <c r="X27" s="6">
        <f t="shared" si="6"/>
        <v>845.20807692307017</v>
      </c>
      <c r="Y27" s="2"/>
      <c r="Z27" s="7">
        <f t="shared" si="7"/>
        <v>0.28298096046903493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941.7</v>
      </c>
      <c r="E28" s="2"/>
      <c r="F28" s="7">
        <f t="shared" si="0"/>
        <v>0</v>
      </c>
      <c r="G28" s="2"/>
      <c r="H28" s="6">
        <v>1430.59207692308</v>
      </c>
      <c r="I28" s="2"/>
      <c r="J28" s="7">
        <f t="shared" si="1"/>
        <v>0</v>
      </c>
      <c r="K28" s="2"/>
      <c r="L28" s="6">
        <f t="shared" si="2"/>
        <v>-488.89207692307991</v>
      </c>
      <c r="M28" s="2"/>
      <c r="N28" s="7">
        <f t="shared" si="3"/>
        <v>-0.34174107686559391</v>
      </c>
      <c r="O28" s="11"/>
      <c r="P28" s="6">
        <v>2569.0100000000002</v>
      </c>
      <c r="Q28" s="2"/>
      <c r="R28" s="7">
        <f t="shared" si="4"/>
        <v>0</v>
      </c>
      <c r="S28" s="2"/>
      <c r="T28" s="6">
        <v>3260.1379230769298</v>
      </c>
      <c r="U28" s="2"/>
      <c r="V28" s="7">
        <f t="shared" si="5"/>
        <v>0</v>
      </c>
      <c r="W28" s="2"/>
      <c r="X28" s="6">
        <f t="shared" si="6"/>
        <v>-691.12792307692962</v>
      </c>
      <c r="Y28" s="2"/>
      <c r="Z28" s="7">
        <f t="shared" si="7"/>
        <v>-0.21199346143755801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582.4</v>
      </c>
      <c r="E29" s="2"/>
      <c r="F29" s="7">
        <f t="shared" si="0"/>
        <v>0</v>
      </c>
      <c r="G29" s="2"/>
      <c r="H29" s="6"/>
      <c r="I29" s="2"/>
      <c r="J29" s="7">
        <f t="shared" si="1"/>
        <v>0</v>
      </c>
      <c r="K29" s="2"/>
      <c r="L29" s="6">
        <f t="shared" si="2"/>
        <v>582.4</v>
      </c>
      <c r="M29" s="2"/>
      <c r="N29" s="7">
        <f t="shared" si="3"/>
        <v>0</v>
      </c>
      <c r="O29" s="11"/>
      <c r="P29" s="6">
        <v>1127.99</v>
      </c>
      <c r="Q29" s="2"/>
      <c r="R29" s="7">
        <f t="shared" si="4"/>
        <v>0</v>
      </c>
      <c r="S29" s="2"/>
      <c r="T29" s="6"/>
      <c r="U29" s="2"/>
      <c r="V29" s="7">
        <f t="shared" si="5"/>
        <v>0</v>
      </c>
      <c r="W29" s="2"/>
      <c r="X29" s="6">
        <f t="shared" si="6"/>
        <v>1127.99</v>
      </c>
      <c r="Y29" s="2"/>
      <c r="Z29" s="7">
        <f t="shared" si="7"/>
        <v>0</v>
      </c>
    </row>
    <row r="30" spans="1:26" s="26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24537.84</v>
      </c>
      <c r="E30" s="1"/>
      <c r="F30" s="5">
        <f t="shared" ref="F30:F40" si="8">IF(D$12=0,0,D30/D$12)</f>
        <v>0</v>
      </c>
      <c r="G30" s="1"/>
      <c r="H30" s="1">
        <f>SUM(OSRRefH22_1x_0)</f>
        <v>27920.224538461502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-3382.3845384615015</v>
      </c>
      <c r="M30" s="1"/>
      <c r="N30" s="5">
        <f t="shared" ref="N30:N40" si="11">IF(H30=0,0,L30/H30)</f>
        <v>-0.12114460375496258</v>
      </c>
      <c r="O30" s="13"/>
      <c r="P30" s="1">
        <f>SUM(OSRRefP22_1x_0)</f>
        <v>52981.9</v>
      </c>
      <c r="Q30" s="1"/>
      <c r="R30" s="5">
        <f t="shared" ref="R30:R40" si="12">IF(P$12=0,0,P30/P$12)</f>
        <v>0</v>
      </c>
      <c r="S30" s="1"/>
      <c r="T30" s="1">
        <f>SUM(OSRRefT22_1x_0)</f>
        <v>63588.985461538396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-10607.085461538394</v>
      </c>
      <c r="Y30" s="1"/>
      <c r="Z30" s="5">
        <f t="shared" ref="Z30:Z40" si="15">IF(T30=0,0,X30/T30)</f>
        <v>-0.1668069616860621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11135.82</v>
      </c>
      <c r="E32" s="2"/>
      <c r="F32" s="7">
        <f t="shared" si="8"/>
        <v>0</v>
      </c>
      <c r="G32" s="2"/>
      <c r="H32" s="6">
        <v>18698.461538461499</v>
      </c>
      <c r="I32" s="2"/>
      <c r="J32" s="7">
        <f t="shared" si="9"/>
        <v>0</v>
      </c>
      <c r="K32" s="2"/>
      <c r="L32" s="6">
        <f t="shared" si="10"/>
        <v>-7562.6415384614993</v>
      </c>
      <c r="M32" s="2"/>
      <c r="N32" s="7">
        <f t="shared" si="11"/>
        <v>-0.40445260819483175</v>
      </c>
      <c r="O32" s="11"/>
      <c r="P32" s="6">
        <v>25013.22</v>
      </c>
      <c r="Q32" s="2"/>
      <c r="R32" s="7">
        <f t="shared" si="12"/>
        <v>0</v>
      </c>
      <c r="S32" s="2"/>
      <c r="T32" s="6">
        <v>42071.538461538395</v>
      </c>
      <c r="U32" s="2"/>
      <c r="V32" s="7">
        <f t="shared" si="13"/>
        <v>0</v>
      </c>
      <c r="W32" s="2"/>
      <c r="X32" s="6">
        <f t="shared" si="14"/>
        <v>-17058.318461538394</v>
      </c>
      <c r="Y32" s="2"/>
      <c r="Z32" s="7">
        <f t="shared" si="15"/>
        <v>-0.40545982118369711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7470.27</v>
      </c>
      <c r="E34" s="2"/>
      <c r="F34" s="7">
        <f t="shared" si="8"/>
        <v>0</v>
      </c>
      <c r="G34" s="2"/>
      <c r="H34" s="6">
        <v>7541.7630000000008</v>
      </c>
      <c r="I34" s="2"/>
      <c r="J34" s="7">
        <f t="shared" si="9"/>
        <v>0</v>
      </c>
      <c r="K34" s="2"/>
      <c r="L34" s="6">
        <f t="shared" si="10"/>
        <v>-71.493000000000393</v>
      </c>
      <c r="M34" s="2"/>
      <c r="N34" s="7">
        <f t="shared" si="11"/>
        <v>-9.479613718967354E-3</v>
      </c>
      <c r="O34" s="11"/>
      <c r="P34" s="6">
        <v>13743.68</v>
      </c>
      <c r="Q34" s="2"/>
      <c r="R34" s="7">
        <f t="shared" si="12"/>
        <v>0</v>
      </c>
      <c r="S34" s="2"/>
      <c r="T34" s="6">
        <v>17597.447</v>
      </c>
      <c r="U34" s="2"/>
      <c r="V34" s="7">
        <f t="shared" si="13"/>
        <v>0</v>
      </c>
      <c r="W34" s="2"/>
      <c r="X34" s="6">
        <f t="shared" si="14"/>
        <v>-3853.7669999999998</v>
      </c>
      <c r="Y34" s="2"/>
      <c r="Z34" s="7">
        <f t="shared" si="15"/>
        <v>-0.21899580092498644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2389.75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2389.75</v>
      </c>
      <c r="M35" s="2"/>
      <c r="N35" s="7">
        <f t="shared" si="11"/>
        <v>0</v>
      </c>
      <c r="O35" s="11"/>
      <c r="P35" s="6">
        <v>3836.5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3836.5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2814.5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2814.5</v>
      </c>
      <c r="M37" s="2"/>
      <c r="N37" s="7">
        <f t="shared" si="11"/>
        <v>0</v>
      </c>
      <c r="O37" s="11"/>
      <c r="P37" s="6">
        <v>7868.5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7868.5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>
        <v>727.5</v>
      </c>
      <c r="E38" s="2"/>
      <c r="F38" s="7">
        <f t="shared" si="8"/>
        <v>0</v>
      </c>
      <c r="G38" s="2"/>
      <c r="H38" s="6">
        <v>1680</v>
      </c>
      <c r="I38" s="2"/>
      <c r="J38" s="7">
        <f t="shared" si="9"/>
        <v>0</v>
      </c>
      <c r="K38" s="2"/>
      <c r="L38" s="6">
        <f t="shared" si="10"/>
        <v>-952.5</v>
      </c>
      <c r="M38" s="2"/>
      <c r="N38" s="7">
        <f t="shared" si="11"/>
        <v>-0.5669642857142857</v>
      </c>
      <c r="O38" s="11"/>
      <c r="P38" s="6">
        <v>2520</v>
      </c>
      <c r="Q38" s="2"/>
      <c r="R38" s="7">
        <f t="shared" si="12"/>
        <v>0</v>
      </c>
      <c r="S38" s="2"/>
      <c r="T38" s="6">
        <v>3920</v>
      </c>
      <c r="U38" s="2"/>
      <c r="V38" s="7">
        <f t="shared" si="13"/>
        <v>0</v>
      </c>
      <c r="W38" s="2"/>
      <c r="X38" s="6">
        <f t="shared" si="14"/>
        <v>-1400</v>
      </c>
      <c r="Y38" s="2"/>
      <c r="Z38" s="7">
        <f t="shared" si="15"/>
        <v>-0.35714285714285715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6" customFormat="1" outlineLevel="1" collapsed="1" x14ac:dyDescent="0.25">
      <c r="A41" s="25"/>
      <c r="B41" s="13" t="str">
        <f>CONCATENATE("     ","Depreciation                                      ")</f>
        <v xml:space="preserve">     Depreciation                                      </v>
      </c>
      <c r="C41" s="13"/>
      <c r="D41" s="1">
        <f>SUM(OSRRefD22_2x_0)</f>
        <v>6175.97</v>
      </c>
      <c r="E41" s="1"/>
      <c r="F41" s="5">
        <f t="shared" ref="F41:F53" si="16">IF(D$12=0,0,D41/D$12)</f>
        <v>0</v>
      </c>
      <c r="G41" s="1"/>
      <c r="H41" s="1">
        <f>SUM(OSRRefH22_2x_0)</f>
        <v>6176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-2.9999999999745341E-2</v>
      </c>
      <c r="M41" s="1"/>
      <c r="N41" s="5">
        <f t="shared" ref="N41:N53" si="19">IF(H41=0,0,L41/H41)</f>
        <v>-4.8575129533266417E-6</v>
      </c>
      <c r="O41" s="13"/>
      <c r="P41" s="1">
        <f>SUM(OSRRefP22_2x_0)</f>
        <v>12351.94</v>
      </c>
      <c r="Q41" s="1"/>
      <c r="R41" s="5">
        <f t="shared" ref="R41:R53" si="20">IF(P$12=0,0,P41/P$12)</f>
        <v>0</v>
      </c>
      <c r="S41" s="1"/>
      <c r="T41" s="1">
        <f>SUM(OSRRefT22_2x_0)</f>
        <v>12352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-5.9999999999490683E-2</v>
      </c>
      <c r="Y41" s="1"/>
      <c r="Z41" s="5">
        <f t="shared" ref="Z41:Z53" si="23">IF(T41=0,0,X41/T41)</f>
        <v>-4.8575129533266417E-6</v>
      </c>
    </row>
    <row r="42" spans="1:26" s="24" customFormat="1" hidden="1" outlineLevel="2" x14ac:dyDescent="0.25">
      <c r="A42" s="27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6175.97</v>
      </c>
      <c r="E42" s="2"/>
      <c r="F42" s="7">
        <f t="shared" si="16"/>
        <v>0</v>
      </c>
      <c r="G42" s="2"/>
      <c r="H42" s="6">
        <v>6176</v>
      </c>
      <c r="I42" s="2"/>
      <c r="J42" s="7">
        <f t="shared" si="17"/>
        <v>0</v>
      </c>
      <c r="K42" s="2"/>
      <c r="L42" s="6">
        <f t="shared" si="18"/>
        <v>-2.9999999999745341E-2</v>
      </c>
      <c r="M42" s="2"/>
      <c r="N42" s="7">
        <f t="shared" si="19"/>
        <v>-4.8575129533266417E-6</v>
      </c>
      <c r="O42" s="11"/>
      <c r="P42" s="6">
        <v>12351.94</v>
      </c>
      <c r="Q42" s="2"/>
      <c r="R42" s="7">
        <f t="shared" si="20"/>
        <v>0</v>
      </c>
      <c r="S42" s="2"/>
      <c r="T42" s="6">
        <v>12352</v>
      </c>
      <c r="U42" s="2"/>
      <c r="V42" s="7">
        <f t="shared" si="21"/>
        <v>0</v>
      </c>
      <c r="W42" s="2"/>
      <c r="X42" s="6">
        <f t="shared" si="22"/>
        <v>-5.9999999999490683E-2</v>
      </c>
      <c r="Y42" s="2"/>
      <c r="Z42" s="7">
        <f t="shared" si="23"/>
        <v>-4.8575129533266417E-6</v>
      </c>
    </row>
    <row r="43" spans="1:26" s="26" customFormat="1" outlineLevel="1" collapsed="1" x14ac:dyDescent="0.25">
      <c r="A43" s="25"/>
      <c r="B43" s="13" t="str">
        <f>CONCATENATE("     ","Employees' Appreciation                           ")</f>
        <v xml:space="preserve">     Employees' Appreciation                           </v>
      </c>
      <c r="C43" s="13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100</v>
      </c>
      <c r="I43" s="1"/>
      <c r="J43" s="5">
        <f t="shared" si="17"/>
        <v>0</v>
      </c>
      <c r="K43" s="1"/>
      <c r="L43" s="1">
        <f t="shared" si="18"/>
        <v>-100</v>
      </c>
      <c r="M43" s="1"/>
      <c r="N43" s="5">
        <f t="shared" si="19"/>
        <v>-1</v>
      </c>
      <c r="O43" s="13"/>
      <c r="P43" s="1">
        <f>SUM(OSRRefP22_3x_0)</f>
        <v>0</v>
      </c>
      <c r="Q43" s="1"/>
      <c r="R43" s="5">
        <f t="shared" si="20"/>
        <v>0</v>
      </c>
      <c r="S43" s="1"/>
      <c r="T43" s="1">
        <f>SUM(OSRRefT22_3x_0)</f>
        <v>200</v>
      </c>
      <c r="U43" s="1"/>
      <c r="V43" s="5">
        <f t="shared" si="21"/>
        <v>0</v>
      </c>
      <c r="W43" s="1"/>
      <c r="X43" s="1">
        <f t="shared" si="22"/>
        <v>-200</v>
      </c>
      <c r="Y43" s="1"/>
      <c r="Z43" s="5">
        <f t="shared" si="23"/>
        <v>-1</v>
      </c>
    </row>
    <row r="44" spans="1:26" s="24" customFormat="1" hidden="1" outlineLevel="2" x14ac:dyDescent="0.25">
      <c r="A44" s="27"/>
      <c r="B44" s="11" t="str">
        <f>CONCATENATE("          ", "6277", " - ", "EMPLOYEE APPRECIATION")</f>
        <v xml:space="preserve">          6277 - EMPLOYEE APPRECIATION</v>
      </c>
      <c r="C44" s="11"/>
      <c r="D44" s="6"/>
      <c r="E44" s="2"/>
      <c r="F44" s="7">
        <f t="shared" si="16"/>
        <v>0</v>
      </c>
      <c r="G44" s="2"/>
      <c r="H44" s="6">
        <v>100</v>
      </c>
      <c r="I44" s="2"/>
      <c r="J44" s="7">
        <f t="shared" si="17"/>
        <v>0</v>
      </c>
      <c r="K44" s="2"/>
      <c r="L44" s="6">
        <f t="shared" si="18"/>
        <v>-100</v>
      </c>
      <c r="M44" s="2"/>
      <c r="N44" s="7">
        <f t="shared" si="19"/>
        <v>-1</v>
      </c>
      <c r="O44" s="11"/>
      <c r="P44" s="6"/>
      <c r="Q44" s="2"/>
      <c r="R44" s="7">
        <f t="shared" si="20"/>
        <v>0</v>
      </c>
      <c r="S44" s="2"/>
      <c r="T44" s="6">
        <v>200</v>
      </c>
      <c r="U44" s="2"/>
      <c r="V44" s="7">
        <f t="shared" si="21"/>
        <v>0</v>
      </c>
      <c r="W44" s="2"/>
      <c r="X44" s="6">
        <f t="shared" si="22"/>
        <v>-200</v>
      </c>
      <c r="Y44" s="2"/>
      <c r="Z44" s="7">
        <f t="shared" si="23"/>
        <v>-1</v>
      </c>
    </row>
    <row r="45" spans="1:26" s="26" customFormat="1" outlineLevel="1" collapsed="1" x14ac:dyDescent="0.25">
      <c r="A45" s="25"/>
      <c r="B45" s="13" t="str">
        <f>CONCATENATE("     ","Insurance                                         ")</f>
        <v xml:space="preserve">     Insurance                                         </v>
      </c>
      <c r="C45" s="13"/>
      <c r="D45" s="1">
        <f>SUM(OSRRefD22_4x_0)</f>
        <v>56.34</v>
      </c>
      <c r="E45" s="1"/>
      <c r="F45" s="5">
        <f t="shared" si="16"/>
        <v>0</v>
      </c>
      <c r="G45" s="1"/>
      <c r="H45" s="1">
        <f>SUM(OSRRefH22_4x_0)</f>
        <v>55</v>
      </c>
      <c r="I45" s="1"/>
      <c r="J45" s="5">
        <f t="shared" si="17"/>
        <v>0</v>
      </c>
      <c r="K45" s="1"/>
      <c r="L45" s="1">
        <f t="shared" si="18"/>
        <v>1.3400000000000034</v>
      </c>
      <c r="M45" s="1"/>
      <c r="N45" s="5">
        <f t="shared" si="19"/>
        <v>2.4363636363636424E-2</v>
      </c>
      <c r="O45" s="13"/>
      <c r="P45" s="1">
        <f>SUM(OSRRefP22_4x_0)</f>
        <v>112.68</v>
      </c>
      <c r="Q45" s="1"/>
      <c r="R45" s="5">
        <f t="shared" si="20"/>
        <v>0</v>
      </c>
      <c r="S45" s="1"/>
      <c r="T45" s="1">
        <f>SUM(OSRRefT22_4x_0)</f>
        <v>110</v>
      </c>
      <c r="U45" s="1"/>
      <c r="V45" s="5">
        <f t="shared" si="21"/>
        <v>0</v>
      </c>
      <c r="W45" s="1"/>
      <c r="X45" s="1">
        <f t="shared" si="22"/>
        <v>2.6800000000000068</v>
      </c>
      <c r="Y45" s="1"/>
      <c r="Z45" s="5">
        <f t="shared" si="23"/>
        <v>2.4363636363636424E-2</v>
      </c>
    </row>
    <row r="46" spans="1:26" s="24" customFormat="1" hidden="1" outlineLevel="2" x14ac:dyDescent="0.25">
      <c r="A46" s="27"/>
      <c r="B46" s="11" t="str">
        <f>CONCATENATE("          ", "6314", " - ", "LIABILITY INSURANCE")</f>
        <v xml:space="preserve">          6314 - LIABILITY INSURANCE</v>
      </c>
      <c r="C46" s="11"/>
      <c r="D46" s="6">
        <v>56.34</v>
      </c>
      <c r="E46" s="2"/>
      <c r="F46" s="7">
        <f t="shared" si="16"/>
        <v>0</v>
      </c>
      <c r="G46" s="2"/>
      <c r="H46" s="6">
        <v>55</v>
      </c>
      <c r="I46" s="2"/>
      <c r="J46" s="7">
        <f t="shared" si="17"/>
        <v>0</v>
      </c>
      <c r="K46" s="2"/>
      <c r="L46" s="6">
        <f t="shared" si="18"/>
        <v>1.3400000000000034</v>
      </c>
      <c r="M46" s="2"/>
      <c r="N46" s="7">
        <f t="shared" si="19"/>
        <v>2.4363636363636424E-2</v>
      </c>
      <c r="O46" s="11"/>
      <c r="P46" s="6">
        <v>112.68</v>
      </c>
      <c r="Q46" s="2"/>
      <c r="R46" s="7">
        <f t="shared" si="20"/>
        <v>0</v>
      </c>
      <c r="S46" s="2"/>
      <c r="T46" s="6">
        <v>110</v>
      </c>
      <c r="U46" s="2"/>
      <c r="V46" s="7">
        <f t="shared" si="21"/>
        <v>0</v>
      </c>
      <c r="W46" s="2"/>
      <c r="X46" s="6">
        <f t="shared" si="22"/>
        <v>2.6800000000000068</v>
      </c>
      <c r="Y46" s="2"/>
      <c r="Z46" s="7">
        <f t="shared" si="23"/>
        <v>2.4363636363636424E-2</v>
      </c>
    </row>
    <row r="47" spans="1:26" s="26" customFormat="1" outlineLevel="1" collapsed="1" x14ac:dyDescent="0.25">
      <c r="A47" s="25"/>
      <c r="B47" s="13" t="str">
        <f>CONCATENATE("     ","Professional Services                             ")</f>
        <v xml:space="preserve">     Professional Services                             </v>
      </c>
      <c r="C47" s="13"/>
      <c r="D47" s="1">
        <f>SUM(OSRRefD22_5x_0)</f>
        <v>0</v>
      </c>
      <c r="E47" s="1"/>
      <c r="F47" s="5">
        <f t="shared" si="16"/>
        <v>0</v>
      </c>
      <c r="G47" s="1"/>
      <c r="H47" s="1">
        <f>SUM(OSRRefH22_5x_0)</f>
        <v>500</v>
      </c>
      <c r="I47" s="1"/>
      <c r="J47" s="5">
        <f t="shared" si="17"/>
        <v>0</v>
      </c>
      <c r="K47" s="1"/>
      <c r="L47" s="1">
        <f t="shared" si="18"/>
        <v>-500</v>
      </c>
      <c r="M47" s="1"/>
      <c r="N47" s="5">
        <f t="shared" si="19"/>
        <v>-1</v>
      </c>
      <c r="O47" s="13"/>
      <c r="P47" s="1">
        <f>SUM(OSRRefP22_5x_0)</f>
        <v>0</v>
      </c>
      <c r="Q47" s="1"/>
      <c r="R47" s="5">
        <f t="shared" si="20"/>
        <v>0</v>
      </c>
      <c r="S47" s="1"/>
      <c r="T47" s="1">
        <f>SUM(OSRRefT22_5x_0)</f>
        <v>1000</v>
      </c>
      <c r="U47" s="1"/>
      <c r="V47" s="5">
        <f t="shared" si="21"/>
        <v>0</v>
      </c>
      <c r="W47" s="1"/>
      <c r="X47" s="1">
        <f t="shared" si="22"/>
        <v>-1000</v>
      </c>
      <c r="Y47" s="1"/>
      <c r="Z47" s="5">
        <f t="shared" si="23"/>
        <v>-1</v>
      </c>
    </row>
    <row r="48" spans="1:26" s="24" customFormat="1" hidden="1" outlineLevel="2" x14ac:dyDescent="0.25">
      <c r="A48" s="27"/>
      <c r="B48" s="11" t="str">
        <f>CONCATENATE("          ", "6332", " - ", "CONSULTANT FEES")</f>
        <v xml:space="preserve">          6332 - CONSULTANT FEES</v>
      </c>
      <c r="C48" s="11"/>
      <c r="D48" s="6"/>
      <c r="E48" s="2"/>
      <c r="F48" s="7">
        <f t="shared" si="16"/>
        <v>0</v>
      </c>
      <c r="G48" s="2"/>
      <c r="H48" s="6">
        <v>500</v>
      </c>
      <c r="I48" s="2"/>
      <c r="J48" s="7">
        <f t="shared" si="17"/>
        <v>0</v>
      </c>
      <c r="K48" s="2"/>
      <c r="L48" s="6">
        <f t="shared" si="18"/>
        <v>-500</v>
      </c>
      <c r="M48" s="2"/>
      <c r="N48" s="7">
        <f t="shared" si="19"/>
        <v>-1</v>
      </c>
      <c r="O48" s="11"/>
      <c r="P48" s="6"/>
      <c r="Q48" s="2"/>
      <c r="R48" s="7">
        <f t="shared" si="20"/>
        <v>0</v>
      </c>
      <c r="S48" s="2"/>
      <c r="T48" s="6">
        <v>1000</v>
      </c>
      <c r="U48" s="2"/>
      <c r="V48" s="7">
        <f t="shared" si="21"/>
        <v>0</v>
      </c>
      <c r="W48" s="2"/>
      <c r="X48" s="6">
        <f t="shared" si="22"/>
        <v>-1000</v>
      </c>
      <c r="Y48" s="2"/>
      <c r="Z48" s="7">
        <f t="shared" si="23"/>
        <v>-1</v>
      </c>
    </row>
    <row r="49" spans="1:26" s="26" customFormat="1" outlineLevel="1" collapsed="1" x14ac:dyDescent="0.25">
      <c r="A49" s="25"/>
      <c r="B49" s="13" t="str">
        <f>CONCATENATE("     ","Repair and Maintenance                            ")</f>
        <v xml:space="preserve">     Repair and Maintenance                            </v>
      </c>
      <c r="C49" s="13"/>
      <c r="D49" s="1">
        <f>SUM(OSRRefD22_6x_0)</f>
        <v>9497.9500000000007</v>
      </c>
      <c r="E49" s="1"/>
      <c r="F49" s="5">
        <f t="shared" si="16"/>
        <v>0</v>
      </c>
      <c r="G49" s="1"/>
      <c r="H49" s="1">
        <f>SUM(OSRRefH22_6x_0)</f>
        <v>13100</v>
      </c>
      <c r="I49" s="1"/>
      <c r="J49" s="5">
        <f t="shared" si="17"/>
        <v>0</v>
      </c>
      <c r="K49" s="1"/>
      <c r="L49" s="1">
        <f t="shared" si="18"/>
        <v>-3602.0499999999993</v>
      </c>
      <c r="M49" s="1"/>
      <c r="N49" s="5">
        <f t="shared" si="19"/>
        <v>-0.27496564885496177</v>
      </c>
      <c r="O49" s="13"/>
      <c r="P49" s="1">
        <f>SUM(OSRRefP22_6x_0)</f>
        <v>19136.730000000003</v>
      </c>
      <c r="Q49" s="1"/>
      <c r="R49" s="5">
        <f t="shared" si="20"/>
        <v>0</v>
      </c>
      <c r="S49" s="1"/>
      <c r="T49" s="1">
        <f>SUM(OSRRefT22_6x_0)</f>
        <v>14100</v>
      </c>
      <c r="U49" s="1"/>
      <c r="V49" s="5">
        <f t="shared" si="21"/>
        <v>0</v>
      </c>
      <c r="W49" s="1"/>
      <c r="X49" s="1">
        <f t="shared" si="22"/>
        <v>5036.7300000000032</v>
      </c>
      <c r="Y49" s="1"/>
      <c r="Z49" s="5">
        <f t="shared" si="23"/>
        <v>0.35721489361702152</v>
      </c>
    </row>
    <row r="50" spans="1:26" s="24" customFormat="1" hidden="1" outlineLevel="2" x14ac:dyDescent="0.25">
      <c r="A50" s="27"/>
      <c r="B50" s="11" t="str">
        <f>CONCATENATE("          ", "6371", " - ", "COMPUTER SOFTWARE MAINTENANCE")</f>
        <v xml:space="preserve">          6371 - COMPUTER SOFTWARE MAINTENANCE</v>
      </c>
      <c r="C50" s="11"/>
      <c r="D50" s="6">
        <v>90.95</v>
      </c>
      <c r="E50" s="2"/>
      <c r="F50" s="7">
        <f t="shared" si="16"/>
        <v>0</v>
      </c>
      <c r="G50" s="2"/>
      <c r="H50" s="6">
        <v>500</v>
      </c>
      <c r="I50" s="2"/>
      <c r="J50" s="7">
        <f t="shared" si="17"/>
        <v>0</v>
      </c>
      <c r="K50" s="2"/>
      <c r="L50" s="6">
        <f t="shared" si="18"/>
        <v>-409.05</v>
      </c>
      <c r="M50" s="2"/>
      <c r="N50" s="7">
        <f t="shared" si="19"/>
        <v>-0.81810000000000005</v>
      </c>
      <c r="O50" s="11"/>
      <c r="P50" s="6">
        <v>181.9</v>
      </c>
      <c r="Q50" s="2"/>
      <c r="R50" s="7">
        <f t="shared" si="20"/>
        <v>0</v>
      </c>
      <c r="S50" s="2"/>
      <c r="T50" s="6">
        <v>1000</v>
      </c>
      <c r="U50" s="2"/>
      <c r="V50" s="7">
        <f t="shared" si="21"/>
        <v>0</v>
      </c>
      <c r="W50" s="2"/>
      <c r="X50" s="6">
        <f t="shared" si="22"/>
        <v>-818.1</v>
      </c>
      <c r="Y50" s="2"/>
      <c r="Z50" s="7">
        <f t="shared" si="23"/>
        <v>-0.81810000000000005</v>
      </c>
    </row>
    <row r="51" spans="1:26" s="24" customFormat="1" hidden="1" outlineLevel="2" x14ac:dyDescent="0.25">
      <c r="A51" s="27"/>
      <c r="B51" s="11" t="str">
        <f>CONCATENATE("          ", "6372", " - ", "COMPUTER HARDWARE MAINTENANCE")</f>
        <v xml:space="preserve">          6372 - COMPUTER HARDWARE MAINTENANCE</v>
      </c>
      <c r="C51" s="11"/>
      <c r="D51" s="6"/>
      <c r="E51" s="2"/>
      <c r="F51" s="7">
        <f t="shared" si="16"/>
        <v>0</v>
      </c>
      <c r="G51" s="2"/>
      <c r="H51" s="6">
        <v>1000</v>
      </c>
      <c r="I51" s="2"/>
      <c r="J51" s="7">
        <f t="shared" si="17"/>
        <v>0</v>
      </c>
      <c r="K51" s="2"/>
      <c r="L51" s="6">
        <f t="shared" si="18"/>
        <v>-1000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1500</v>
      </c>
      <c r="U51" s="2"/>
      <c r="V51" s="7">
        <f t="shared" si="21"/>
        <v>0</v>
      </c>
      <c r="W51" s="2"/>
      <c r="X51" s="6">
        <f t="shared" si="22"/>
        <v>-1500</v>
      </c>
      <c r="Y51" s="2"/>
      <c r="Z51" s="7">
        <f t="shared" si="23"/>
        <v>-1</v>
      </c>
    </row>
    <row r="52" spans="1:26" s="24" customFormat="1" hidden="1" outlineLevel="2" x14ac:dyDescent="0.25">
      <c r="A52" s="27"/>
      <c r="B52" s="11" t="str">
        <f>CONCATENATE("          ", "6373", " - ", "MAINTENANCE CONTRACTS")</f>
        <v xml:space="preserve">          6373 - MAINTENANCE CONTRACTS</v>
      </c>
      <c r="C52" s="11"/>
      <c r="D52" s="6">
        <v>9407</v>
      </c>
      <c r="E52" s="2"/>
      <c r="F52" s="7">
        <f t="shared" si="16"/>
        <v>0</v>
      </c>
      <c r="G52" s="2"/>
      <c r="H52" s="6">
        <v>11600</v>
      </c>
      <c r="I52" s="2"/>
      <c r="J52" s="7">
        <f t="shared" si="17"/>
        <v>0</v>
      </c>
      <c r="K52" s="2"/>
      <c r="L52" s="6">
        <f t="shared" si="18"/>
        <v>-2193</v>
      </c>
      <c r="M52" s="2"/>
      <c r="N52" s="7">
        <f t="shared" si="19"/>
        <v>-0.18905172413793103</v>
      </c>
      <c r="O52" s="11"/>
      <c r="P52" s="6">
        <v>18923.150000000001</v>
      </c>
      <c r="Q52" s="2"/>
      <c r="R52" s="7">
        <f t="shared" si="20"/>
        <v>0</v>
      </c>
      <c r="S52" s="2"/>
      <c r="T52" s="6">
        <v>11600</v>
      </c>
      <c r="U52" s="2"/>
      <c r="V52" s="7">
        <f t="shared" si="21"/>
        <v>0</v>
      </c>
      <c r="W52" s="2"/>
      <c r="X52" s="6">
        <f t="shared" si="22"/>
        <v>7323.1500000000015</v>
      </c>
      <c r="Y52" s="2"/>
      <c r="Z52" s="7">
        <f t="shared" si="23"/>
        <v>0.63130603448275879</v>
      </c>
    </row>
    <row r="53" spans="1:26" s="24" customFormat="1" hidden="1" outlineLevel="2" x14ac:dyDescent="0.25">
      <c r="A53" s="27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16"/>
        <v>0</v>
      </c>
      <c r="G53" s="2"/>
      <c r="H53" s="6"/>
      <c r="I53" s="2"/>
      <c r="J53" s="7">
        <f t="shared" si="17"/>
        <v>0</v>
      </c>
      <c r="K53" s="2"/>
      <c r="L53" s="6">
        <f t="shared" si="18"/>
        <v>0</v>
      </c>
      <c r="M53" s="2"/>
      <c r="N53" s="7">
        <f t="shared" si="19"/>
        <v>0</v>
      </c>
      <c r="O53" s="11"/>
      <c r="P53" s="6">
        <v>31.68</v>
      </c>
      <c r="Q53" s="2"/>
      <c r="R53" s="7">
        <f t="shared" si="20"/>
        <v>0</v>
      </c>
      <c r="S53" s="2"/>
      <c r="T53" s="6"/>
      <c r="U53" s="2"/>
      <c r="V53" s="7">
        <f t="shared" si="21"/>
        <v>0</v>
      </c>
      <c r="W53" s="2"/>
      <c r="X53" s="6">
        <f t="shared" si="22"/>
        <v>31.68</v>
      </c>
      <c r="Y53" s="2"/>
      <c r="Z53" s="7">
        <f t="shared" si="23"/>
        <v>0</v>
      </c>
    </row>
    <row r="54" spans="1:26" s="26" customFormat="1" outlineLevel="1" collapsed="1" x14ac:dyDescent="0.25">
      <c r="A54" s="25"/>
      <c r="B54" s="13" t="str">
        <f>CONCATENATE("     ","Subscriptions &amp; Dues                              ")</f>
        <v xml:space="preserve">     Subscriptions &amp; Dues                              </v>
      </c>
      <c r="C54" s="13"/>
      <c r="D54" s="1">
        <f>SUM(OSRRefD22_7x_0)</f>
        <v>0</v>
      </c>
      <c r="E54" s="1"/>
      <c r="F54" s="5">
        <f t="shared" ref="F54:F60" si="24">IF(D$12=0,0,D54/D$12)</f>
        <v>0</v>
      </c>
      <c r="G54" s="1"/>
      <c r="H54" s="1">
        <f>SUM(OSRRefH22_7x_0)</f>
        <v>100</v>
      </c>
      <c r="I54" s="1"/>
      <c r="J54" s="5">
        <f t="shared" ref="J54:J60" si="25">IF(H$12=0,0,H54/H$12)</f>
        <v>0</v>
      </c>
      <c r="K54" s="1"/>
      <c r="L54" s="1">
        <f t="shared" ref="L54:L60" si="26">+D54-H54</f>
        <v>-100</v>
      </c>
      <c r="M54" s="1"/>
      <c r="N54" s="5">
        <f t="shared" ref="N54:N60" si="27">IF(H54=0,0,L54/H54)</f>
        <v>-1</v>
      </c>
      <c r="O54" s="13"/>
      <c r="P54" s="1">
        <f>SUM(OSRRefP22_7x_0)</f>
        <v>0</v>
      </c>
      <c r="Q54" s="1"/>
      <c r="R54" s="5">
        <f t="shared" ref="R54:R60" si="28">IF(P$12=0,0,P54/P$12)</f>
        <v>0</v>
      </c>
      <c r="S54" s="1"/>
      <c r="T54" s="1">
        <f>SUM(OSRRefT22_7x_0)</f>
        <v>200</v>
      </c>
      <c r="U54" s="1"/>
      <c r="V54" s="5">
        <f t="shared" ref="V54:V60" si="29">IF(T$12=0,0,T54/T$12)</f>
        <v>0</v>
      </c>
      <c r="W54" s="1"/>
      <c r="X54" s="1">
        <f t="shared" ref="X54:X60" si="30">+P54-T54</f>
        <v>-200</v>
      </c>
      <c r="Y54" s="1"/>
      <c r="Z54" s="5">
        <f t="shared" ref="Z54:Z60" si="31">IF(T54=0,0,X54/T54)</f>
        <v>-1</v>
      </c>
    </row>
    <row r="55" spans="1:26" s="24" customFormat="1" hidden="1" outlineLevel="2" x14ac:dyDescent="0.25">
      <c r="A55" s="27"/>
      <c r="B55" s="11" t="str">
        <f>CONCATENATE("          ", "6275", " - ", "SUBSCRIPTIONS")</f>
        <v xml:space="preserve">          6275 - SUBSCRIPTIONS</v>
      </c>
      <c r="C55" s="11"/>
      <c r="D55" s="6"/>
      <c r="E55" s="2"/>
      <c r="F55" s="7">
        <f t="shared" si="24"/>
        <v>0</v>
      </c>
      <c r="G55" s="2"/>
      <c r="H55" s="6">
        <v>100</v>
      </c>
      <c r="I55" s="2"/>
      <c r="J55" s="7">
        <f t="shared" si="25"/>
        <v>0</v>
      </c>
      <c r="K55" s="2"/>
      <c r="L55" s="6">
        <f t="shared" si="26"/>
        <v>-100</v>
      </c>
      <c r="M55" s="2"/>
      <c r="N55" s="7">
        <f t="shared" si="27"/>
        <v>-1</v>
      </c>
      <c r="O55" s="11"/>
      <c r="P55" s="6"/>
      <c r="Q55" s="2"/>
      <c r="R55" s="7">
        <f t="shared" si="28"/>
        <v>0</v>
      </c>
      <c r="S55" s="2"/>
      <c r="T55" s="6">
        <v>200</v>
      </c>
      <c r="U55" s="2"/>
      <c r="V55" s="7">
        <f t="shared" si="29"/>
        <v>0</v>
      </c>
      <c r="W55" s="2"/>
      <c r="X55" s="6">
        <f t="shared" si="30"/>
        <v>-200</v>
      </c>
      <c r="Y55" s="2"/>
      <c r="Z55" s="7">
        <f t="shared" si="31"/>
        <v>-1</v>
      </c>
    </row>
    <row r="56" spans="1:26" s="26" customFormat="1" outlineLevel="1" collapsed="1" x14ac:dyDescent="0.25">
      <c r="A56" s="25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SUM(OSRRefD22_8x_0)</f>
        <v>3455.18</v>
      </c>
      <c r="E56" s="1"/>
      <c r="F56" s="5">
        <f t="shared" si="24"/>
        <v>0</v>
      </c>
      <c r="G56" s="1"/>
      <c r="H56" s="1">
        <f>SUM(OSRRefH22_8x_0)</f>
        <v>400</v>
      </c>
      <c r="I56" s="1"/>
      <c r="J56" s="5">
        <f t="shared" si="25"/>
        <v>0</v>
      </c>
      <c r="K56" s="1"/>
      <c r="L56" s="1">
        <f t="shared" si="26"/>
        <v>3055.18</v>
      </c>
      <c r="M56" s="1"/>
      <c r="N56" s="5">
        <f t="shared" si="27"/>
        <v>7.63795</v>
      </c>
      <c r="O56" s="13"/>
      <c r="P56" s="1">
        <f>SUM(OSRRefP22_8x_0)</f>
        <v>10066.780000000001</v>
      </c>
      <c r="Q56" s="1"/>
      <c r="R56" s="5">
        <f t="shared" si="28"/>
        <v>0</v>
      </c>
      <c r="S56" s="1"/>
      <c r="T56" s="1">
        <f>SUM(OSRRefT22_8x_0)</f>
        <v>700</v>
      </c>
      <c r="U56" s="1"/>
      <c r="V56" s="5">
        <f t="shared" si="29"/>
        <v>0</v>
      </c>
      <c r="W56" s="1"/>
      <c r="X56" s="1">
        <f t="shared" si="30"/>
        <v>9366.7800000000007</v>
      </c>
      <c r="Y56" s="1"/>
      <c r="Z56" s="5">
        <f t="shared" si="31"/>
        <v>13.381114285714286</v>
      </c>
    </row>
    <row r="57" spans="1:26" s="24" customFormat="1" hidden="1" outlineLevel="2" x14ac:dyDescent="0.25">
      <c r="A57" s="27"/>
      <c r="B57" s="11" t="str">
        <f>CONCATENATE("          ", "6241", " - ", "OFFICE EXPENSE")</f>
        <v xml:space="preserve">          6241 - OFFICE EXPENSE</v>
      </c>
      <c r="C57" s="11"/>
      <c r="D57" s="6">
        <v>3455.18</v>
      </c>
      <c r="E57" s="2"/>
      <c r="F57" s="7">
        <f t="shared" si="24"/>
        <v>0</v>
      </c>
      <c r="G57" s="2"/>
      <c r="H57" s="6">
        <v>400</v>
      </c>
      <c r="I57" s="2"/>
      <c r="J57" s="7">
        <f t="shared" si="25"/>
        <v>0</v>
      </c>
      <c r="K57" s="2"/>
      <c r="L57" s="6">
        <f t="shared" si="26"/>
        <v>3055.18</v>
      </c>
      <c r="M57" s="2"/>
      <c r="N57" s="7">
        <f t="shared" si="27"/>
        <v>7.63795</v>
      </c>
      <c r="O57" s="11"/>
      <c r="P57" s="6">
        <v>10066.780000000001</v>
      </c>
      <c r="Q57" s="2"/>
      <c r="R57" s="7">
        <f t="shared" si="28"/>
        <v>0</v>
      </c>
      <c r="S57" s="2"/>
      <c r="T57" s="6">
        <v>700</v>
      </c>
      <c r="U57" s="2"/>
      <c r="V57" s="7">
        <f t="shared" si="29"/>
        <v>0</v>
      </c>
      <c r="W57" s="2"/>
      <c r="X57" s="6">
        <f t="shared" si="30"/>
        <v>9366.7800000000007</v>
      </c>
      <c r="Y57" s="2"/>
      <c r="Z57" s="7">
        <f t="shared" si="31"/>
        <v>13.381114285714286</v>
      </c>
    </row>
    <row r="58" spans="1:26" s="26" customFormat="1" outlineLevel="1" collapsed="1" x14ac:dyDescent="0.25">
      <c r="A58" s="25"/>
      <c r="B58" s="13" t="str">
        <f>CONCATENATE("     ","Telephone/Data Lines                              ")</f>
        <v xml:space="preserve">     Telephone/Data Lines                              </v>
      </c>
      <c r="C58" s="13"/>
      <c r="D58" s="1">
        <f>SUM(OSRRefD22_9x_0)</f>
        <v>929.56999999999994</v>
      </c>
      <c r="E58" s="1"/>
      <c r="F58" s="5">
        <f t="shared" si="24"/>
        <v>0</v>
      </c>
      <c r="G58" s="1"/>
      <c r="H58" s="1">
        <f>SUM(OSRRefH22_9x_0)</f>
        <v>450</v>
      </c>
      <c r="I58" s="1"/>
      <c r="J58" s="5">
        <f t="shared" si="25"/>
        <v>0</v>
      </c>
      <c r="K58" s="1"/>
      <c r="L58" s="1">
        <f t="shared" si="26"/>
        <v>479.56999999999994</v>
      </c>
      <c r="M58" s="1"/>
      <c r="N58" s="5">
        <f t="shared" si="27"/>
        <v>1.0657111111111111</v>
      </c>
      <c r="O58" s="13"/>
      <c r="P58" s="1">
        <f>SUM(OSRRefP22_9x_0)</f>
        <v>4978.8099999999995</v>
      </c>
      <c r="Q58" s="1"/>
      <c r="R58" s="5">
        <f t="shared" si="28"/>
        <v>0</v>
      </c>
      <c r="S58" s="1"/>
      <c r="T58" s="1">
        <f>SUM(OSRRefT22_9x_0)</f>
        <v>900</v>
      </c>
      <c r="U58" s="1"/>
      <c r="V58" s="5">
        <f t="shared" si="29"/>
        <v>0</v>
      </c>
      <c r="W58" s="1"/>
      <c r="X58" s="1">
        <f t="shared" si="30"/>
        <v>4078.8099999999995</v>
      </c>
      <c r="Y58" s="1"/>
      <c r="Z58" s="5">
        <f t="shared" si="31"/>
        <v>4.5320111111111103</v>
      </c>
    </row>
    <row r="59" spans="1:26" s="24" customFormat="1" hidden="1" outlineLevel="2" x14ac:dyDescent="0.25">
      <c r="A59" s="27"/>
      <c r="B59" s="11" t="str">
        <f>CONCATENATE("          ", "6303", " - ", "DATA PHONE LINES")</f>
        <v xml:space="preserve">          6303 - DATA PHONE LINES</v>
      </c>
      <c r="C59" s="11"/>
      <c r="D59" s="6">
        <v>195.54</v>
      </c>
      <c r="E59" s="2"/>
      <c r="F59" s="7">
        <f t="shared" si="24"/>
        <v>0</v>
      </c>
      <c r="G59" s="2"/>
      <c r="H59" s="6">
        <v>200</v>
      </c>
      <c r="I59" s="2"/>
      <c r="J59" s="7">
        <f t="shared" si="25"/>
        <v>0</v>
      </c>
      <c r="K59" s="2"/>
      <c r="L59" s="6">
        <f t="shared" si="26"/>
        <v>-4.460000000000008</v>
      </c>
      <c r="M59" s="2"/>
      <c r="N59" s="7">
        <f t="shared" si="27"/>
        <v>-2.2300000000000039E-2</v>
      </c>
      <c r="O59" s="11"/>
      <c r="P59" s="6">
        <v>391.07</v>
      </c>
      <c r="Q59" s="2"/>
      <c r="R59" s="7">
        <f t="shared" si="28"/>
        <v>0</v>
      </c>
      <c r="S59" s="2"/>
      <c r="T59" s="6">
        <v>400</v>
      </c>
      <c r="U59" s="2"/>
      <c r="V59" s="7">
        <f t="shared" si="29"/>
        <v>0</v>
      </c>
      <c r="W59" s="2"/>
      <c r="X59" s="6">
        <f t="shared" si="30"/>
        <v>-8.9300000000000068</v>
      </c>
      <c r="Y59" s="2"/>
      <c r="Z59" s="7">
        <f t="shared" si="31"/>
        <v>-2.2325000000000018E-2</v>
      </c>
    </row>
    <row r="60" spans="1:26" s="24" customFormat="1" hidden="1" outlineLevel="2" x14ac:dyDescent="0.25">
      <c r="A60" s="27"/>
      <c r="B60" s="11" t="str">
        <f>CONCATENATE("          ", "6309", " - ", "TELEPHONE")</f>
        <v xml:space="preserve">          6309 - TELEPHONE</v>
      </c>
      <c r="C60" s="11"/>
      <c r="D60" s="6">
        <v>734.03</v>
      </c>
      <c r="E60" s="2"/>
      <c r="F60" s="7">
        <f t="shared" si="24"/>
        <v>0</v>
      </c>
      <c r="G60" s="2"/>
      <c r="H60" s="6">
        <v>250</v>
      </c>
      <c r="I60" s="2"/>
      <c r="J60" s="7">
        <f t="shared" si="25"/>
        <v>0</v>
      </c>
      <c r="K60" s="2"/>
      <c r="L60" s="6">
        <f t="shared" si="26"/>
        <v>484.03</v>
      </c>
      <c r="M60" s="2"/>
      <c r="N60" s="7">
        <f t="shared" si="27"/>
        <v>1.9361199999999998</v>
      </c>
      <c r="O60" s="11"/>
      <c r="P60" s="6">
        <v>4587.74</v>
      </c>
      <c r="Q60" s="2"/>
      <c r="R60" s="7">
        <f t="shared" si="28"/>
        <v>0</v>
      </c>
      <c r="S60" s="2"/>
      <c r="T60" s="6">
        <v>500</v>
      </c>
      <c r="U60" s="2"/>
      <c r="V60" s="7">
        <f t="shared" si="29"/>
        <v>0</v>
      </c>
      <c r="W60" s="2"/>
      <c r="X60" s="6">
        <f t="shared" si="30"/>
        <v>4087.74</v>
      </c>
      <c r="Y60" s="2"/>
      <c r="Z60" s="7">
        <f t="shared" si="31"/>
        <v>8.1754800000000003</v>
      </c>
    </row>
    <row r="61" spans="1:26" s="26" customFormat="1" outlineLevel="1" collapsed="1" x14ac:dyDescent="0.25">
      <c r="A61" s="25"/>
      <c r="B61" s="13" t="str">
        <f>CONCATENATE("     ","Training                                          ")</f>
        <v xml:space="preserve">     Training                                          </v>
      </c>
      <c r="C61" s="13"/>
      <c r="D61" s="1">
        <f>SUM(OSRRefD22_10x_0)</f>
        <v>49</v>
      </c>
      <c r="E61" s="1"/>
      <c r="F61" s="5">
        <f t="shared" ref="F61:F65" si="32">IF(D$12=0,0,D61/D$12)</f>
        <v>0</v>
      </c>
      <c r="G61" s="1"/>
      <c r="H61" s="1">
        <f>SUM(OSRRefH22_10x_0)</f>
        <v>1000</v>
      </c>
      <c r="I61" s="1"/>
      <c r="J61" s="5">
        <f t="shared" ref="J61:J65" si="33">IF(H$12=0,0,H61/H$12)</f>
        <v>0</v>
      </c>
      <c r="K61" s="1"/>
      <c r="L61" s="1">
        <f t="shared" ref="L61:L65" si="34">+D61-H61</f>
        <v>-951</v>
      </c>
      <c r="M61" s="1"/>
      <c r="N61" s="5">
        <f t="shared" ref="N61:N65" si="35">IF(H61=0,0,L61/H61)</f>
        <v>-0.95099999999999996</v>
      </c>
      <c r="O61" s="13"/>
      <c r="P61" s="1">
        <f>SUM(OSRRefP22_10x_0)</f>
        <v>98</v>
      </c>
      <c r="Q61" s="1"/>
      <c r="R61" s="5">
        <f t="shared" ref="R61:R65" si="36">IF(P$12=0,0,P61/P$12)</f>
        <v>0</v>
      </c>
      <c r="S61" s="1"/>
      <c r="T61" s="1">
        <f>SUM(OSRRefT22_10x_0)</f>
        <v>2000</v>
      </c>
      <c r="U61" s="1"/>
      <c r="V61" s="5">
        <f t="shared" ref="V61:V65" si="37">IF(T$12=0,0,T61/T$12)</f>
        <v>0</v>
      </c>
      <c r="W61" s="1"/>
      <c r="X61" s="1">
        <f t="shared" ref="X61:X65" si="38">+P61-T61</f>
        <v>-1902</v>
      </c>
      <c r="Y61" s="1"/>
      <c r="Z61" s="5">
        <f t="shared" ref="Z61:Z65" si="39">IF(T61=0,0,X61/T61)</f>
        <v>-0.95099999999999996</v>
      </c>
    </row>
    <row r="62" spans="1:26" s="24" customFormat="1" hidden="1" outlineLevel="2" x14ac:dyDescent="0.25">
      <c r="A62" s="27"/>
      <c r="B62" s="11" t="str">
        <f>CONCATENATE("          ", "6376", " - ", "TRAINING")</f>
        <v xml:space="preserve">          6376 - TRAINING</v>
      </c>
      <c r="C62" s="11"/>
      <c r="D62" s="6">
        <v>49</v>
      </c>
      <c r="E62" s="2"/>
      <c r="F62" s="7">
        <f t="shared" si="32"/>
        <v>0</v>
      </c>
      <c r="G62" s="2"/>
      <c r="H62" s="6">
        <v>1000</v>
      </c>
      <c r="I62" s="2"/>
      <c r="J62" s="7">
        <f t="shared" si="33"/>
        <v>0</v>
      </c>
      <c r="K62" s="2"/>
      <c r="L62" s="6">
        <f t="shared" si="34"/>
        <v>-951</v>
      </c>
      <c r="M62" s="2"/>
      <c r="N62" s="7">
        <f t="shared" si="35"/>
        <v>-0.95099999999999996</v>
      </c>
      <c r="O62" s="11"/>
      <c r="P62" s="6">
        <v>98</v>
      </c>
      <c r="Q62" s="2"/>
      <c r="R62" s="7">
        <f t="shared" si="36"/>
        <v>0</v>
      </c>
      <c r="S62" s="2"/>
      <c r="T62" s="6">
        <v>2000</v>
      </c>
      <c r="U62" s="2"/>
      <c r="V62" s="7">
        <f t="shared" si="37"/>
        <v>0</v>
      </c>
      <c r="W62" s="2"/>
      <c r="X62" s="6">
        <f t="shared" si="38"/>
        <v>-1902</v>
      </c>
      <c r="Y62" s="2"/>
      <c r="Z62" s="7">
        <f t="shared" si="39"/>
        <v>-0.95099999999999996</v>
      </c>
    </row>
    <row r="63" spans="1:26" s="26" customFormat="1" outlineLevel="1" collapsed="1" x14ac:dyDescent="0.25">
      <c r="A63" s="25"/>
      <c r="B63" s="13" t="str">
        <f>CONCATENATE("     ","Travel                                            ")</f>
        <v xml:space="preserve">     Travel                                            </v>
      </c>
      <c r="C63" s="13"/>
      <c r="D63" s="1">
        <f>SUM(OSRRefD22_11x_0)</f>
        <v>23.9</v>
      </c>
      <c r="E63" s="1"/>
      <c r="F63" s="5">
        <f t="shared" si="32"/>
        <v>0</v>
      </c>
      <c r="G63" s="1"/>
      <c r="H63" s="1">
        <f>SUM(OSRRefH22_11x_0)</f>
        <v>0</v>
      </c>
      <c r="I63" s="1"/>
      <c r="J63" s="5">
        <f t="shared" si="33"/>
        <v>0</v>
      </c>
      <c r="K63" s="1"/>
      <c r="L63" s="1">
        <f t="shared" si="34"/>
        <v>23.9</v>
      </c>
      <c r="M63" s="1"/>
      <c r="N63" s="5">
        <f t="shared" si="35"/>
        <v>0</v>
      </c>
      <c r="O63" s="13"/>
      <c r="P63" s="1">
        <f>SUM(OSRRefP22_11x_0)</f>
        <v>23.9</v>
      </c>
      <c r="Q63" s="1"/>
      <c r="R63" s="5">
        <f t="shared" si="36"/>
        <v>0</v>
      </c>
      <c r="S63" s="1"/>
      <c r="T63" s="1">
        <f>SUM(OSRRefT22_11x_0)</f>
        <v>3000</v>
      </c>
      <c r="U63" s="1"/>
      <c r="V63" s="5">
        <f t="shared" si="37"/>
        <v>0</v>
      </c>
      <c r="W63" s="1"/>
      <c r="X63" s="1">
        <f t="shared" si="38"/>
        <v>-2976.1</v>
      </c>
      <c r="Y63" s="1"/>
      <c r="Z63" s="5">
        <f t="shared" si="39"/>
        <v>-0.99203333333333332</v>
      </c>
    </row>
    <row r="64" spans="1:26" s="24" customFormat="1" hidden="1" outlineLevel="2" x14ac:dyDescent="0.25">
      <c r="A64" s="27"/>
      <c r="B64" s="11" t="str">
        <f>CONCATENATE("          ", "6292", " - ", "TRAVEL/CONFERENCE")</f>
        <v xml:space="preserve">          6292 - TRAVEL/CONFERENCE</v>
      </c>
      <c r="C64" s="11"/>
      <c r="D64" s="6"/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0</v>
      </c>
      <c r="M64" s="2"/>
      <c r="N64" s="7">
        <f t="shared" si="35"/>
        <v>0</v>
      </c>
      <c r="O64" s="11"/>
      <c r="P64" s="6"/>
      <c r="Q64" s="2"/>
      <c r="R64" s="7">
        <f t="shared" si="36"/>
        <v>0</v>
      </c>
      <c r="S64" s="2"/>
      <c r="T64" s="6">
        <v>3000</v>
      </c>
      <c r="U64" s="2"/>
      <c r="V64" s="7">
        <f t="shared" si="37"/>
        <v>0</v>
      </c>
      <c r="W64" s="2"/>
      <c r="X64" s="6">
        <f t="shared" si="38"/>
        <v>-3000</v>
      </c>
      <c r="Y64" s="2"/>
      <c r="Z64" s="7">
        <f t="shared" si="39"/>
        <v>-1</v>
      </c>
    </row>
    <row r="65" spans="1:26" s="24" customFormat="1" hidden="1" outlineLevel="2" x14ac:dyDescent="0.25">
      <c r="A65" s="27"/>
      <c r="B65" s="11" t="str">
        <f>CONCATENATE("          ", "6294", " - ", "TRAVEL OPERATIONAL")</f>
        <v xml:space="preserve">          6294 - TRAVEL OPERATIONAL</v>
      </c>
      <c r="C65" s="11"/>
      <c r="D65" s="6">
        <v>23.9</v>
      </c>
      <c r="E65" s="2"/>
      <c r="F65" s="7">
        <f t="shared" si="32"/>
        <v>0</v>
      </c>
      <c r="G65" s="2"/>
      <c r="H65" s="6"/>
      <c r="I65" s="2"/>
      <c r="J65" s="7">
        <f t="shared" si="33"/>
        <v>0</v>
      </c>
      <c r="K65" s="2"/>
      <c r="L65" s="6">
        <f t="shared" si="34"/>
        <v>23.9</v>
      </c>
      <c r="M65" s="2"/>
      <c r="N65" s="7">
        <f t="shared" si="35"/>
        <v>0</v>
      </c>
      <c r="O65" s="11"/>
      <c r="P65" s="6">
        <v>23.9</v>
      </c>
      <c r="Q65" s="2"/>
      <c r="R65" s="7">
        <f t="shared" si="36"/>
        <v>0</v>
      </c>
      <c r="S65" s="2"/>
      <c r="T65" s="6"/>
      <c r="U65" s="2"/>
      <c r="V65" s="7">
        <f t="shared" si="37"/>
        <v>0</v>
      </c>
      <c r="W65" s="2"/>
      <c r="X65" s="6">
        <f t="shared" si="38"/>
        <v>23.9</v>
      </c>
      <c r="Y65" s="2"/>
      <c r="Z65" s="7">
        <f t="shared" si="39"/>
        <v>0</v>
      </c>
    </row>
    <row r="66" spans="1:26" s="63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8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9" t="s">
        <v>3</v>
      </c>
      <c r="C69" s="29"/>
      <c r="D69" s="22">
        <f>+D16-D18+D67</f>
        <v>-56780.079999999994</v>
      </c>
      <c r="E69" s="14"/>
      <c r="F69" s="20">
        <f>IF(D$12=0,0,D69/D$12)</f>
        <v>0</v>
      </c>
      <c r="G69" s="14"/>
      <c r="H69" s="22">
        <f>+H16-H18+H67</f>
        <v>-63522.194832076886</v>
      </c>
      <c r="I69" s="14"/>
      <c r="J69" s="20">
        <f>IF(H$12=0,0,H69/H$12)</f>
        <v>0</v>
      </c>
      <c r="K69" s="15"/>
      <c r="L69" s="22">
        <f>+D69-H69</f>
        <v>6742.1148320768916</v>
      </c>
      <c r="M69" s="15"/>
      <c r="N69" s="20">
        <f>IF(H69=0,0,L69/H69)</f>
        <v>-0.10613793887160078</v>
      </c>
      <c r="O69" s="28"/>
      <c r="P69" s="22">
        <f>+P16-P18+P67</f>
        <v>-124455.92999999998</v>
      </c>
      <c r="Q69" s="14"/>
      <c r="R69" s="20">
        <f>IF(P$12=0,0,P69/P$12)</f>
        <v>0</v>
      </c>
      <c r="S69" s="14"/>
      <c r="T69" s="22">
        <f>+T16-T18+T67</f>
        <v>-128209.15799023073</v>
      </c>
      <c r="U69" s="14"/>
      <c r="V69" s="20">
        <f>IF(T$12=0,0,T69/T$12)</f>
        <v>0</v>
      </c>
      <c r="W69" s="15"/>
      <c r="X69" s="22">
        <f>+P69-T69</f>
        <v>3753.2279902307491</v>
      </c>
      <c r="Y69" s="15"/>
      <c r="Z69" s="20">
        <f>IF(T69=0,0,X69/T69)</f>
        <v>-2.9274258165838181E-2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2"/>
      <c r="B71" s="10" t="s">
        <v>14</v>
      </c>
      <c r="C71" s="10"/>
      <c r="D71" s="4"/>
      <c r="E71" s="4"/>
      <c r="F71" s="12">
        <f>IF(D$12=0,0,D71/D$12)</f>
        <v>0</v>
      </c>
      <c r="G71" s="4"/>
      <c r="H71" s="4"/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/>
      <c r="Q71" s="4"/>
      <c r="R71" s="12">
        <f>IF(P$12=0,0,P71/P$12)</f>
        <v>0</v>
      </c>
      <c r="S71" s="4"/>
      <c r="T71" s="4"/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9" t="s">
        <v>4</v>
      </c>
      <c r="C73" s="29"/>
      <c r="D73" s="31">
        <f>+D69-D71</f>
        <v>-56780.079999999994</v>
      </c>
      <c r="E73" s="14"/>
      <c r="F73" s="32">
        <f>IF(D$12=0,0,D73/D$12)</f>
        <v>0</v>
      </c>
      <c r="G73" s="14"/>
      <c r="H73" s="31">
        <f>+H69-H71</f>
        <v>-63522.194832076886</v>
      </c>
      <c r="I73" s="14"/>
      <c r="J73" s="32">
        <f>IF(H$12=0,0,H73/H$12)</f>
        <v>0</v>
      </c>
      <c r="K73" s="15"/>
      <c r="L73" s="31">
        <f>D73-H73</f>
        <v>6742.1148320768916</v>
      </c>
      <c r="M73" s="15"/>
      <c r="N73" s="32">
        <f>IF(H73=0,0,L73/H73)</f>
        <v>-0.10613793887160078</v>
      </c>
      <c r="O73" s="28"/>
      <c r="P73" s="31">
        <f>+P69-P71</f>
        <v>-124455.92999999998</v>
      </c>
      <c r="Q73" s="14"/>
      <c r="R73" s="32">
        <f>IF(P$12=0,0,P73/P$12)</f>
        <v>0</v>
      </c>
      <c r="S73" s="14"/>
      <c r="T73" s="31">
        <f>+T69-T71</f>
        <v>-128209.15799023073</v>
      </c>
      <c r="U73" s="14"/>
      <c r="V73" s="32">
        <f>IF(T$12=0,0,T73/T$12)</f>
        <v>0</v>
      </c>
      <c r="W73" s="15"/>
      <c r="X73" s="31">
        <f>P73-T73</f>
        <v>3753.2279902307491</v>
      </c>
      <c r="Y73" s="15"/>
      <c r="Z73" s="32">
        <f>IF(T73=0,0,X73/T73)</f>
        <v>-2.9274258165838181E-2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9" t="s">
        <v>5</v>
      </c>
      <c r="C76" s="29"/>
      <c r="D76" s="33">
        <f>SUM(D73:D75)</f>
        <v>-56780.079999999994</v>
      </c>
      <c r="E76" s="14"/>
      <c r="F76" s="35">
        <f>IF(D$12=0,0,D76/D$12)</f>
        <v>0</v>
      </c>
      <c r="G76" s="14"/>
      <c r="H76" s="33">
        <f>SUM(H73:H75)</f>
        <v>-63522.194832076886</v>
      </c>
      <c r="I76" s="14"/>
      <c r="J76" s="35">
        <f>IF(H$12=0,0,H76/H$12)</f>
        <v>0</v>
      </c>
      <c r="K76" s="15"/>
      <c r="L76" s="33">
        <f>+D76-H76</f>
        <v>6742.1148320768916</v>
      </c>
      <c r="M76" s="15"/>
      <c r="N76" s="35">
        <f>IF(H76=0,0,L76/H76)</f>
        <v>-0.10613793887160078</v>
      </c>
      <c r="O76" s="28"/>
      <c r="P76" s="33">
        <f>SUM(P73:P75)</f>
        <v>-124455.92999999998</v>
      </c>
      <c r="Q76" s="14"/>
      <c r="R76" s="35">
        <f>IF(P$12=0,0,P76/P$12)</f>
        <v>0</v>
      </c>
      <c r="S76" s="14"/>
      <c r="T76" s="33">
        <f>SUM(T73:T75)</f>
        <v>-128209.15799023073</v>
      </c>
      <c r="U76" s="14"/>
      <c r="V76" s="35">
        <f>IF(T$12=0,0,T76/T$12)</f>
        <v>0</v>
      </c>
      <c r="W76" s="15"/>
      <c r="X76" s="33">
        <f>+P76-T76</f>
        <v>3753.2279902307491</v>
      </c>
      <c r="Y76" s="15"/>
      <c r="Z76" s="35">
        <f>IF(T76=0,0,X76/T76)</f>
        <v>-2.9274258165838181E-2</v>
      </c>
    </row>
    <row r="77" spans="1:26" ht="15.75" thickTop="1" x14ac:dyDescent="0.25">
      <c r="A77" s="9"/>
      <c r="C77" s="9"/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61">
        <v>43732.705779826392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62" t="s">
        <v>314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8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4:24" x14ac:dyDescent="0.25"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","205", " - ", "Maintenance")</f>
        <v>Department 205 - Maintenance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9278.51</v>
      </c>
      <c r="E18" s="19"/>
      <c r="F18" s="34">
        <f t="shared" ref="F18:F28" si="0">IF(D$12=0,0,D18/D$12)</f>
        <v>0</v>
      </c>
      <c r="G18" s="19"/>
      <c r="H18" s="19">
        <f>SUM(OSRRefH22x_0)</f>
        <v>7260.5090453384582</v>
      </c>
      <c r="I18" s="19"/>
      <c r="J18" s="34">
        <f t="shared" ref="J18:J28" si="1">IF(H$12=0,0,H18/H$12)</f>
        <v>0</v>
      </c>
      <c r="K18" s="4"/>
      <c r="L18" s="19">
        <f t="shared" ref="L18:L28" si="2">+D18-H18</f>
        <v>2018.000954661542</v>
      </c>
      <c r="M18" s="4"/>
      <c r="N18" s="34">
        <f t="shared" ref="N18:N28" si="3">IF(H18=0,0,L18/H18)</f>
        <v>0.27794207569470358</v>
      </c>
      <c r="O18" s="10"/>
      <c r="P18" s="19">
        <f>SUM(OSRRefP22x_0)</f>
        <v>17460.419999999998</v>
      </c>
      <c r="Q18" s="19"/>
      <c r="R18" s="34">
        <f t="shared" ref="R18:R28" si="4">IF(P$12=0,0,P18/P$12)</f>
        <v>0</v>
      </c>
      <c r="S18" s="19"/>
      <c r="T18" s="19">
        <f>SUM(OSRRefT22x_0)</f>
        <v>20717.895352011543</v>
      </c>
      <c r="U18" s="19"/>
      <c r="V18" s="34">
        <f t="shared" ref="V18:V28" si="5">IF(T$12=0,0,T18/T$12)</f>
        <v>0</v>
      </c>
      <c r="W18" s="4"/>
      <c r="X18" s="19">
        <f t="shared" ref="X18:X28" si="6">+P18-T18</f>
        <v>-3257.4753520115446</v>
      </c>
      <c r="Y18" s="4"/>
      <c r="Z18" s="34">
        <f t="shared" ref="Z18:Z28" si="7">IF(T18=0,0,X18/T18)</f>
        <v>-0.15723003213718181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2521.2799999999997</v>
      </c>
      <c r="E19" s="1"/>
      <c r="F19" s="5">
        <f t="shared" si="0"/>
        <v>0</v>
      </c>
      <c r="G19" s="1"/>
      <c r="H19" s="1">
        <f>SUM(OSRRefH22_0x_0)</f>
        <v>2294.782322261538</v>
      </c>
      <c r="I19" s="1"/>
      <c r="J19" s="5">
        <f t="shared" si="1"/>
        <v>0</v>
      </c>
      <c r="K19" s="1"/>
      <c r="L19" s="1">
        <f t="shared" si="2"/>
        <v>226.49767773846179</v>
      </c>
      <c r="M19" s="1"/>
      <c r="N19" s="5">
        <f t="shared" si="3"/>
        <v>9.8701160254383247E-2</v>
      </c>
      <c r="O19" s="13"/>
      <c r="P19" s="1">
        <f>SUM(OSRRefP22_0x_0)</f>
        <v>6104.7400000000007</v>
      </c>
      <c r="Q19" s="1"/>
      <c r="R19" s="5">
        <f t="shared" si="4"/>
        <v>0</v>
      </c>
      <c r="S19" s="1"/>
      <c r="T19" s="1">
        <f>SUM(OSRRefT22_0x_0)</f>
        <v>4960.010225088462</v>
      </c>
      <c r="U19" s="1"/>
      <c r="V19" s="5">
        <f t="shared" si="5"/>
        <v>0</v>
      </c>
      <c r="W19" s="1"/>
      <c r="X19" s="1">
        <f t="shared" si="6"/>
        <v>1144.7297749115387</v>
      </c>
      <c r="Y19" s="1"/>
      <c r="Z19" s="5">
        <f t="shared" si="7"/>
        <v>0.23079181754935241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352.41</v>
      </c>
      <c r="E20" s="2"/>
      <c r="F20" s="7">
        <f t="shared" si="0"/>
        <v>0</v>
      </c>
      <c r="G20" s="2"/>
      <c r="H20" s="6">
        <v>321.40351195384602</v>
      </c>
      <c r="I20" s="2"/>
      <c r="J20" s="7">
        <f t="shared" si="1"/>
        <v>0</v>
      </c>
      <c r="K20" s="2"/>
      <c r="L20" s="6">
        <f t="shared" si="2"/>
        <v>31.006488046154004</v>
      </c>
      <c r="M20" s="2"/>
      <c r="N20" s="7">
        <f t="shared" si="3"/>
        <v>9.6472150716904972E-2</v>
      </c>
      <c r="O20" s="11"/>
      <c r="P20" s="6">
        <v>668.67</v>
      </c>
      <c r="Q20" s="2"/>
      <c r="R20" s="7">
        <f t="shared" si="4"/>
        <v>0</v>
      </c>
      <c r="S20" s="2"/>
      <c r="T20" s="6">
        <v>723.15790189615404</v>
      </c>
      <c r="U20" s="2"/>
      <c r="V20" s="7">
        <f t="shared" si="5"/>
        <v>0</v>
      </c>
      <c r="W20" s="2"/>
      <c r="X20" s="6">
        <f t="shared" si="6"/>
        <v>-54.487901896154085</v>
      </c>
      <c r="Y20" s="2"/>
      <c r="Z20" s="7">
        <f t="shared" si="7"/>
        <v>-7.5347170726177845E-2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301.22000000000003</v>
      </c>
      <c r="E21" s="2"/>
      <c r="F21" s="7">
        <f t="shared" si="0"/>
        <v>0</v>
      </c>
      <c r="G21" s="2"/>
      <c r="H21" s="6">
        <v>284.32010661538499</v>
      </c>
      <c r="I21" s="2"/>
      <c r="J21" s="7">
        <f t="shared" si="1"/>
        <v>0</v>
      </c>
      <c r="K21" s="2"/>
      <c r="L21" s="6">
        <f t="shared" si="2"/>
        <v>16.899893384615041</v>
      </c>
      <c r="M21" s="2"/>
      <c r="N21" s="7">
        <f t="shared" si="3"/>
        <v>5.9439670256864495E-2</v>
      </c>
      <c r="O21" s="11"/>
      <c r="P21" s="6">
        <v>581.11</v>
      </c>
      <c r="Q21" s="2"/>
      <c r="R21" s="7">
        <f t="shared" si="4"/>
        <v>0</v>
      </c>
      <c r="S21" s="2"/>
      <c r="T21" s="6">
        <v>639.72023988461603</v>
      </c>
      <c r="U21" s="2"/>
      <c r="V21" s="7">
        <f t="shared" si="5"/>
        <v>0</v>
      </c>
      <c r="W21" s="2"/>
      <c r="X21" s="6">
        <f t="shared" si="6"/>
        <v>-58.610239884616021</v>
      </c>
      <c r="Y21" s="2"/>
      <c r="Z21" s="7">
        <f t="shared" si="7"/>
        <v>-9.1618548594284491E-2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695.14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32.139999999999986</v>
      </c>
      <c r="M22" s="2"/>
      <c r="N22" s="7">
        <f t="shared" si="3"/>
        <v>4.847662141779787E-2</v>
      </c>
      <c r="O22" s="11"/>
      <c r="P22" s="6">
        <v>1390.28</v>
      </c>
      <c r="Q22" s="2"/>
      <c r="R22" s="7">
        <f t="shared" si="4"/>
        <v>0</v>
      </c>
      <c r="S22" s="2"/>
      <c r="T22" s="6">
        <v>1326</v>
      </c>
      <c r="U22" s="2"/>
      <c r="V22" s="7">
        <f t="shared" si="5"/>
        <v>0</v>
      </c>
      <c r="W22" s="2"/>
      <c r="X22" s="6">
        <f t="shared" si="6"/>
        <v>64.279999999999973</v>
      </c>
      <c r="Y22" s="2"/>
      <c r="Z22" s="7">
        <f t="shared" si="7"/>
        <v>4.847662141779787E-2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11.57</v>
      </c>
      <c r="E23" s="2"/>
      <c r="F23" s="7">
        <f t="shared" si="0"/>
        <v>0</v>
      </c>
      <c r="G23" s="2"/>
      <c r="H23" s="6">
        <v>10.919236</v>
      </c>
      <c r="I23" s="2"/>
      <c r="J23" s="7">
        <f t="shared" si="1"/>
        <v>0</v>
      </c>
      <c r="K23" s="2"/>
      <c r="L23" s="6">
        <f t="shared" si="2"/>
        <v>0.65076400000000056</v>
      </c>
      <c r="M23" s="2"/>
      <c r="N23" s="7">
        <f t="shared" si="3"/>
        <v>5.9597942566677796E-2</v>
      </c>
      <c r="O23" s="11"/>
      <c r="P23" s="6">
        <v>22.32</v>
      </c>
      <c r="Q23" s="2"/>
      <c r="R23" s="7">
        <f t="shared" si="4"/>
        <v>0</v>
      </c>
      <c r="S23" s="2"/>
      <c r="T23" s="6">
        <v>24.568280999999999</v>
      </c>
      <c r="U23" s="2"/>
      <c r="V23" s="7">
        <f t="shared" si="5"/>
        <v>0</v>
      </c>
      <c r="W23" s="2"/>
      <c r="X23" s="6">
        <f t="shared" si="6"/>
        <v>-2.2482809999999986</v>
      </c>
      <c r="Y23" s="2"/>
      <c r="Z23" s="7">
        <f t="shared" si="7"/>
        <v>-9.1511530660203649E-2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429.26</v>
      </c>
      <c r="E24" s="2"/>
      <c r="F24" s="7">
        <f t="shared" si="0"/>
        <v>0</v>
      </c>
      <c r="G24" s="2"/>
      <c r="H24" s="6">
        <v>361.174729230769</v>
      </c>
      <c r="I24" s="2"/>
      <c r="J24" s="7">
        <f t="shared" si="1"/>
        <v>0</v>
      </c>
      <c r="K24" s="2"/>
      <c r="L24" s="6">
        <f t="shared" si="2"/>
        <v>68.085270769230988</v>
      </c>
      <c r="M24" s="2"/>
      <c r="N24" s="7">
        <f t="shared" si="3"/>
        <v>0.18851061621680784</v>
      </c>
      <c r="O24" s="11"/>
      <c r="P24" s="6">
        <v>858.52</v>
      </c>
      <c r="Q24" s="2"/>
      <c r="R24" s="7">
        <f t="shared" si="4"/>
        <v>0</v>
      </c>
      <c r="S24" s="2"/>
      <c r="T24" s="6">
        <v>812.64314076923097</v>
      </c>
      <c r="U24" s="2"/>
      <c r="V24" s="7">
        <f t="shared" si="5"/>
        <v>0</v>
      </c>
      <c r="W24" s="2"/>
      <c r="X24" s="6">
        <f t="shared" si="6"/>
        <v>45.876859230769014</v>
      </c>
      <c r="Y24" s="2"/>
      <c r="Z24" s="7">
        <f t="shared" si="7"/>
        <v>5.6453881081606053E-2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387.96</v>
      </c>
      <c r="E26" s="2"/>
      <c r="F26" s="7">
        <f t="shared" si="0"/>
        <v>0</v>
      </c>
      <c r="G26" s="2"/>
      <c r="H26" s="6">
        <v>419.97061538461503</v>
      </c>
      <c r="I26" s="2"/>
      <c r="J26" s="7">
        <f t="shared" si="1"/>
        <v>0</v>
      </c>
      <c r="K26" s="2"/>
      <c r="L26" s="6">
        <f t="shared" si="2"/>
        <v>-32.010615384615051</v>
      </c>
      <c r="M26" s="2"/>
      <c r="N26" s="7">
        <f t="shared" si="3"/>
        <v>-7.622108359962107E-2</v>
      </c>
      <c r="O26" s="11"/>
      <c r="P26" s="6">
        <v>1091.1500000000001</v>
      </c>
      <c r="Q26" s="2"/>
      <c r="R26" s="7">
        <f t="shared" si="4"/>
        <v>0</v>
      </c>
      <c r="S26" s="2"/>
      <c r="T26" s="6">
        <v>944.93388461538382</v>
      </c>
      <c r="U26" s="2"/>
      <c r="V26" s="7">
        <f t="shared" si="5"/>
        <v>0</v>
      </c>
      <c r="W26" s="2"/>
      <c r="X26" s="6">
        <f t="shared" si="6"/>
        <v>146.21611538461627</v>
      </c>
      <c r="Y26" s="2"/>
      <c r="Z26" s="7">
        <f t="shared" si="7"/>
        <v>0.15473687393920749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193.72</v>
      </c>
      <c r="E27" s="2"/>
      <c r="F27" s="7">
        <f t="shared" si="0"/>
        <v>0</v>
      </c>
      <c r="G27" s="2"/>
      <c r="H27" s="6">
        <v>83.994123076923103</v>
      </c>
      <c r="I27" s="2"/>
      <c r="J27" s="7">
        <f t="shared" si="1"/>
        <v>0</v>
      </c>
      <c r="K27" s="2"/>
      <c r="L27" s="6">
        <f t="shared" si="2"/>
        <v>109.7258769230769</v>
      </c>
      <c r="M27" s="2"/>
      <c r="N27" s="7">
        <f t="shared" si="3"/>
        <v>1.3063518363372668</v>
      </c>
      <c r="O27" s="11"/>
      <c r="P27" s="6">
        <v>1232.48</v>
      </c>
      <c r="Q27" s="2"/>
      <c r="R27" s="7">
        <f t="shared" si="4"/>
        <v>0</v>
      </c>
      <c r="S27" s="2"/>
      <c r="T27" s="6">
        <v>188.98677692307709</v>
      </c>
      <c r="U27" s="2"/>
      <c r="V27" s="7">
        <f t="shared" si="5"/>
        <v>0</v>
      </c>
      <c r="W27" s="2"/>
      <c r="X27" s="6">
        <f t="shared" si="6"/>
        <v>1043.493223076923</v>
      </c>
      <c r="Y27" s="2"/>
      <c r="Z27" s="7">
        <f t="shared" si="7"/>
        <v>5.5215144681876547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150</v>
      </c>
      <c r="E28" s="2"/>
      <c r="F28" s="7">
        <f t="shared" si="0"/>
        <v>0</v>
      </c>
      <c r="G28" s="2"/>
      <c r="H28" s="6">
        <v>150</v>
      </c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260.20999999999998</v>
      </c>
      <c r="Q28" s="2"/>
      <c r="R28" s="7">
        <f t="shared" si="4"/>
        <v>0</v>
      </c>
      <c r="S28" s="2"/>
      <c r="T28" s="6">
        <v>300</v>
      </c>
      <c r="U28" s="2"/>
      <c r="V28" s="7">
        <f t="shared" si="5"/>
        <v>0</v>
      </c>
      <c r="W28" s="2"/>
      <c r="X28" s="6">
        <f t="shared" si="6"/>
        <v>-39.79000000000002</v>
      </c>
      <c r="Y28" s="2"/>
      <c r="Z28" s="7">
        <f t="shared" si="7"/>
        <v>-0.13263333333333341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4462.25</v>
      </c>
      <c r="E29" s="1"/>
      <c r="F29" s="5">
        <f t="shared" ref="F29:F39" si="8">IF(D$12=0,0,D29/D$12)</f>
        <v>0</v>
      </c>
      <c r="G29" s="1"/>
      <c r="H29" s="1">
        <f>SUM(OSRRefH22_1x_0)</f>
        <v>3905.7267230769203</v>
      </c>
      <c r="I29" s="1"/>
      <c r="J29" s="5">
        <f t="shared" ref="J29:J39" si="9">IF(H$12=0,0,H29/H$12)</f>
        <v>0</v>
      </c>
      <c r="K29" s="1"/>
      <c r="L29" s="1">
        <f t="shared" ref="L29:L39" si="10">+D29-H29</f>
        <v>556.52327692307972</v>
      </c>
      <c r="M29" s="1"/>
      <c r="N29" s="5">
        <f t="shared" ref="N29:N39" si="11">IF(H29=0,0,L29/H29)</f>
        <v>0.14248904656715264</v>
      </c>
      <c r="O29" s="13"/>
      <c r="P29" s="1">
        <f>SUM(OSRRefP22_1x_0)</f>
        <v>7822.11</v>
      </c>
      <c r="Q29" s="1"/>
      <c r="R29" s="5">
        <f t="shared" ref="R29:R39" si="12">IF(P$12=0,0,P29/P$12)</f>
        <v>0</v>
      </c>
      <c r="S29" s="1"/>
      <c r="T29" s="1">
        <f>SUM(OSRRefT22_1x_0)</f>
        <v>8787.88512692308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-965.77512692308028</v>
      </c>
      <c r="Y29" s="1"/>
      <c r="Z29" s="5">
        <f t="shared" ref="Z29:Z39" si="15">IF(T29=0,0,X29/T29)</f>
        <v>-0.10989846965162016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4462.25</v>
      </c>
      <c r="E31" s="2"/>
      <c r="F31" s="7">
        <f t="shared" si="8"/>
        <v>0</v>
      </c>
      <c r="G31" s="2"/>
      <c r="H31" s="6">
        <v>3905.7267230769203</v>
      </c>
      <c r="I31" s="2"/>
      <c r="J31" s="7">
        <f t="shared" si="9"/>
        <v>0</v>
      </c>
      <c r="K31" s="2"/>
      <c r="L31" s="6">
        <f t="shared" si="10"/>
        <v>556.52327692307972</v>
      </c>
      <c r="M31" s="2"/>
      <c r="N31" s="7">
        <f t="shared" si="11"/>
        <v>0.14248904656715264</v>
      </c>
      <c r="O31" s="11"/>
      <c r="P31" s="6">
        <v>7822.11</v>
      </c>
      <c r="Q31" s="2"/>
      <c r="R31" s="7">
        <f t="shared" si="12"/>
        <v>0</v>
      </c>
      <c r="S31" s="2"/>
      <c r="T31" s="6">
        <v>8787.88512692308</v>
      </c>
      <c r="U31" s="2"/>
      <c r="V31" s="7">
        <f t="shared" si="13"/>
        <v>0</v>
      </c>
      <c r="W31" s="2"/>
      <c r="X31" s="6">
        <f t="shared" si="14"/>
        <v>-965.77512692308028</v>
      </c>
      <c r="Y31" s="2"/>
      <c r="Z31" s="7">
        <f t="shared" si="15"/>
        <v>-0.10989846965162016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","General                                           ")</f>
        <v xml:space="preserve">     General                                           </v>
      </c>
      <c r="C40" s="13"/>
      <c r="D40" s="1">
        <f>SUM(OSRRefD22_2x_0)</f>
        <v>0</v>
      </c>
      <c r="E40" s="1"/>
      <c r="F40" s="5">
        <f t="shared" ref="F40:F52" si="16">IF(D$12=0,0,D40/D$12)</f>
        <v>0</v>
      </c>
      <c r="G40" s="1"/>
      <c r="H40" s="1">
        <f>SUM(OSRRefH22_2x_0)</f>
        <v>-500</v>
      </c>
      <c r="I40" s="1"/>
      <c r="J40" s="5">
        <f t="shared" ref="J40:J52" si="17">IF(H$12=0,0,H40/H$12)</f>
        <v>0</v>
      </c>
      <c r="K40" s="1"/>
      <c r="L40" s="1">
        <f t="shared" ref="L40:L52" si="18">+D40-H40</f>
        <v>500</v>
      </c>
      <c r="M40" s="1"/>
      <c r="N40" s="5">
        <f t="shared" ref="N40:N52" si="19">IF(H40=0,0,L40/H40)</f>
        <v>-1</v>
      </c>
      <c r="O40" s="13"/>
      <c r="P40" s="1">
        <f>SUM(OSRRefP22_2x_0)</f>
        <v>0</v>
      </c>
      <c r="Q40" s="1"/>
      <c r="R40" s="5">
        <f t="shared" ref="R40:R52" si="20">IF(P$12=0,0,P40/P$12)</f>
        <v>0</v>
      </c>
      <c r="S40" s="1"/>
      <c r="T40" s="1">
        <f>SUM(OSRRefT22_2x_0)</f>
        <v>-1000</v>
      </c>
      <c r="U40" s="1"/>
      <c r="V40" s="5">
        <f t="shared" ref="V40:V52" si="21">IF(T$12=0,0,T40/T$12)</f>
        <v>0</v>
      </c>
      <c r="W40" s="1"/>
      <c r="X40" s="1">
        <f t="shared" ref="X40:X52" si="22">+P40-T40</f>
        <v>1000</v>
      </c>
      <c r="Y40" s="1"/>
      <c r="Z40" s="5">
        <f t="shared" ref="Z40:Z52" si="23">IF(T40=0,0,X40/T40)</f>
        <v>-1</v>
      </c>
    </row>
    <row r="41" spans="1:26" s="24" customFormat="1" hidden="1" outlineLevel="2" x14ac:dyDescent="0.25">
      <c r="A41" s="27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16"/>
        <v>0</v>
      </c>
      <c r="G41" s="2"/>
      <c r="H41" s="6">
        <v>-500</v>
      </c>
      <c r="I41" s="2"/>
      <c r="J41" s="7">
        <f t="shared" si="17"/>
        <v>0</v>
      </c>
      <c r="K41" s="2"/>
      <c r="L41" s="6">
        <f t="shared" si="18"/>
        <v>500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-1000</v>
      </c>
      <c r="U41" s="2"/>
      <c r="V41" s="7">
        <f t="shared" si="21"/>
        <v>0</v>
      </c>
      <c r="W41" s="2"/>
      <c r="X41" s="6">
        <f t="shared" si="22"/>
        <v>1000</v>
      </c>
      <c r="Y41" s="2"/>
      <c r="Z41" s="7">
        <f t="shared" si="23"/>
        <v>-1</v>
      </c>
    </row>
    <row r="42" spans="1:26" s="26" customFormat="1" outlineLevel="1" collapsed="1" x14ac:dyDescent="0.25">
      <c r="A42" s="25"/>
      <c r="B42" s="13" t="str">
        <f>CONCATENATE("     ","Insurance                                         ")</f>
        <v xml:space="preserve">     Insurance                                         </v>
      </c>
      <c r="C42" s="13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25</v>
      </c>
      <c r="I42" s="1"/>
      <c r="J42" s="5">
        <f t="shared" si="17"/>
        <v>0</v>
      </c>
      <c r="K42" s="1"/>
      <c r="L42" s="1">
        <f t="shared" si="18"/>
        <v>-0.44000000000000128</v>
      </c>
      <c r="M42" s="1"/>
      <c r="N42" s="5">
        <f t="shared" si="19"/>
        <v>-1.760000000000005E-2</v>
      </c>
      <c r="O42" s="13"/>
      <c r="P42" s="1">
        <f>SUM(OSRRefP22_3x_0)</f>
        <v>49.12</v>
      </c>
      <c r="Q42" s="1"/>
      <c r="R42" s="5">
        <f t="shared" si="20"/>
        <v>0</v>
      </c>
      <c r="S42" s="1"/>
      <c r="T42" s="1">
        <f>SUM(OSRRefT22_3x_0)</f>
        <v>50</v>
      </c>
      <c r="U42" s="1"/>
      <c r="V42" s="5">
        <f t="shared" si="21"/>
        <v>0</v>
      </c>
      <c r="W42" s="1"/>
      <c r="X42" s="1">
        <f t="shared" si="22"/>
        <v>-0.88000000000000256</v>
      </c>
      <c r="Y42" s="1"/>
      <c r="Z42" s="5">
        <f t="shared" si="23"/>
        <v>-1.760000000000005E-2</v>
      </c>
    </row>
    <row r="43" spans="1:26" s="24" customFormat="1" hidden="1" outlineLevel="2" x14ac:dyDescent="0.25">
      <c r="A43" s="27"/>
      <c r="B43" s="11" t="str">
        <f>CONCATENATE("          ", "6314", " - ", "LIABILITY INSURANCE")</f>
        <v xml:space="preserve">          6314 - LIABILITY INSURANCE</v>
      </c>
      <c r="C43" s="11"/>
      <c r="D43" s="6">
        <v>24.56</v>
      </c>
      <c r="E43" s="2"/>
      <c r="F43" s="7">
        <f t="shared" si="16"/>
        <v>0</v>
      </c>
      <c r="G43" s="2"/>
      <c r="H43" s="6">
        <v>25</v>
      </c>
      <c r="I43" s="2"/>
      <c r="J43" s="7">
        <f t="shared" si="17"/>
        <v>0</v>
      </c>
      <c r="K43" s="2"/>
      <c r="L43" s="6">
        <f t="shared" si="18"/>
        <v>-0.44000000000000128</v>
      </c>
      <c r="M43" s="2"/>
      <c r="N43" s="7">
        <f t="shared" si="19"/>
        <v>-1.760000000000005E-2</v>
      </c>
      <c r="O43" s="11"/>
      <c r="P43" s="6">
        <v>49.12</v>
      </c>
      <c r="Q43" s="2"/>
      <c r="R43" s="7">
        <f t="shared" si="20"/>
        <v>0</v>
      </c>
      <c r="S43" s="2"/>
      <c r="T43" s="6">
        <v>50</v>
      </c>
      <c r="U43" s="2"/>
      <c r="V43" s="7">
        <f t="shared" si="21"/>
        <v>0</v>
      </c>
      <c r="W43" s="2"/>
      <c r="X43" s="6">
        <f t="shared" si="22"/>
        <v>-0.88000000000000256</v>
      </c>
      <c r="Y43" s="2"/>
      <c r="Z43" s="7">
        <f t="shared" si="23"/>
        <v>-1.760000000000005E-2</v>
      </c>
    </row>
    <row r="44" spans="1:26" s="26" customFormat="1" outlineLevel="1" collapsed="1" x14ac:dyDescent="0.25">
      <c r="A44" s="25"/>
      <c r="B44" s="13" t="str">
        <f>CONCATENATE("     ","Professional Services                             ")</f>
        <v xml:space="preserve">     Professional Services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-4500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"6336", " - ", "PROFESSIONAL SERVICES")</f>
        <v xml:space="preserve">          6336 - PROFESSIONAL SERVICES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4500</v>
      </c>
      <c r="U45" s="2"/>
      <c r="V45" s="7">
        <f t="shared" si="21"/>
        <v>0</v>
      </c>
      <c r="W45" s="2"/>
      <c r="X45" s="6">
        <f t="shared" si="22"/>
        <v>-4500</v>
      </c>
      <c r="Y45" s="2"/>
      <c r="Z45" s="7">
        <f t="shared" si="23"/>
        <v>-1</v>
      </c>
    </row>
    <row r="46" spans="1:26" s="26" customFormat="1" outlineLevel="1" collapsed="1" x14ac:dyDescent="0.25">
      <c r="A46" s="25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1405.95</v>
      </c>
      <c r="E46" s="1"/>
      <c r="F46" s="5">
        <f t="shared" si="16"/>
        <v>0</v>
      </c>
      <c r="G46" s="1"/>
      <c r="H46" s="1">
        <f>SUM(OSRRefH22_5x_0)</f>
        <v>1500</v>
      </c>
      <c r="I46" s="1"/>
      <c r="J46" s="5">
        <f t="shared" si="17"/>
        <v>0</v>
      </c>
      <c r="K46" s="1"/>
      <c r="L46" s="1">
        <f t="shared" si="18"/>
        <v>-94.049999999999955</v>
      </c>
      <c r="M46" s="1"/>
      <c r="N46" s="5">
        <f t="shared" si="19"/>
        <v>-6.2699999999999964E-2</v>
      </c>
      <c r="O46" s="13"/>
      <c r="P46" s="1">
        <f>SUM(OSRRefP22_5x_0)</f>
        <v>2811.9</v>
      </c>
      <c r="Q46" s="1"/>
      <c r="R46" s="5">
        <f t="shared" si="20"/>
        <v>0</v>
      </c>
      <c r="S46" s="1"/>
      <c r="T46" s="1">
        <f>SUM(OSRRefT22_5x_0)</f>
        <v>3000</v>
      </c>
      <c r="U46" s="1"/>
      <c r="V46" s="5">
        <f t="shared" si="21"/>
        <v>0</v>
      </c>
      <c r="W46" s="1"/>
      <c r="X46" s="1">
        <f t="shared" si="22"/>
        <v>-188.09999999999991</v>
      </c>
      <c r="Y46" s="1"/>
      <c r="Z46" s="5">
        <f t="shared" si="23"/>
        <v>-6.2699999999999964E-2</v>
      </c>
    </row>
    <row r="47" spans="1:26" s="24" customFormat="1" hidden="1" outlineLevel="2" x14ac:dyDescent="0.25">
      <c r="A47" s="27"/>
      <c r="B47" s="11" t="str">
        <f>CONCATENATE("          ", "6373", " - ", "MAINTENANCE CONTRACTS")</f>
        <v xml:space="preserve">          6373 - MAINTENANCE CONTRACTS</v>
      </c>
      <c r="C47" s="11"/>
      <c r="D47" s="6">
        <v>1405.95</v>
      </c>
      <c r="E47" s="2"/>
      <c r="F47" s="7">
        <f t="shared" si="16"/>
        <v>0</v>
      </c>
      <c r="G47" s="2"/>
      <c r="H47" s="6">
        <v>1500</v>
      </c>
      <c r="I47" s="2"/>
      <c r="J47" s="7">
        <f t="shared" si="17"/>
        <v>0</v>
      </c>
      <c r="K47" s="2"/>
      <c r="L47" s="6">
        <f t="shared" si="18"/>
        <v>-94.049999999999955</v>
      </c>
      <c r="M47" s="2"/>
      <c r="N47" s="7">
        <f t="shared" si="19"/>
        <v>-6.2699999999999964E-2</v>
      </c>
      <c r="O47" s="11"/>
      <c r="P47" s="6">
        <v>2811.9</v>
      </c>
      <c r="Q47" s="2"/>
      <c r="R47" s="7">
        <f t="shared" si="20"/>
        <v>0</v>
      </c>
      <c r="S47" s="2"/>
      <c r="T47" s="6">
        <v>3000</v>
      </c>
      <c r="U47" s="2"/>
      <c r="V47" s="7">
        <f t="shared" si="21"/>
        <v>0</v>
      </c>
      <c r="W47" s="2"/>
      <c r="X47" s="6">
        <f t="shared" si="22"/>
        <v>-188.09999999999991</v>
      </c>
      <c r="Y47" s="2"/>
      <c r="Z47" s="7">
        <f t="shared" si="23"/>
        <v>-6.2699999999999964E-2</v>
      </c>
    </row>
    <row r="48" spans="1:26" s="26" customFormat="1" outlineLevel="1" collapsed="1" x14ac:dyDescent="0.25">
      <c r="A48" s="25"/>
      <c r="B48" s="13" t="str">
        <f>CONCATENATE("     ","Services                                          ")</f>
        <v xml:space="preserve">     Services                                          </v>
      </c>
      <c r="C48" s="13"/>
      <c r="D48" s="1">
        <f>SUM(OSRRefD22_6x_0)</f>
        <v>4.42</v>
      </c>
      <c r="E48" s="1"/>
      <c r="F48" s="5">
        <f t="shared" si="16"/>
        <v>0</v>
      </c>
      <c r="G48" s="1"/>
      <c r="H48" s="1">
        <f>SUM(OSRRefH22_6x_0)</f>
        <v>10</v>
      </c>
      <c r="I48" s="1"/>
      <c r="J48" s="5">
        <f t="shared" si="17"/>
        <v>0</v>
      </c>
      <c r="K48" s="1"/>
      <c r="L48" s="1">
        <f t="shared" si="18"/>
        <v>-5.58</v>
      </c>
      <c r="M48" s="1"/>
      <c r="N48" s="5">
        <f t="shared" si="19"/>
        <v>-0.55800000000000005</v>
      </c>
      <c r="O48" s="13"/>
      <c r="P48" s="1">
        <f>SUM(OSRRefP22_6x_0)</f>
        <v>13.26</v>
      </c>
      <c r="Q48" s="1"/>
      <c r="R48" s="5">
        <f t="shared" si="20"/>
        <v>0</v>
      </c>
      <c r="S48" s="1"/>
      <c r="T48" s="1">
        <f>SUM(OSRRefT22_6x_0)</f>
        <v>20</v>
      </c>
      <c r="U48" s="1"/>
      <c r="V48" s="5">
        <f t="shared" si="21"/>
        <v>0</v>
      </c>
      <c r="W48" s="1"/>
      <c r="X48" s="1">
        <f t="shared" si="22"/>
        <v>-6.74</v>
      </c>
      <c r="Y48" s="1"/>
      <c r="Z48" s="5">
        <f t="shared" si="23"/>
        <v>-0.33700000000000002</v>
      </c>
    </row>
    <row r="49" spans="1:26" s="24" customFormat="1" hidden="1" outlineLevel="2" x14ac:dyDescent="0.25">
      <c r="A49" s="27"/>
      <c r="B49" s="11" t="str">
        <f>CONCATENATE("          ", "6286", " - ", "LAUNDRY EXPENSE")</f>
        <v xml:space="preserve">          6286 - LAUNDRY EXPENSE</v>
      </c>
      <c r="C49" s="11"/>
      <c r="D49" s="6">
        <v>4.42</v>
      </c>
      <c r="E49" s="2"/>
      <c r="F49" s="7">
        <f t="shared" si="16"/>
        <v>0</v>
      </c>
      <c r="G49" s="2"/>
      <c r="H49" s="6">
        <v>10</v>
      </c>
      <c r="I49" s="2"/>
      <c r="J49" s="7">
        <f t="shared" si="17"/>
        <v>0</v>
      </c>
      <c r="K49" s="2"/>
      <c r="L49" s="6">
        <f t="shared" si="18"/>
        <v>-5.58</v>
      </c>
      <c r="M49" s="2"/>
      <c r="N49" s="7">
        <f t="shared" si="19"/>
        <v>-0.55800000000000005</v>
      </c>
      <c r="O49" s="11"/>
      <c r="P49" s="6">
        <v>13.26</v>
      </c>
      <c r="Q49" s="2"/>
      <c r="R49" s="7">
        <f t="shared" si="20"/>
        <v>0</v>
      </c>
      <c r="S49" s="2"/>
      <c r="T49" s="6">
        <v>20</v>
      </c>
      <c r="U49" s="2"/>
      <c r="V49" s="7">
        <f t="shared" si="21"/>
        <v>0</v>
      </c>
      <c r="W49" s="2"/>
      <c r="X49" s="6">
        <f t="shared" si="22"/>
        <v>-6.74</v>
      </c>
      <c r="Y49" s="2"/>
      <c r="Z49" s="7">
        <f t="shared" si="23"/>
        <v>-0.33700000000000002</v>
      </c>
    </row>
    <row r="50" spans="1:26" s="26" customFormat="1" outlineLevel="1" collapsed="1" x14ac:dyDescent="0.25">
      <c r="A50" s="25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785.75</v>
      </c>
      <c r="E50" s="1"/>
      <c r="F50" s="5">
        <f t="shared" si="16"/>
        <v>0</v>
      </c>
      <c r="G50" s="1"/>
      <c r="H50" s="1">
        <f>SUM(OSRRefH22_7x_0)</f>
        <v>10</v>
      </c>
      <c r="I50" s="1"/>
      <c r="J50" s="5">
        <f t="shared" si="17"/>
        <v>0</v>
      </c>
      <c r="K50" s="1"/>
      <c r="L50" s="1">
        <f t="shared" si="18"/>
        <v>775.75</v>
      </c>
      <c r="M50" s="1"/>
      <c r="N50" s="5">
        <f t="shared" si="19"/>
        <v>77.575000000000003</v>
      </c>
      <c r="O50" s="13"/>
      <c r="P50" s="1">
        <f>SUM(OSRRefP22_7x_0)</f>
        <v>559.94000000000005</v>
      </c>
      <c r="Q50" s="1"/>
      <c r="R50" s="5">
        <f t="shared" si="20"/>
        <v>0</v>
      </c>
      <c r="S50" s="1"/>
      <c r="T50" s="1">
        <f>SUM(OSRRefT22_7x_0)</f>
        <v>220</v>
      </c>
      <c r="U50" s="1"/>
      <c r="V50" s="5">
        <f t="shared" si="21"/>
        <v>0</v>
      </c>
      <c r="W50" s="1"/>
      <c r="X50" s="1">
        <f t="shared" si="22"/>
        <v>339.94000000000005</v>
      </c>
      <c r="Y50" s="1"/>
      <c r="Z50" s="5">
        <f t="shared" si="23"/>
        <v>1.5451818181818184</v>
      </c>
    </row>
    <row r="51" spans="1:26" s="24" customFormat="1" hidden="1" outlineLevel="2" x14ac:dyDescent="0.25">
      <c r="A51" s="27"/>
      <c r="B51" s="11" t="str">
        <f>CONCATENATE("          ", "6234", " - ", "EXPENDABLE SUPPLIES &amp; EQUIPMEN")</f>
        <v xml:space="preserve">          6234 - EXPENDABLE SUPPLIES &amp; EQUIPMEN</v>
      </c>
      <c r="C51" s="11"/>
      <c r="D51" s="6">
        <v>785.75</v>
      </c>
      <c r="E51" s="2"/>
      <c r="F51" s="7">
        <f t="shared" si="16"/>
        <v>0</v>
      </c>
      <c r="G51" s="2"/>
      <c r="H51" s="6">
        <v>0</v>
      </c>
      <c r="I51" s="2"/>
      <c r="J51" s="7">
        <f t="shared" si="17"/>
        <v>0</v>
      </c>
      <c r="K51" s="2"/>
      <c r="L51" s="6">
        <f t="shared" si="18"/>
        <v>785.75</v>
      </c>
      <c r="M51" s="2"/>
      <c r="N51" s="7">
        <f t="shared" si="19"/>
        <v>0</v>
      </c>
      <c r="O51" s="11"/>
      <c r="P51" s="6">
        <v>559.94000000000005</v>
      </c>
      <c r="Q51" s="2"/>
      <c r="R51" s="7">
        <f t="shared" si="20"/>
        <v>0</v>
      </c>
      <c r="S51" s="2"/>
      <c r="T51" s="6">
        <v>200</v>
      </c>
      <c r="U51" s="2"/>
      <c r="V51" s="7">
        <f t="shared" si="21"/>
        <v>0</v>
      </c>
      <c r="W51" s="2"/>
      <c r="X51" s="6">
        <f t="shared" si="22"/>
        <v>359.94000000000005</v>
      </c>
      <c r="Y51" s="2"/>
      <c r="Z51" s="7">
        <f t="shared" si="23"/>
        <v>1.7997000000000003</v>
      </c>
    </row>
    <row r="52" spans="1:26" s="24" customFormat="1" hidden="1" outlineLevel="2" x14ac:dyDescent="0.25">
      <c r="A52" s="27"/>
      <c r="B52" s="11" t="str">
        <f>CONCATENATE("          ", "6241", " - ", "OFFICE EXPENSE")</f>
        <v xml:space="preserve">          6241 - OFFICE EXPENSE</v>
      </c>
      <c r="C52" s="11"/>
      <c r="D52" s="6"/>
      <c r="E52" s="2"/>
      <c r="F52" s="7">
        <f t="shared" si="16"/>
        <v>0</v>
      </c>
      <c r="G52" s="2"/>
      <c r="H52" s="6">
        <v>10</v>
      </c>
      <c r="I52" s="2"/>
      <c r="J52" s="7">
        <f t="shared" si="17"/>
        <v>0</v>
      </c>
      <c r="K52" s="2"/>
      <c r="L52" s="6">
        <f t="shared" si="18"/>
        <v>-10</v>
      </c>
      <c r="M52" s="2"/>
      <c r="N52" s="7">
        <f t="shared" si="19"/>
        <v>-1</v>
      </c>
      <c r="O52" s="11"/>
      <c r="P52" s="6"/>
      <c r="Q52" s="2"/>
      <c r="R52" s="7">
        <f t="shared" si="20"/>
        <v>0</v>
      </c>
      <c r="S52" s="2"/>
      <c r="T52" s="6">
        <v>20</v>
      </c>
      <c r="U52" s="2"/>
      <c r="V52" s="7">
        <f t="shared" si="21"/>
        <v>0</v>
      </c>
      <c r="W52" s="2"/>
      <c r="X52" s="6">
        <f t="shared" si="22"/>
        <v>-20</v>
      </c>
      <c r="Y52" s="2"/>
      <c r="Z52" s="7">
        <f t="shared" si="23"/>
        <v>-1</v>
      </c>
    </row>
    <row r="53" spans="1:26" s="26" customFormat="1" outlineLevel="1" collapsed="1" x14ac:dyDescent="0.25">
      <c r="A53" s="25"/>
      <c r="B53" s="13" t="str">
        <f>CONCATENATE("     ","Telephone/Data Lines                              ")</f>
        <v xml:space="preserve">     Telephone/Data Lines                              </v>
      </c>
      <c r="C53" s="13"/>
      <c r="D53" s="1">
        <f>SUM(OSRRefD22_8x_0)</f>
        <v>74.3</v>
      </c>
      <c r="E53" s="1"/>
      <c r="F53" s="5">
        <f t="shared" ref="F53:F54" si="24">IF(D$12=0,0,D53/D$12)</f>
        <v>0</v>
      </c>
      <c r="G53" s="1"/>
      <c r="H53" s="1">
        <f>SUM(OSRRefH22_8x_0)</f>
        <v>15</v>
      </c>
      <c r="I53" s="1"/>
      <c r="J53" s="5">
        <f t="shared" ref="J53:J54" si="25">IF(H$12=0,0,H53/H$12)</f>
        <v>0</v>
      </c>
      <c r="K53" s="1"/>
      <c r="L53" s="1">
        <f t="shared" ref="L53:L54" si="26">+D53-H53</f>
        <v>59.3</v>
      </c>
      <c r="M53" s="1"/>
      <c r="N53" s="5">
        <f t="shared" ref="N53:N54" si="27">IF(H53=0,0,L53/H53)</f>
        <v>3.9533333333333331</v>
      </c>
      <c r="O53" s="13"/>
      <c r="P53" s="1">
        <f>SUM(OSRRefP22_8x_0)</f>
        <v>99.35</v>
      </c>
      <c r="Q53" s="1"/>
      <c r="R53" s="5">
        <f t="shared" ref="R53:R54" si="28">IF(P$12=0,0,P53/P$12)</f>
        <v>0</v>
      </c>
      <c r="S53" s="1"/>
      <c r="T53" s="1">
        <f>SUM(OSRRefT22_8x_0)</f>
        <v>180</v>
      </c>
      <c r="U53" s="1"/>
      <c r="V53" s="5">
        <f t="shared" ref="V53:V54" si="29">IF(T$12=0,0,T53/T$12)</f>
        <v>0</v>
      </c>
      <c r="W53" s="1"/>
      <c r="X53" s="1">
        <f t="shared" ref="X53:X54" si="30">+P53-T53</f>
        <v>-80.650000000000006</v>
      </c>
      <c r="Y53" s="1"/>
      <c r="Z53" s="5">
        <f t="shared" ref="Z53:Z54" si="31">IF(T53=0,0,X53/T53)</f>
        <v>-0.4480555555555556</v>
      </c>
    </row>
    <row r="54" spans="1:26" s="24" customFormat="1" hidden="1" outlineLevel="2" x14ac:dyDescent="0.25">
      <c r="A54" s="27"/>
      <c r="B54" s="11" t="str">
        <f>CONCATENATE("          ", "6309", " - ", "TELEPHONE")</f>
        <v xml:space="preserve">          6309 - TELEPHONE</v>
      </c>
      <c r="C54" s="11"/>
      <c r="D54" s="6">
        <v>74.3</v>
      </c>
      <c r="E54" s="2"/>
      <c r="F54" s="7">
        <f t="shared" si="24"/>
        <v>0</v>
      </c>
      <c r="G54" s="2"/>
      <c r="H54" s="6">
        <v>15</v>
      </c>
      <c r="I54" s="2"/>
      <c r="J54" s="7">
        <f t="shared" si="25"/>
        <v>0</v>
      </c>
      <c r="K54" s="2"/>
      <c r="L54" s="6">
        <f t="shared" si="26"/>
        <v>59.3</v>
      </c>
      <c r="M54" s="2"/>
      <c r="N54" s="7">
        <f t="shared" si="27"/>
        <v>3.9533333333333331</v>
      </c>
      <c r="O54" s="11"/>
      <c r="P54" s="6">
        <v>99.35</v>
      </c>
      <c r="Q54" s="2"/>
      <c r="R54" s="7">
        <f t="shared" si="28"/>
        <v>0</v>
      </c>
      <c r="S54" s="2"/>
      <c r="T54" s="6">
        <v>180</v>
      </c>
      <c r="U54" s="2"/>
      <c r="V54" s="7">
        <f t="shared" si="29"/>
        <v>0</v>
      </c>
      <c r="W54" s="2"/>
      <c r="X54" s="6">
        <f t="shared" si="30"/>
        <v>-80.650000000000006</v>
      </c>
      <c r="Y54" s="2"/>
      <c r="Z54" s="7">
        <f t="shared" si="31"/>
        <v>-0.4480555555555556</v>
      </c>
    </row>
    <row r="55" spans="1:26" s="63" customFormat="1" x14ac:dyDescent="0.25">
      <c r="A55" s="36"/>
      <c r="B55" s="36"/>
      <c r="C55" s="36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6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8" t="s">
        <v>0</v>
      </c>
      <c r="C56" s="10"/>
      <c r="D56" s="4">
        <f>SUM(0)</f>
        <v>0</v>
      </c>
      <c r="E56" s="4"/>
      <c r="F56" s="12">
        <f>IF(D$12=0,0,D56/D$12)</f>
        <v>0</v>
      </c>
      <c r="G56" s="4"/>
      <c r="H56" s="4">
        <f>SUM(0)</f>
        <v>0</v>
      </c>
      <c r="I56" s="4"/>
      <c r="J56" s="12">
        <f>IF(H$12=0,0,H56/H$12)</f>
        <v>0</v>
      </c>
      <c r="K56" s="4"/>
      <c r="L56" s="4">
        <f>+D56-H56</f>
        <v>0</v>
      </c>
      <c r="M56" s="4"/>
      <c r="N56" s="12">
        <f>IF(H56=0,0,L56/H56)</f>
        <v>0</v>
      </c>
      <c r="O56" s="10"/>
      <c r="P56" s="4">
        <f>SUM(0)</f>
        <v>0</v>
      </c>
      <c r="Q56" s="4"/>
      <c r="R56" s="12">
        <f>IF(P$12=0,0,P56/P$12)</f>
        <v>0</v>
      </c>
      <c r="S56" s="4"/>
      <c r="T56" s="4">
        <f>SUM(0)</f>
        <v>0</v>
      </c>
      <c r="U56" s="4"/>
      <c r="V56" s="12">
        <f>IF(T$12=0,0,T56/T$12)</f>
        <v>0</v>
      </c>
      <c r="W56" s="4"/>
      <c r="X56" s="4">
        <f>+P56-T56</f>
        <v>0</v>
      </c>
      <c r="Y56" s="4"/>
      <c r="Z56" s="12">
        <f>IF(T56=0,0,X56/T56)</f>
        <v>0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9" t="s">
        <v>3</v>
      </c>
      <c r="C58" s="29"/>
      <c r="D58" s="22">
        <f>+D16-D18+D56</f>
        <v>-9278.51</v>
      </c>
      <c r="E58" s="14"/>
      <c r="F58" s="20">
        <f>IF(D$12=0,0,D58/D$12)</f>
        <v>0</v>
      </c>
      <c r="G58" s="14"/>
      <c r="H58" s="22">
        <f>+H16-H18+H56</f>
        <v>-7260.5090453384582</v>
      </c>
      <c r="I58" s="14"/>
      <c r="J58" s="20">
        <f>IF(H$12=0,0,H58/H$12)</f>
        <v>0</v>
      </c>
      <c r="K58" s="15"/>
      <c r="L58" s="22">
        <f>+D58-H58</f>
        <v>-2018.000954661542</v>
      </c>
      <c r="M58" s="15"/>
      <c r="N58" s="20">
        <f>IF(H58=0,0,L58/H58)</f>
        <v>0.27794207569470358</v>
      </c>
      <c r="O58" s="28"/>
      <c r="P58" s="22">
        <f>+P16-P18+P56</f>
        <v>-17460.419999999998</v>
      </c>
      <c r="Q58" s="14"/>
      <c r="R58" s="20">
        <f>IF(P$12=0,0,P58/P$12)</f>
        <v>0</v>
      </c>
      <c r="S58" s="14"/>
      <c r="T58" s="22">
        <f>+T16-T18+T56</f>
        <v>-20717.895352011543</v>
      </c>
      <c r="U58" s="14"/>
      <c r="V58" s="20">
        <f>IF(T$12=0,0,T58/T$12)</f>
        <v>0</v>
      </c>
      <c r="W58" s="15"/>
      <c r="X58" s="22">
        <f>+P58-T58</f>
        <v>3257.4753520115446</v>
      </c>
      <c r="Y58" s="15"/>
      <c r="Z58" s="20">
        <f>IF(T58=0,0,X58/T58)</f>
        <v>-0.15723003213718181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2"/>
      <c r="B60" s="10" t="s">
        <v>14</v>
      </c>
      <c r="C60" s="10"/>
      <c r="D60" s="4"/>
      <c r="E60" s="4"/>
      <c r="F60" s="12">
        <f>IF(D$12=0,0,D60/D$12)</f>
        <v>0</v>
      </c>
      <c r="G60" s="4"/>
      <c r="H60" s="4"/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/>
      <c r="Q60" s="4"/>
      <c r="R60" s="12">
        <f>IF(P$12=0,0,P60/P$12)</f>
        <v>0</v>
      </c>
      <c r="S60" s="4"/>
      <c r="T60" s="4"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9" t="s">
        <v>4</v>
      </c>
      <c r="C62" s="29"/>
      <c r="D62" s="31">
        <f>+D58-D60</f>
        <v>-9278.51</v>
      </c>
      <c r="E62" s="14"/>
      <c r="F62" s="32">
        <f>IF(D$12=0,0,D62/D$12)</f>
        <v>0</v>
      </c>
      <c r="G62" s="14"/>
      <c r="H62" s="31">
        <f>+H58-H60</f>
        <v>-7260.5090453384582</v>
      </c>
      <c r="I62" s="14"/>
      <c r="J62" s="32">
        <f>IF(H$12=0,0,H62/H$12)</f>
        <v>0</v>
      </c>
      <c r="K62" s="15"/>
      <c r="L62" s="31">
        <f>D62-H62</f>
        <v>-2018.000954661542</v>
      </c>
      <c r="M62" s="15"/>
      <c r="N62" s="32">
        <f>IF(H62=0,0,L62/H62)</f>
        <v>0.27794207569470358</v>
      </c>
      <c r="O62" s="28"/>
      <c r="P62" s="31">
        <f>+P58-P60</f>
        <v>-17460.419999999998</v>
      </c>
      <c r="Q62" s="14"/>
      <c r="R62" s="32">
        <f>IF(P$12=0,0,P62/P$12)</f>
        <v>0</v>
      </c>
      <c r="S62" s="14"/>
      <c r="T62" s="31">
        <f>+T58-T60</f>
        <v>-20717.895352011543</v>
      </c>
      <c r="U62" s="14"/>
      <c r="V62" s="32">
        <f>IF(T$12=0,0,T62/T$12)</f>
        <v>0</v>
      </c>
      <c r="W62" s="15"/>
      <c r="X62" s="31">
        <f>P62-T62</f>
        <v>3257.4753520115446</v>
      </c>
      <c r="Y62" s="15"/>
      <c r="Z62" s="32">
        <f>IF(T62=0,0,X62/T62)</f>
        <v>-0.15723003213718181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5</v>
      </c>
      <c r="C65" s="29"/>
      <c r="D65" s="33">
        <f>SUM(D62:D64)</f>
        <v>-9278.51</v>
      </c>
      <c r="E65" s="14"/>
      <c r="F65" s="35">
        <f>IF(D$12=0,0,D65/D$12)</f>
        <v>0</v>
      </c>
      <c r="G65" s="14"/>
      <c r="H65" s="33">
        <f>SUM(H62:H64)</f>
        <v>-7260.5090453384582</v>
      </c>
      <c r="I65" s="14"/>
      <c r="J65" s="35">
        <f>IF(H$12=0,0,H65/H$12)</f>
        <v>0</v>
      </c>
      <c r="K65" s="15"/>
      <c r="L65" s="33">
        <f>+D65-H65</f>
        <v>-2018.000954661542</v>
      </c>
      <c r="M65" s="15"/>
      <c r="N65" s="35">
        <f>IF(H65=0,0,L65/H65)</f>
        <v>0.27794207569470358</v>
      </c>
      <c r="O65" s="28"/>
      <c r="P65" s="33">
        <f>SUM(P62:P64)</f>
        <v>-17460.419999999998</v>
      </c>
      <c r="Q65" s="14"/>
      <c r="R65" s="35">
        <f>IF(P$12=0,0,P65/P$12)</f>
        <v>0</v>
      </c>
      <c r="S65" s="14"/>
      <c r="T65" s="33">
        <f>SUM(T62:T64)</f>
        <v>-20717.895352011543</v>
      </c>
      <c r="U65" s="14"/>
      <c r="V65" s="35">
        <f>IF(T$12=0,0,T65/T$12)</f>
        <v>0</v>
      </c>
      <c r="W65" s="15"/>
      <c r="X65" s="33">
        <f>+P65-T65</f>
        <v>3257.4753520115446</v>
      </c>
      <c r="Y65" s="15"/>
      <c r="Z65" s="35">
        <f>IF(T65=0,0,X65/T65)</f>
        <v>-0.15723003213718181</v>
      </c>
    </row>
    <row r="66" spans="1:26" ht="15.75" thickTop="1" x14ac:dyDescent="0.25">
      <c r="A66" s="9"/>
      <c r="C66" s="9"/>
      <c r="D66" s="17"/>
      <c r="E66" s="17"/>
      <c r="G66" s="17"/>
      <c r="H66" s="17"/>
      <c r="I66" s="17"/>
      <c r="J66" s="42"/>
      <c r="K66" s="17"/>
      <c r="L66" s="17"/>
      <c r="M66" s="17"/>
      <c r="P66" s="17"/>
      <c r="Q66" s="17"/>
      <c r="R66" s="42"/>
      <c r="S66" s="17"/>
      <c r="T66" s="17"/>
      <c r="U66" s="17"/>
      <c r="V66" s="42"/>
      <c r="W66" s="17"/>
      <c r="X66" s="17"/>
    </row>
    <row r="67" spans="1:26" x14ac:dyDescent="0.25">
      <c r="A67" s="9"/>
      <c r="B67" s="61">
        <v>43732.705796493057</v>
      </c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6" x14ac:dyDescent="0.25">
      <c r="A68" s="9"/>
      <c r="B68" s="62" t="s">
        <v>314</v>
      </c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25">
      <c r="A69" s="9"/>
      <c r="B69" s="58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","206", " - ", "Graphics")</f>
        <v>Department 206 - Graphics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6888.33</v>
      </c>
      <c r="E18" s="19"/>
      <c r="F18" s="34">
        <f t="shared" ref="F18:F28" si="0">IF(D$12=0,0,D18/D$12)</f>
        <v>0</v>
      </c>
      <c r="G18" s="19"/>
      <c r="H18" s="19">
        <f>SUM(OSRRefH22x_0)</f>
        <v>14143.392589515999</v>
      </c>
      <c r="I18" s="19"/>
      <c r="J18" s="34">
        <f t="shared" ref="J18:J28" si="1">IF(H$12=0,0,H18/H$12)</f>
        <v>0</v>
      </c>
      <c r="K18" s="4"/>
      <c r="L18" s="19">
        <f t="shared" ref="L18:L28" si="2">+D18-H18</f>
        <v>-7255.0625895159992</v>
      </c>
      <c r="M18" s="4"/>
      <c r="N18" s="34">
        <f t="shared" ref="N18:N28" si="3">IF(H18=0,0,L18/H18)</f>
        <v>-0.51296480272306966</v>
      </c>
      <c r="O18" s="10"/>
      <c r="P18" s="19">
        <f>SUM(OSRRefP22x_0)</f>
        <v>13947.900000000001</v>
      </c>
      <c r="Q18" s="19"/>
      <c r="R18" s="34">
        <f t="shared" ref="R18:R28" si="4">IF(P$12=0,0,P18/P$12)</f>
        <v>0</v>
      </c>
      <c r="S18" s="19"/>
      <c r="T18" s="19">
        <f>SUM(OSRRefT22x_0)</f>
        <v>30335.783326411001</v>
      </c>
      <c r="U18" s="19"/>
      <c r="V18" s="34">
        <f t="shared" ref="V18:V28" si="5">IF(T$12=0,0,T18/T$12)</f>
        <v>0</v>
      </c>
      <c r="W18" s="4"/>
      <c r="X18" s="19">
        <f t="shared" ref="X18:X28" si="6">+P18-T18</f>
        <v>-16387.883326411</v>
      </c>
      <c r="Y18" s="4"/>
      <c r="Z18" s="34">
        <f t="shared" ref="Z18:Z28" si="7">IF(T18=0,0,X18/T18)</f>
        <v>-0.54021625715342403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2105.2600000000002</v>
      </c>
      <c r="E19" s="1"/>
      <c r="F19" s="5">
        <f t="shared" si="0"/>
        <v>0</v>
      </c>
      <c r="G19" s="1"/>
      <c r="H19" s="1">
        <f>SUM(OSRRefH22_0x_0)</f>
        <v>5306.0531095160004</v>
      </c>
      <c r="I19" s="1"/>
      <c r="J19" s="5">
        <f t="shared" si="1"/>
        <v>0</v>
      </c>
      <c r="K19" s="1"/>
      <c r="L19" s="1">
        <f t="shared" si="2"/>
        <v>-3200.7931095160002</v>
      </c>
      <c r="M19" s="1"/>
      <c r="N19" s="5">
        <f t="shared" si="3"/>
        <v>-0.60323427667461949</v>
      </c>
      <c r="O19" s="13"/>
      <c r="P19" s="1">
        <f>SUM(OSRRefP22_0x_0)</f>
        <v>4106.76</v>
      </c>
      <c r="Q19" s="1"/>
      <c r="R19" s="5">
        <f t="shared" si="4"/>
        <v>0</v>
      </c>
      <c r="S19" s="1"/>
      <c r="T19" s="1">
        <f>SUM(OSRRefT22_0x_0)</f>
        <v>11355.269496411001</v>
      </c>
      <c r="U19" s="1"/>
      <c r="V19" s="5">
        <f t="shared" si="5"/>
        <v>0</v>
      </c>
      <c r="W19" s="1"/>
      <c r="X19" s="1">
        <f t="shared" si="6"/>
        <v>-7248.5094964110012</v>
      </c>
      <c r="Y19" s="1"/>
      <c r="Z19" s="5">
        <f t="shared" si="7"/>
        <v>-0.6383388345562383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796.27</v>
      </c>
      <c r="E20" s="2"/>
      <c r="F20" s="7">
        <f t="shared" si="0"/>
        <v>0</v>
      </c>
      <c r="G20" s="2"/>
      <c r="H20" s="6">
        <v>849.05268711600002</v>
      </c>
      <c r="I20" s="2"/>
      <c r="J20" s="7">
        <f t="shared" si="1"/>
        <v>0</v>
      </c>
      <c r="K20" s="2"/>
      <c r="L20" s="6">
        <f t="shared" si="2"/>
        <v>-52.782687116000034</v>
      </c>
      <c r="M20" s="2"/>
      <c r="N20" s="7">
        <f t="shared" si="3"/>
        <v>-6.2166562708008619E-2</v>
      </c>
      <c r="O20" s="11"/>
      <c r="P20" s="6">
        <v>1489.16</v>
      </c>
      <c r="Q20" s="2"/>
      <c r="R20" s="7">
        <f t="shared" si="4"/>
        <v>0</v>
      </c>
      <c r="S20" s="2"/>
      <c r="T20" s="6">
        <v>1910.368546011</v>
      </c>
      <c r="U20" s="2"/>
      <c r="V20" s="7">
        <f t="shared" si="5"/>
        <v>0</v>
      </c>
      <c r="W20" s="2"/>
      <c r="X20" s="6">
        <f t="shared" si="6"/>
        <v>-421.20854601099995</v>
      </c>
      <c r="Y20" s="2"/>
      <c r="Z20" s="7">
        <f t="shared" si="7"/>
        <v>-0.22048549055652983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34.450000000000003</v>
      </c>
      <c r="E21" s="2"/>
      <c r="F21" s="7">
        <f t="shared" si="0"/>
        <v>0</v>
      </c>
      <c r="G21" s="2"/>
      <c r="H21" s="6">
        <v>54.210882480000002</v>
      </c>
      <c r="I21" s="2"/>
      <c r="J21" s="7">
        <f t="shared" si="1"/>
        <v>0</v>
      </c>
      <c r="K21" s="2"/>
      <c r="L21" s="6">
        <f t="shared" si="2"/>
        <v>-19.760882479999999</v>
      </c>
      <c r="M21" s="2"/>
      <c r="N21" s="7">
        <f t="shared" si="3"/>
        <v>-0.36451873823102537</v>
      </c>
      <c r="O21" s="11"/>
      <c r="P21" s="6">
        <v>64.56</v>
      </c>
      <c r="Q21" s="2"/>
      <c r="R21" s="7">
        <f t="shared" si="4"/>
        <v>0</v>
      </c>
      <c r="S21" s="2"/>
      <c r="T21" s="6">
        <v>113.55948558</v>
      </c>
      <c r="U21" s="2"/>
      <c r="V21" s="7">
        <f t="shared" si="5"/>
        <v>0</v>
      </c>
      <c r="W21" s="2"/>
      <c r="X21" s="6">
        <f t="shared" si="6"/>
        <v>-48.999485579999998</v>
      </c>
      <c r="Y21" s="2"/>
      <c r="Z21" s="7">
        <f t="shared" si="7"/>
        <v>-0.43148738592586355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700.91</v>
      </c>
      <c r="E22" s="2"/>
      <c r="F22" s="7">
        <f t="shared" si="0"/>
        <v>0</v>
      </c>
      <c r="G22" s="2"/>
      <c r="H22" s="6">
        <v>2589</v>
      </c>
      <c r="I22" s="2"/>
      <c r="J22" s="7">
        <f t="shared" si="1"/>
        <v>0</v>
      </c>
      <c r="K22" s="2"/>
      <c r="L22" s="6">
        <f t="shared" si="2"/>
        <v>-1888.0900000000001</v>
      </c>
      <c r="M22" s="2"/>
      <c r="N22" s="7">
        <f t="shared" si="3"/>
        <v>-0.72927385090768637</v>
      </c>
      <c r="O22" s="11"/>
      <c r="P22" s="6">
        <v>1401.82</v>
      </c>
      <c r="Q22" s="2"/>
      <c r="R22" s="7">
        <f t="shared" si="4"/>
        <v>0</v>
      </c>
      <c r="S22" s="2"/>
      <c r="T22" s="6">
        <v>5331</v>
      </c>
      <c r="U22" s="2"/>
      <c r="V22" s="7">
        <f t="shared" si="5"/>
        <v>0</v>
      </c>
      <c r="W22" s="2"/>
      <c r="X22" s="6">
        <f t="shared" si="6"/>
        <v>-3929.1800000000003</v>
      </c>
      <c r="Y22" s="2"/>
      <c r="Z22" s="7">
        <f t="shared" si="7"/>
        <v>-0.73704370662164698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26.35</v>
      </c>
      <c r="E23" s="2"/>
      <c r="F23" s="7">
        <f t="shared" si="0"/>
        <v>0</v>
      </c>
      <c r="G23" s="2"/>
      <c r="H23" s="6">
        <v>41.455380720000001</v>
      </c>
      <c r="I23" s="2"/>
      <c r="J23" s="7">
        <f t="shared" si="1"/>
        <v>0</v>
      </c>
      <c r="K23" s="2"/>
      <c r="L23" s="6">
        <f t="shared" si="2"/>
        <v>-15.105380719999999</v>
      </c>
      <c r="M23" s="2"/>
      <c r="N23" s="7">
        <f t="shared" si="3"/>
        <v>-0.36437684222527145</v>
      </c>
      <c r="O23" s="11"/>
      <c r="P23" s="6">
        <v>49.37</v>
      </c>
      <c r="Q23" s="2"/>
      <c r="R23" s="7">
        <f t="shared" si="4"/>
        <v>0</v>
      </c>
      <c r="S23" s="2"/>
      <c r="T23" s="6">
        <v>86.839606619999998</v>
      </c>
      <c r="U23" s="2"/>
      <c r="V23" s="7">
        <f t="shared" si="5"/>
        <v>0</v>
      </c>
      <c r="W23" s="2"/>
      <c r="X23" s="6">
        <f t="shared" si="6"/>
        <v>-37.46960662</v>
      </c>
      <c r="Y23" s="2"/>
      <c r="Z23" s="7">
        <f t="shared" si="7"/>
        <v>-0.43148061211242739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599.79643920000001</v>
      </c>
      <c r="I24" s="2"/>
      <c r="J24" s="7">
        <f t="shared" si="1"/>
        <v>0</v>
      </c>
      <c r="K24" s="2"/>
      <c r="L24" s="6">
        <f t="shared" si="2"/>
        <v>-599.79643920000001</v>
      </c>
      <c r="M24" s="2"/>
      <c r="N24" s="7">
        <f t="shared" si="3"/>
        <v>-1</v>
      </c>
      <c r="O24" s="11"/>
      <c r="P24" s="6"/>
      <c r="Q24" s="2"/>
      <c r="R24" s="7">
        <f t="shared" si="4"/>
        <v>0</v>
      </c>
      <c r="S24" s="2"/>
      <c r="T24" s="6">
        <v>1349.5419881999999</v>
      </c>
      <c r="U24" s="2"/>
      <c r="V24" s="7">
        <f t="shared" si="5"/>
        <v>0</v>
      </c>
      <c r="W24" s="2"/>
      <c r="X24" s="6">
        <f t="shared" si="6"/>
        <v>-1349.5419881999999</v>
      </c>
      <c r="Y24" s="2"/>
      <c r="Z24" s="7">
        <f t="shared" si="7"/>
        <v>-1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184.8</v>
      </c>
      <c r="E26" s="2"/>
      <c r="F26" s="7">
        <f t="shared" si="0"/>
        <v>0</v>
      </c>
      <c r="G26" s="2"/>
      <c r="H26" s="6">
        <v>554.71885999999995</v>
      </c>
      <c r="I26" s="2"/>
      <c r="J26" s="7">
        <f t="shared" si="1"/>
        <v>0</v>
      </c>
      <c r="K26" s="2"/>
      <c r="L26" s="6">
        <f t="shared" si="2"/>
        <v>-369.91885999999994</v>
      </c>
      <c r="M26" s="2"/>
      <c r="N26" s="7">
        <f t="shared" si="3"/>
        <v>-0.66685827123310715</v>
      </c>
      <c r="O26" s="11"/>
      <c r="P26" s="6">
        <v>369.6</v>
      </c>
      <c r="Q26" s="2"/>
      <c r="R26" s="7">
        <f t="shared" si="4"/>
        <v>0</v>
      </c>
      <c r="S26" s="2"/>
      <c r="T26" s="6">
        <v>1248.1174350000001</v>
      </c>
      <c r="U26" s="2"/>
      <c r="V26" s="7">
        <f t="shared" si="5"/>
        <v>0</v>
      </c>
      <c r="W26" s="2"/>
      <c r="X26" s="6">
        <f t="shared" si="6"/>
        <v>-878.51743500000009</v>
      </c>
      <c r="Y26" s="2"/>
      <c r="Z26" s="7">
        <f t="shared" si="7"/>
        <v>-0.70387401887387302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221.4</v>
      </c>
      <c r="E27" s="2"/>
      <c r="F27" s="7">
        <f t="shared" si="0"/>
        <v>0</v>
      </c>
      <c r="G27" s="2"/>
      <c r="H27" s="6">
        <v>617.81885999999997</v>
      </c>
      <c r="I27" s="2"/>
      <c r="J27" s="7">
        <f t="shared" si="1"/>
        <v>0</v>
      </c>
      <c r="K27" s="2"/>
      <c r="L27" s="6">
        <f t="shared" si="2"/>
        <v>-396.41886</v>
      </c>
      <c r="M27" s="2"/>
      <c r="N27" s="7">
        <f t="shared" si="3"/>
        <v>-0.6416425358073401</v>
      </c>
      <c r="O27" s="11"/>
      <c r="P27" s="6">
        <v>442.8</v>
      </c>
      <c r="Q27" s="2"/>
      <c r="R27" s="7">
        <f t="shared" si="4"/>
        <v>0</v>
      </c>
      <c r="S27" s="2"/>
      <c r="T27" s="6">
        <v>1315.842435</v>
      </c>
      <c r="U27" s="2"/>
      <c r="V27" s="7">
        <f t="shared" si="5"/>
        <v>0</v>
      </c>
      <c r="W27" s="2"/>
      <c r="X27" s="6">
        <f t="shared" si="6"/>
        <v>-873.04243500000007</v>
      </c>
      <c r="Y27" s="2"/>
      <c r="Z27" s="7">
        <f t="shared" si="7"/>
        <v>-0.66348554490872613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141.08000000000001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141.08000000000001</v>
      </c>
      <c r="M28" s="2"/>
      <c r="N28" s="7">
        <f t="shared" si="3"/>
        <v>0</v>
      </c>
      <c r="O28" s="11"/>
      <c r="P28" s="6">
        <v>289.45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289.45</v>
      </c>
      <c r="Y28" s="2"/>
      <c r="Z28" s="7">
        <f t="shared" si="7"/>
        <v>0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10665.94</v>
      </c>
      <c r="E29" s="1"/>
      <c r="F29" s="5">
        <f t="shared" ref="F29:F39" si="8">IF(D$12=0,0,D29/D$12)</f>
        <v>0</v>
      </c>
      <c r="G29" s="1"/>
      <c r="H29" s="1">
        <f>SUM(OSRRefH22_1x_0)</f>
        <v>15123.339480000001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-4457.39948</v>
      </c>
      <c r="M29" s="1"/>
      <c r="N29" s="5">
        <f t="shared" ref="N29:N39" si="11">IF(H29=0,0,L29/H29)</f>
        <v>-0.29473645591932451</v>
      </c>
      <c r="O29" s="13"/>
      <c r="P29" s="1">
        <f>SUM(OSRRefP22_1x_0)</f>
        <v>22289.079999999998</v>
      </c>
      <c r="Q29" s="1"/>
      <c r="R29" s="5">
        <f t="shared" ref="R29:R39" si="12">IF(P$12=0,0,P29/P$12)</f>
        <v>0</v>
      </c>
      <c r="S29" s="1"/>
      <c r="T29" s="1">
        <f>SUM(OSRRefT22_1x_0)</f>
        <v>31552.51383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-9263.4338300000018</v>
      </c>
      <c r="Y29" s="1"/>
      <c r="Z29" s="5">
        <f t="shared" ref="Z29:Z39" si="15">IF(T29=0,0,X29/T29)</f>
        <v>-0.29358782250789689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6276.93948</v>
      </c>
      <c r="I30" s="2"/>
      <c r="J30" s="7">
        <f t="shared" si="9"/>
        <v>0</v>
      </c>
      <c r="K30" s="2"/>
      <c r="L30" s="6">
        <f t="shared" si="10"/>
        <v>-6276.93948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14123.11383</v>
      </c>
      <c r="U30" s="2"/>
      <c r="V30" s="7">
        <f t="shared" si="13"/>
        <v>0</v>
      </c>
      <c r="W30" s="2"/>
      <c r="X30" s="6">
        <f t="shared" si="14"/>
        <v>-14123.11383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>
        <v>4766.25</v>
      </c>
      <c r="E33" s="2"/>
      <c r="F33" s="7">
        <f t="shared" si="8"/>
        <v>0</v>
      </c>
      <c r="G33" s="2"/>
      <c r="H33" s="6">
        <v>3996.4</v>
      </c>
      <c r="I33" s="2"/>
      <c r="J33" s="7">
        <f t="shared" si="9"/>
        <v>0</v>
      </c>
      <c r="K33" s="2"/>
      <c r="L33" s="6">
        <f t="shared" si="10"/>
        <v>769.84999999999991</v>
      </c>
      <c r="M33" s="2"/>
      <c r="N33" s="7">
        <f t="shared" si="11"/>
        <v>0.19263587228505652</v>
      </c>
      <c r="O33" s="11"/>
      <c r="P33" s="6">
        <v>10121.25</v>
      </c>
      <c r="Q33" s="2"/>
      <c r="R33" s="7">
        <f t="shared" si="12"/>
        <v>0</v>
      </c>
      <c r="S33" s="2"/>
      <c r="T33" s="6">
        <v>8991.9</v>
      </c>
      <c r="U33" s="2"/>
      <c r="V33" s="7">
        <f t="shared" si="13"/>
        <v>0</v>
      </c>
      <c r="W33" s="2"/>
      <c r="X33" s="6">
        <f t="shared" si="14"/>
        <v>1129.3500000000004</v>
      </c>
      <c r="Y33" s="2"/>
      <c r="Z33" s="7">
        <f t="shared" si="15"/>
        <v>0.12559637006639313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>
        <v>1153.93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1153.93</v>
      </c>
      <c r="M35" s="2"/>
      <c r="N35" s="7">
        <f t="shared" si="11"/>
        <v>0</v>
      </c>
      <c r="O35" s="11"/>
      <c r="P35" s="6">
        <v>1862.68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1862.68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4436.57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4436.57</v>
      </c>
      <c r="M36" s="2"/>
      <c r="N36" s="7">
        <f t="shared" si="11"/>
        <v>0</v>
      </c>
      <c r="O36" s="11"/>
      <c r="P36" s="6">
        <v>9995.9599999999991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9995.9599999999991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309.19</v>
      </c>
      <c r="E37" s="2"/>
      <c r="F37" s="7">
        <f t="shared" si="8"/>
        <v>0</v>
      </c>
      <c r="G37" s="2"/>
      <c r="H37" s="6">
        <v>4850</v>
      </c>
      <c r="I37" s="2"/>
      <c r="J37" s="7">
        <f t="shared" si="9"/>
        <v>0</v>
      </c>
      <c r="K37" s="2"/>
      <c r="L37" s="6">
        <f t="shared" si="10"/>
        <v>-4540.8100000000004</v>
      </c>
      <c r="M37" s="2"/>
      <c r="N37" s="7">
        <f t="shared" si="11"/>
        <v>-0.93624948453608259</v>
      </c>
      <c r="O37" s="11"/>
      <c r="P37" s="6">
        <v>309.19</v>
      </c>
      <c r="Q37" s="2"/>
      <c r="R37" s="7">
        <f t="shared" si="12"/>
        <v>0</v>
      </c>
      <c r="S37" s="2"/>
      <c r="T37" s="6">
        <v>8437.5</v>
      </c>
      <c r="U37" s="2"/>
      <c r="V37" s="7">
        <f t="shared" si="13"/>
        <v>0</v>
      </c>
      <c r="W37" s="2"/>
      <c r="X37" s="6">
        <f t="shared" si="14"/>
        <v>-8128.31</v>
      </c>
      <c r="Y37" s="2"/>
      <c r="Z37" s="7">
        <f t="shared" si="15"/>
        <v>-0.96335525925925936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-6441.84</v>
      </c>
      <c r="E40" s="1"/>
      <c r="F40" s="5">
        <f t="shared" ref="F40:F50" si="16">IF(D$12=0,0,D40/D$12)</f>
        <v>0</v>
      </c>
      <c r="G40" s="1"/>
      <c r="H40" s="1">
        <f>SUM(OSRRefH22_2x_0)</f>
        <v>-9000</v>
      </c>
      <c r="I40" s="1"/>
      <c r="J40" s="5">
        <f t="shared" ref="J40:J50" si="17">IF(H$12=0,0,H40/H$12)</f>
        <v>0</v>
      </c>
      <c r="K40" s="1"/>
      <c r="L40" s="1">
        <f t="shared" ref="L40:L50" si="18">+D40-H40</f>
        <v>2558.16</v>
      </c>
      <c r="M40" s="1"/>
      <c r="N40" s="5">
        <f t="shared" ref="N40:N50" si="19">IF(H40=0,0,L40/H40)</f>
        <v>-0.28423999999999999</v>
      </c>
      <c r="O40" s="13"/>
      <c r="P40" s="1">
        <f>SUM(OSRRefP22_2x_0)</f>
        <v>-13724.24</v>
      </c>
      <c r="Q40" s="1"/>
      <c r="R40" s="5">
        <f t="shared" ref="R40:R50" si="20">IF(P$12=0,0,P40/P$12)</f>
        <v>0</v>
      </c>
      <c r="S40" s="1"/>
      <c r="T40" s="1">
        <f>SUM(OSRRefT22_2x_0)</f>
        <v>-18000</v>
      </c>
      <c r="U40" s="1"/>
      <c r="V40" s="5">
        <f t="shared" ref="V40:V50" si="21">IF(T$12=0,0,T40/T$12)</f>
        <v>0</v>
      </c>
      <c r="W40" s="1"/>
      <c r="X40" s="1">
        <f t="shared" ref="X40:X50" si="22">+P40-T40</f>
        <v>4275.76</v>
      </c>
      <c r="Y40" s="1"/>
      <c r="Z40" s="5">
        <f t="shared" ref="Z40:Z50" si="23">IF(T40=0,0,X40/T40)</f>
        <v>-0.23754222222222224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-6441.84</v>
      </c>
      <c r="E41" s="2"/>
      <c r="F41" s="7">
        <f t="shared" si="16"/>
        <v>0</v>
      </c>
      <c r="G41" s="2"/>
      <c r="H41" s="6">
        <v>-9000</v>
      </c>
      <c r="I41" s="2"/>
      <c r="J41" s="7">
        <f t="shared" si="17"/>
        <v>0</v>
      </c>
      <c r="K41" s="2"/>
      <c r="L41" s="6">
        <f t="shared" si="18"/>
        <v>2558.16</v>
      </c>
      <c r="M41" s="2"/>
      <c r="N41" s="7">
        <f t="shared" si="19"/>
        <v>-0.28423999999999999</v>
      </c>
      <c r="O41" s="11"/>
      <c r="P41" s="6">
        <v>-13724.24</v>
      </c>
      <c r="Q41" s="2"/>
      <c r="R41" s="7">
        <f t="shared" si="20"/>
        <v>0</v>
      </c>
      <c r="S41" s="2"/>
      <c r="T41" s="6">
        <v>-18000</v>
      </c>
      <c r="U41" s="2"/>
      <c r="V41" s="7">
        <f t="shared" si="21"/>
        <v>0</v>
      </c>
      <c r="W41" s="2"/>
      <c r="X41" s="6">
        <f t="shared" si="22"/>
        <v>4275.76</v>
      </c>
      <c r="Y41" s="2"/>
      <c r="Z41" s="7">
        <f t="shared" si="23"/>
        <v>-0.23754222222222224</v>
      </c>
    </row>
    <row r="42" spans="1:26" s="26" customFormat="1" outlineLevel="1" collapsed="1" x14ac:dyDescent="0.25">
      <c r="A42" s="25"/>
      <c r="B42" s="13" t="str">
        <f>CONCATENATE("     ","Depreciation                                      ")</f>
        <v xml:space="preserve">     Depreciation                                      </v>
      </c>
      <c r="C42" s="13"/>
      <c r="D42" s="1">
        <f>SUM(OSRRefD22_3x_0)</f>
        <v>295.67</v>
      </c>
      <c r="E42" s="1"/>
      <c r="F42" s="5">
        <f t="shared" si="16"/>
        <v>0</v>
      </c>
      <c r="G42" s="1"/>
      <c r="H42" s="1">
        <f>SUM(OSRRefH22_3x_0)</f>
        <v>289</v>
      </c>
      <c r="I42" s="1"/>
      <c r="J42" s="5">
        <f t="shared" si="17"/>
        <v>0</v>
      </c>
      <c r="K42" s="1"/>
      <c r="L42" s="1">
        <f t="shared" si="18"/>
        <v>6.6700000000000159</v>
      </c>
      <c r="M42" s="1"/>
      <c r="N42" s="5">
        <f t="shared" si="19"/>
        <v>2.3079584775086561E-2</v>
      </c>
      <c r="O42" s="13"/>
      <c r="P42" s="1">
        <f>SUM(OSRRefP22_3x_0)</f>
        <v>591.34</v>
      </c>
      <c r="Q42" s="1"/>
      <c r="R42" s="5">
        <f t="shared" si="20"/>
        <v>0</v>
      </c>
      <c r="S42" s="1"/>
      <c r="T42" s="1">
        <f>SUM(OSRRefT22_3x_0)</f>
        <v>578</v>
      </c>
      <c r="U42" s="1"/>
      <c r="V42" s="5">
        <f t="shared" si="21"/>
        <v>0</v>
      </c>
      <c r="W42" s="1"/>
      <c r="X42" s="1">
        <f t="shared" si="22"/>
        <v>13.340000000000032</v>
      </c>
      <c r="Y42" s="1"/>
      <c r="Z42" s="5">
        <f t="shared" si="23"/>
        <v>2.3079584775086561E-2</v>
      </c>
    </row>
    <row r="43" spans="1:26" s="24" customFormat="1" hidden="1" outlineLevel="2" x14ac:dyDescent="0.25">
      <c r="A43" s="27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295.67</v>
      </c>
      <c r="E43" s="2"/>
      <c r="F43" s="7">
        <f t="shared" si="16"/>
        <v>0</v>
      </c>
      <c r="G43" s="2"/>
      <c r="H43" s="6">
        <v>289</v>
      </c>
      <c r="I43" s="2"/>
      <c r="J43" s="7">
        <f t="shared" si="17"/>
        <v>0</v>
      </c>
      <c r="K43" s="2"/>
      <c r="L43" s="6">
        <f t="shared" si="18"/>
        <v>6.6700000000000159</v>
      </c>
      <c r="M43" s="2"/>
      <c r="N43" s="7">
        <f t="shared" si="19"/>
        <v>2.3079584775086561E-2</v>
      </c>
      <c r="O43" s="11"/>
      <c r="P43" s="6">
        <v>591.34</v>
      </c>
      <c r="Q43" s="2"/>
      <c r="R43" s="7">
        <f t="shared" si="20"/>
        <v>0</v>
      </c>
      <c r="S43" s="2"/>
      <c r="T43" s="6">
        <v>578</v>
      </c>
      <c r="U43" s="2"/>
      <c r="V43" s="7">
        <f t="shared" si="21"/>
        <v>0</v>
      </c>
      <c r="W43" s="2"/>
      <c r="X43" s="6">
        <f t="shared" si="22"/>
        <v>13.340000000000032</v>
      </c>
      <c r="Y43" s="2"/>
      <c r="Z43" s="7">
        <f t="shared" si="23"/>
        <v>2.3079584775086561E-2</v>
      </c>
    </row>
    <row r="44" spans="1:26" s="26" customFormat="1" outlineLevel="1" collapsed="1" x14ac:dyDescent="0.25">
      <c r="A44" s="25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200</v>
      </c>
      <c r="I44" s="1"/>
      <c r="J44" s="5">
        <f t="shared" si="17"/>
        <v>0</v>
      </c>
      <c r="K44" s="1"/>
      <c r="L44" s="1">
        <f t="shared" si="18"/>
        <v>-200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400</v>
      </c>
      <c r="U44" s="1"/>
      <c r="V44" s="5">
        <f t="shared" si="21"/>
        <v>0</v>
      </c>
      <c r="W44" s="1"/>
      <c r="X44" s="1">
        <f t="shared" si="22"/>
        <v>-400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200</v>
      </c>
      <c r="I45" s="2"/>
      <c r="J45" s="7">
        <f t="shared" si="17"/>
        <v>0</v>
      </c>
      <c r="K45" s="2"/>
      <c r="L45" s="6">
        <f t="shared" si="18"/>
        <v>-200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400</v>
      </c>
      <c r="U45" s="2"/>
      <c r="V45" s="7">
        <f t="shared" si="21"/>
        <v>0</v>
      </c>
      <c r="W45" s="2"/>
      <c r="X45" s="6">
        <f t="shared" si="22"/>
        <v>-400</v>
      </c>
      <c r="Y45" s="2"/>
      <c r="Z45" s="7">
        <f t="shared" si="23"/>
        <v>-1</v>
      </c>
    </row>
    <row r="46" spans="1:26" s="26" customFormat="1" outlineLevel="1" collapsed="1" x14ac:dyDescent="0.25">
      <c r="A46" s="25"/>
      <c r="B46" s="13" t="str">
        <f>CONCATENATE("     ","Repair and Maintenance                            ")</f>
        <v xml:space="preserve">     Repair and Maintenance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400</v>
      </c>
      <c r="I46" s="1"/>
      <c r="J46" s="5">
        <f t="shared" si="17"/>
        <v>0</v>
      </c>
      <c r="K46" s="1"/>
      <c r="L46" s="1">
        <f t="shared" si="18"/>
        <v>-400</v>
      </c>
      <c r="M46" s="1"/>
      <c r="N46" s="5">
        <f t="shared" si="19"/>
        <v>-1</v>
      </c>
      <c r="O46" s="13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800</v>
      </c>
      <c r="U46" s="1"/>
      <c r="V46" s="5">
        <f t="shared" si="21"/>
        <v>0</v>
      </c>
      <c r="W46" s="1"/>
      <c r="X46" s="1">
        <f t="shared" si="22"/>
        <v>-800</v>
      </c>
      <c r="Y46" s="1"/>
      <c r="Z46" s="5">
        <f t="shared" si="23"/>
        <v>-1</v>
      </c>
    </row>
    <row r="47" spans="1:26" s="24" customFormat="1" hidden="1" outlineLevel="2" x14ac:dyDescent="0.25">
      <c r="A47" s="27"/>
      <c r="B47" s="11" t="str">
        <f>CONCATENATE("          ", "6371", " - ", "COMPUTER SOFTWARE MAINTENANCE")</f>
        <v xml:space="preserve">          6371 - COMPUTER SOFTWARE MAINTENANCE</v>
      </c>
      <c r="C47" s="11"/>
      <c r="D47" s="6"/>
      <c r="E47" s="2"/>
      <c r="F47" s="7">
        <f t="shared" si="16"/>
        <v>0</v>
      </c>
      <c r="G47" s="2"/>
      <c r="H47" s="6">
        <v>400</v>
      </c>
      <c r="I47" s="2"/>
      <c r="J47" s="7">
        <f t="shared" si="17"/>
        <v>0</v>
      </c>
      <c r="K47" s="2"/>
      <c r="L47" s="6">
        <f t="shared" si="18"/>
        <v>-400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800</v>
      </c>
      <c r="U47" s="2"/>
      <c r="V47" s="7">
        <f t="shared" si="21"/>
        <v>0</v>
      </c>
      <c r="W47" s="2"/>
      <c r="X47" s="6">
        <f t="shared" si="22"/>
        <v>-800</v>
      </c>
      <c r="Y47" s="2"/>
      <c r="Z47" s="7">
        <f t="shared" si="23"/>
        <v>-1</v>
      </c>
    </row>
    <row r="48" spans="1:26" s="26" customFormat="1" outlineLevel="1" collapsed="1" x14ac:dyDescent="0.25">
      <c r="A48" s="25"/>
      <c r="B48" s="13" t="str">
        <f>CONCATENATE("     ","Supplies                                          ")</f>
        <v xml:space="preserve">     Supplies                                          </v>
      </c>
      <c r="C48" s="13"/>
      <c r="D48" s="1">
        <f>SUM(OSRRefD22_6x_0)</f>
        <v>63.83</v>
      </c>
      <c r="E48" s="1"/>
      <c r="F48" s="5">
        <f t="shared" si="16"/>
        <v>0</v>
      </c>
      <c r="G48" s="1"/>
      <c r="H48" s="1">
        <f>SUM(OSRRefH22_6x_0)</f>
        <v>975</v>
      </c>
      <c r="I48" s="1"/>
      <c r="J48" s="5">
        <f t="shared" si="17"/>
        <v>0</v>
      </c>
      <c r="K48" s="1"/>
      <c r="L48" s="1">
        <f t="shared" si="18"/>
        <v>-911.17</v>
      </c>
      <c r="M48" s="1"/>
      <c r="N48" s="5">
        <f t="shared" si="19"/>
        <v>-0.93453333333333333</v>
      </c>
      <c r="O48" s="13"/>
      <c r="P48" s="1">
        <f>SUM(OSRRefP22_6x_0)</f>
        <v>491.19000000000005</v>
      </c>
      <c r="Q48" s="1"/>
      <c r="R48" s="5">
        <f t="shared" si="20"/>
        <v>0</v>
      </c>
      <c r="S48" s="1"/>
      <c r="T48" s="1">
        <f>SUM(OSRRefT22_6x_0)</f>
        <v>1950</v>
      </c>
      <c r="U48" s="1"/>
      <c r="V48" s="5">
        <f t="shared" si="21"/>
        <v>0</v>
      </c>
      <c r="W48" s="1"/>
      <c r="X48" s="1">
        <f t="shared" si="22"/>
        <v>-1458.81</v>
      </c>
      <c r="Y48" s="1"/>
      <c r="Z48" s="5">
        <f t="shared" si="23"/>
        <v>-0.74810769230769225</v>
      </c>
    </row>
    <row r="49" spans="1:26" s="24" customFormat="1" hidden="1" outlineLevel="2" x14ac:dyDescent="0.25">
      <c r="A49" s="27"/>
      <c r="B49" s="11" t="str">
        <f>CONCATENATE("          ", "6241", " - ", "OFFICE EXPENSE")</f>
        <v xml:space="preserve">          6241 - OFFICE EXPENSE</v>
      </c>
      <c r="C49" s="11"/>
      <c r="D49" s="6">
        <v>63.83</v>
      </c>
      <c r="E49" s="2"/>
      <c r="F49" s="7">
        <f t="shared" si="16"/>
        <v>0</v>
      </c>
      <c r="G49" s="2"/>
      <c r="H49" s="6">
        <v>975</v>
      </c>
      <c r="I49" s="2"/>
      <c r="J49" s="7">
        <f t="shared" si="17"/>
        <v>0</v>
      </c>
      <c r="K49" s="2"/>
      <c r="L49" s="6">
        <f t="shared" si="18"/>
        <v>-911.17</v>
      </c>
      <c r="M49" s="2"/>
      <c r="N49" s="7">
        <f t="shared" si="19"/>
        <v>-0.93453333333333333</v>
      </c>
      <c r="O49" s="11"/>
      <c r="P49" s="6">
        <v>144.77000000000001</v>
      </c>
      <c r="Q49" s="2"/>
      <c r="R49" s="7">
        <f t="shared" si="20"/>
        <v>0</v>
      </c>
      <c r="S49" s="2"/>
      <c r="T49" s="6">
        <v>1950</v>
      </c>
      <c r="U49" s="2"/>
      <c r="V49" s="7">
        <f t="shared" si="21"/>
        <v>0</v>
      </c>
      <c r="W49" s="2"/>
      <c r="X49" s="6">
        <f t="shared" si="22"/>
        <v>-1805.23</v>
      </c>
      <c r="Y49" s="2"/>
      <c r="Z49" s="7">
        <f t="shared" si="23"/>
        <v>-0.92575897435897436</v>
      </c>
    </row>
    <row r="50" spans="1:26" s="24" customFormat="1" hidden="1" outlineLevel="2" x14ac:dyDescent="0.25">
      <c r="A50" s="27"/>
      <c r="B50" s="11" t="str">
        <f>CONCATENATE("          ", "6245", " - ", "PRINTING")</f>
        <v xml:space="preserve">          6245 - PRINTING</v>
      </c>
      <c r="C50" s="11"/>
      <c r="D50" s="6"/>
      <c r="E50" s="2"/>
      <c r="F50" s="7">
        <f t="shared" si="16"/>
        <v>0</v>
      </c>
      <c r="G50" s="2"/>
      <c r="H50" s="6"/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>
        <v>346.42</v>
      </c>
      <c r="Q50" s="2"/>
      <c r="R50" s="7">
        <f t="shared" si="20"/>
        <v>0</v>
      </c>
      <c r="S50" s="2"/>
      <c r="T50" s="6"/>
      <c r="U50" s="2"/>
      <c r="V50" s="7">
        <f t="shared" si="21"/>
        <v>0</v>
      </c>
      <c r="W50" s="2"/>
      <c r="X50" s="6">
        <f t="shared" si="22"/>
        <v>346.42</v>
      </c>
      <c r="Y50" s="2"/>
      <c r="Z50" s="7">
        <f t="shared" si="23"/>
        <v>0</v>
      </c>
    </row>
    <row r="51" spans="1:26" s="26" customFormat="1" outlineLevel="1" collapsed="1" x14ac:dyDescent="0.25">
      <c r="A51" s="25"/>
      <c r="B51" s="13" t="str">
        <f>CONCATENATE("     ","Telephone/Data Lines                              ")</f>
        <v xml:space="preserve">     Telephone/Data Lines                              </v>
      </c>
      <c r="C51" s="13"/>
      <c r="D51" s="1">
        <f>SUM(OSRRefD22_7x_0)</f>
        <v>81.150000000000006</v>
      </c>
      <c r="E51" s="1"/>
      <c r="F51" s="5">
        <f t="shared" ref="F51:F56" si="24">IF(D$12=0,0,D51/D$12)</f>
        <v>0</v>
      </c>
      <c r="G51" s="1"/>
      <c r="H51" s="1">
        <f>SUM(OSRRefH22_7x_0)</f>
        <v>150</v>
      </c>
      <c r="I51" s="1"/>
      <c r="J51" s="5">
        <f t="shared" ref="J51:J56" si="25">IF(H$12=0,0,H51/H$12)</f>
        <v>0</v>
      </c>
      <c r="K51" s="1"/>
      <c r="L51" s="1">
        <f t="shared" ref="L51:L56" si="26">+D51-H51</f>
        <v>-68.849999999999994</v>
      </c>
      <c r="M51" s="1"/>
      <c r="N51" s="5">
        <f t="shared" ref="N51:N56" si="27">IF(H51=0,0,L51/H51)</f>
        <v>-0.45899999999999996</v>
      </c>
      <c r="O51" s="13"/>
      <c r="P51" s="1">
        <f>SUM(OSRRefP22_7x_0)</f>
        <v>75.45</v>
      </c>
      <c r="Q51" s="1"/>
      <c r="R51" s="5">
        <f t="shared" ref="R51:R56" si="28">IF(P$12=0,0,P51/P$12)</f>
        <v>0</v>
      </c>
      <c r="S51" s="1"/>
      <c r="T51" s="1">
        <f>SUM(OSRRefT22_7x_0)</f>
        <v>300</v>
      </c>
      <c r="U51" s="1"/>
      <c r="V51" s="5">
        <f t="shared" ref="V51:V56" si="29">IF(T$12=0,0,T51/T$12)</f>
        <v>0</v>
      </c>
      <c r="W51" s="1"/>
      <c r="X51" s="1">
        <f t="shared" ref="X51:X56" si="30">+P51-T51</f>
        <v>-224.55</v>
      </c>
      <c r="Y51" s="1"/>
      <c r="Z51" s="5">
        <f t="shared" ref="Z51:Z56" si="31">IF(T51=0,0,X51/T51)</f>
        <v>-0.74850000000000005</v>
      </c>
    </row>
    <row r="52" spans="1:26" s="24" customFormat="1" hidden="1" outlineLevel="2" x14ac:dyDescent="0.25">
      <c r="A52" s="27"/>
      <c r="B52" s="11" t="str">
        <f>CONCATENATE("          ", "6309", " - ", "TELEPHONE")</f>
        <v xml:space="preserve">          6309 - TELEPHONE</v>
      </c>
      <c r="C52" s="11"/>
      <c r="D52" s="6">
        <v>81.150000000000006</v>
      </c>
      <c r="E52" s="2"/>
      <c r="F52" s="7">
        <f t="shared" si="24"/>
        <v>0</v>
      </c>
      <c r="G52" s="2"/>
      <c r="H52" s="6">
        <v>150</v>
      </c>
      <c r="I52" s="2"/>
      <c r="J52" s="7">
        <f t="shared" si="25"/>
        <v>0</v>
      </c>
      <c r="K52" s="2"/>
      <c r="L52" s="6">
        <f t="shared" si="26"/>
        <v>-68.849999999999994</v>
      </c>
      <c r="M52" s="2"/>
      <c r="N52" s="7">
        <f t="shared" si="27"/>
        <v>-0.45899999999999996</v>
      </c>
      <c r="O52" s="11"/>
      <c r="P52" s="6">
        <v>75.45</v>
      </c>
      <c r="Q52" s="2"/>
      <c r="R52" s="7">
        <f t="shared" si="28"/>
        <v>0</v>
      </c>
      <c r="S52" s="2"/>
      <c r="T52" s="6">
        <v>300</v>
      </c>
      <c r="U52" s="2"/>
      <c r="V52" s="7">
        <f t="shared" si="29"/>
        <v>0</v>
      </c>
      <c r="W52" s="2"/>
      <c r="X52" s="6">
        <f t="shared" si="30"/>
        <v>-224.55</v>
      </c>
      <c r="Y52" s="2"/>
      <c r="Z52" s="7">
        <f t="shared" si="31"/>
        <v>-0.74850000000000005</v>
      </c>
    </row>
    <row r="53" spans="1:26" s="26" customFormat="1" outlineLevel="1" collapsed="1" x14ac:dyDescent="0.25">
      <c r="A53" s="25"/>
      <c r="B53" s="13" t="str">
        <f>CONCATENATE("     ","Training                                          ")</f>
        <v xml:space="preserve">     Training                                          </v>
      </c>
      <c r="C53" s="13"/>
      <c r="D53" s="1">
        <f>SUM(OSRRefD22_8x_0)</f>
        <v>0</v>
      </c>
      <c r="E53" s="1"/>
      <c r="F53" s="5">
        <f t="shared" si="24"/>
        <v>0</v>
      </c>
      <c r="G53" s="1"/>
      <c r="H53" s="1">
        <f>SUM(OSRRefH22_8x_0)</f>
        <v>200</v>
      </c>
      <c r="I53" s="1"/>
      <c r="J53" s="5">
        <f t="shared" si="25"/>
        <v>0</v>
      </c>
      <c r="K53" s="1"/>
      <c r="L53" s="1">
        <f t="shared" si="26"/>
        <v>-200</v>
      </c>
      <c r="M53" s="1"/>
      <c r="N53" s="5">
        <f t="shared" si="27"/>
        <v>-1</v>
      </c>
      <c r="O53" s="13"/>
      <c r="P53" s="1">
        <f>SUM(OSRRefP22_8x_0)</f>
        <v>0</v>
      </c>
      <c r="Q53" s="1"/>
      <c r="R53" s="5">
        <f t="shared" si="28"/>
        <v>0</v>
      </c>
      <c r="S53" s="1"/>
      <c r="T53" s="1">
        <f>SUM(OSRRefT22_8x_0)</f>
        <v>400</v>
      </c>
      <c r="U53" s="1"/>
      <c r="V53" s="5">
        <f t="shared" si="29"/>
        <v>0</v>
      </c>
      <c r="W53" s="1"/>
      <c r="X53" s="1">
        <f t="shared" si="30"/>
        <v>-400</v>
      </c>
      <c r="Y53" s="1"/>
      <c r="Z53" s="5">
        <f t="shared" si="31"/>
        <v>-1</v>
      </c>
    </row>
    <row r="54" spans="1:26" s="24" customFormat="1" hidden="1" outlineLevel="2" x14ac:dyDescent="0.25">
      <c r="A54" s="27"/>
      <c r="B54" s="11" t="str">
        <f>CONCATENATE("          ", "6376", " - ", "TRAINING")</f>
        <v xml:space="preserve">          6376 - TRAINING</v>
      </c>
      <c r="C54" s="11"/>
      <c r="D54" s="6"/>
      <c r="E54" s="2"/>
      <c r="F54" s="7">
        <f t="shared" si="24"/>
        <v>0</v>
      </c>
      <c r="G54" s="2"/>
      <c r="H54" s="6">
        <v>200</v>
      </c>
      <c r="I54" s="2"/>
      <c r="J54" s="7">
        <f t="shared" si="25"/>
        <v>0</v>
      </c>
      <c r="K54" s="2"/>
      <c r="L54" s="6">
        <f t="shared" si="26"/>
        <v>-200</v>
      </c>
      <c r="M54" s="2"/>
      <c r="N54" s="7">
        <f t="shared" si="27"/>
        <v>-1</v>
      </c>
      <c r="O54" s="11"/>
      <c r="P54" s="6"/>
      <c r="Q54" s="2"/>
      <c r="R54" s="7">
        <f t="shared" si="28"/>
        <v>0</v>
      </c>
      <c r="S54" s="2"/>
      <c r="T54" s="6">
        <v>400</v>
      </c>
      <c r="U54" s="2"/>
      <c r="V54" s="7">
        <f t="shared" si="29"/>
        <v>0</v>
      </c>
      <c r="W54" s="2"/>
      <c r="X54" s="6">
        <f t="shared" si="30"/>
        <v>-400</v>
      </c>
      <c r="Y54" s="2"/>
      <c r="Z54" s="7">
        <f t="shared" si="31"/>
        <v>-1</v>
      </c>
    </row>
    <row r="55" spans="1:26" s="26" customFormat="1" outlineLevel="1" collapsed="1" x14ac:dyDescent="0.25">
      <c r="A55" s="25"/>
      <c r="B55" s="13" t="str">
        <f>CONCATENATE("     ","Travel                                            ")</f>
        <v xml:space="preserve">     Travel                                            </v>
      </c>
      <c r="C55" s="13"/>
      <c r="D55" s="1">
        <f>SUM(OSRRefD22_9x_0)</f>
        <v>118.32</v>
      </c>
      <c r="E55" s="1"/>
      <c r="F55" s="5">
        <f t="shared" si="24"/>
        <v>0</v>
      </c>
      <c r="G55" s="1"/>
      <c r="H55" s="1">
        <f>SUM(OSRRefH22_9x_0)</f>
        <v>500</v>
      </c>
      <c r="I55" s="1"/>
      <c r="J55" s="5">
        <f t="shared" si="25"/>
        <v>0</v>
      </c>
      <c r="K55" s="1"/>
      <c r="L55" s="1">
        <f t="shared" si="26"/>
        <v>-381.68</v>
      </c>
      <c r="M55" s="1"/>
      <c r="N55" s="5">
        <f t="shared" si="27"/>
        <v>-0.76336000000000004</v>
      </c>
      <c r="O55" s="13"/>
      <c r="P55" s="1">
        <f>SUM(OSRRefP22_9x_0)</f>
        <v>118.32</v>
      </c>
      <c r="Q55" s="1"/>
      <c r="R55" s="5">
        <f t="shared" si="28"/>
        <v>0</v>
      </c>
      <c r="S55" s="1"/>
      <c r="T55" s="1">
        <f>SUM(OSRRefT22_9x_0)</f>
        <v>1000</v>
      </c>
      <c r="U55" s="1"/>
      <c r="V55" s="5">
        <f t="shared" si="29"/>
        <v>0</v>
      </c>
      <c r="W55" s="1"/>
      <c r="X55" s="1">
        <f t="shared" si="30"/>
        <v>-881.68000000000006</v>
      </c>
      <c r="Y55" s="1"/>
      <c r="Z55" s="5">
        <f t="shared" si="31"/>
        <v>-0.88168000000000002</v>
      </c>
    </row>
    <row r="56" spans="1:26" s="24" customFormat="1" hidden="1" outlineLevel="2" x14ac:dyDescent="0.25">
      <c r="A56" s="27"/>
      <c r="B56" s="11" t="str">
        <f>CONCATENATE("          ", "6292", " - ", "TRAVEL/CONFERENCE")</f>
        <v xml:space="preserve">          6292 - TRAVEL/CONFERENCE</v>
      </c>
      <c r="C56" s="11"/>
      <c r="D56" s="6">
        <v>118.32</v>
      </c>
      <c r="E56" s="2"/>
      <c r="F56" s="7">
        <f t="shared" si="24"/>
        <v>0</v>
      </c>
      <c r="G56" s="2"/>
      <c r="H56" s="6">
        <v>500</v>
      </c>
      <c r="I56" s="2"/>
      <c r="J56" s="7">
        <f t="shared" si="25"/>
        <v>0</v>
      </c>
      <c r="K56" s="2"/>
      <c r="L56" s="6">
        <f t="shared" si="26"/>
        <v>-381.68</v>
      </c>
      <c r="M56" s="2"/>
      <c r="N56" s="7">
        <f t="shared" si="27"/>
        <v>-0.76336000000000004</v>
      </c>
      <c r="O56" s="11"/>
      <c r="P56" s="6">
        <v>118.32</v>
      </c>
      <c r="Q56" s="2"/>
      <c r="R56" s="7">
        <f t="shared" si="28"/>
        <v>0</v>
      </c>
      <c r="S56" s="2"/>
      <c r="T56" s="6">
        <v>1000</v>
      </c>
      <c r="U56" s="2"/>
      <c r="V56" s="7">
        <f t="shared" si="29"/>
        <v>0</v>
      </c>
      <c r="W56" s="2"/>
      <c r="X56" s="6">
        <f t="shared" si="30"/>
        <v>-881.68000000000006</v>
      </c>
      <c r="Y56" s="2"/>
      <c r="Z56" s="7">
        <f t="shared" si="31"/>
        <v>-0.88168000000000002</v>
      </c>
    </row>
    <row r="57" spans="1:26" s="63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9" t="s">
        <v>3</v>
      </c>
      <c r="C60" s="29"/>
      <c r="D60" s="22">
        <f>+D16-D18+D58</f>
        <v>-6888.33</v>
      </c>
      <c r="E60" s="14"/>
      <c r="F60" s="20">
        <f>IF(D$12=0,0,D60/D$12)</f>
        <v>0</v>
      </c>
      <c r="G60" s="14"/>
      <c r="H60" s="22">
        <f>+H16-H18+H58</f>
        <v>-14143.392589515999</v>
      </c>
      <c r="I60" s="14"/>
      <c r="J60" s="20">
        <f>IF(H$12=0,0,H60/H$12)</f>
        <v>0</v>
      </c>
      <c r="K60" s="15"/>
      <c r="L60" s="22">
        <f>+D60-H60</f>
        <v>7255.0625895159992</v>
      </c>
      <c r="M60" s="15"/>
      <c r="N60" s="20">
        <f>IF(H60=0,0,L60/H60)</f>
        <v>-0.51296480272306966</v>
      </c>
      <c r="O60" s="28"/>
      <c r="P60" s="22">
        <f>+P16-P18+P58</f>
        <v>-13947.900000000001</v>
      </c>
      <c r="Q60" s="14"/>
      <c r="R60" s="20">
        <f>IF(P$12=0,0,P60/P$12)</f>
        <v>0</v>
      </c>
      <c r="S60" s="14"/>
      <c r="T60" s="22">
        <f>+T16-T18+T58</f>
        <v>-30335.783326411001</v>
      </c>
      <c r="U60" s="14"/>
      <c r="V60" s="20">
        <f>IF(T$12=0,0,T60/T$12)</f>
        <v>0</v>
      </c>
      <c r="W60" s="15"/>
      <c r="X60" s="22">
        <f>+P60-T60</f>
        <v>16387.883326411</v>
      </c>
      <c r="Y60" s="15"/>
      <c r="Z60" s="20">
        <f>IF(T60=0,0,X60/T60)</f>
        <v>-0.54021625715342403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14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9" t="s">
        <v>4</v>
      </c>
      <c r="C64" s="29"/>
      <c r="D64" s="31">
        <f>+D60-D62</f>
        <v>-6888.33</v>
      </c>
      <c r="E64" s="14"/>
      <c r="F64" s="32">
        <f>IF(D$12=0,0,D64/D$12)</f>
        <v>0</v>
      </c>
      <c r="G64" s="14"/>
      <c r="H64" s="31">
        <f>+H60-H62</f>
        <v>-14143.392589515999</v>
      </c>
      <c r="I64" s="14"/>
      <c r="J64" s="32">
        <f>IF(H$12=0,0,H64/H$12)</f>
        <v>0</v>
      </c>
      <c r="K64" s="15"/>
      <c r="L64" s="31">
        <f>D64-H64</f>
        <v>7255.0625895159992</v>
      </c>
      <c r="M64" s="15"/>
      <c r="N64" s="32">
        <f>IF(H64=0,0,L64/H64)</f>
        <v>-0.51296480272306966</v>
      </c>
      <c r="O64" s="28"/>
      <c r="P64" s="31">
        <f>+P60-P62</f>
        <v>-13947.900000000001</v>
      </c>
      <c r="Q64" s="14"/>
      <c r="R64" s="32">
        <f>IF(P$12=0,0,P64/P$12)</f>
        <v>0</v>
      </c>
      <c r="S64" s="14"/>
      <c r="T64" s="31">
        <f>+T60-T62</f>
        <v>-30335.783326411001</v>
      </c>
      <c r="U64" s="14"/>
      <c r="V64" s="32">
        <f>IF(T$12=0,0,T64/T$12)</f>
        <v>0</v>
      </c>
      <c r="W64" s="15"/>
      <c r="X64" s="31">
        <f>P64-T64</f>
        <v>16387.883326411</v>
      </c>
      <c r="Y64" s="15"/>
      <c r="Z64" s="32">
        <f>IF(T64=0,0,X64/T64)</f>
        <v>-0.54021625715342403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9" t="s">
        <v>5</v>
      </c>
      <c r="C67" s="29"/>
      <c r="D67" s="33">
        <f>SUM(D64:D66)</f>
        <v>-6888.33</v>
      </c>
      <c r="E67" s="14"/>
      <c r="F67" s="35">
        <f>IF(D$12=0,0,D67/D$12)</f>
        <v>0</v>
      </c>
      <c r="G67" s="14"/>
      <c r="H67" s="33">
        <f>SUM(H64:H66)</f>
        <v>-14143.392589515999</v>
      </c>
      <c r="I67" s="14"/>
      <c r="J67" s="35">
        <f>IF(H$12=0,0,H67/H$12)</f>
        <v>0</v>
      </c>
      <c r="K67" s="15"/>
      <c r="L67" s="33">
        <f>+D67-H67</f>
        <v>7255.0625895159992</v>
      </c>
      <c r="M67" s="15"/>
      <c r="N67" s="35">
        <f>IF(H67=0,0,L67/H67)</f>
        <v>-0.51296480272306966</v>
      </c>
      <c r="O67" s="28"/>
      <c r="P67" s="33">
        <f>SUM(P64:P66)</f>
        <v>-13947.900000000001</v>
      </c>
      <c r="Q67" s="14"/>
      <c r="R67" s="35">
        <f>IF(P$12=0,0,P67/P$12)</f>
        <v>0</v>
      </c>
      <c r="S67" s="14"/>
      <c r="T67" s="33">
        <f>SUM(T64:T66)</f>
        <v>-30335.783326411001</v>
      </c>
      <c r="U67" s="14"/>
      <c r="V67" s="35">
        <f>IF(T$12=0,0,T67/T$12)</f>
        <v>0</v>
      </c>
      <c r="W67" s="15"/>
      <c r="X67" s="33">
        <f>+P67-T67</f>
        <v>16387.883326411</v>
      </c>
      <c r="Y67" s="15"/>
      <c r="Z67" s="35">
        <f>IF(T67=0,0,X67/T67)</f>
        <v>-0.54021625715342403</v>
      </c>
    </row>
    <row r="68" spans="1:26" ht="15.75" thickTop="1" x14ac:dyDescent="0.25">
      <c r="A68" s="9"/>
      <c r="C68" s="9"/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25">
      <c r="A69" s="9"/>
      <c r="B69" s="61">
        <v>43732.70581334491</v>
      </c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62" t="s">
        <v>314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58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7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308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2831724.0500000003</v>
      </c>
      <c r="E12" s="4"/>
      <c r="F12" s="12"/>
      <c r="G12" s="4"/>
      <c r="H12" s="4">
        <f>SUM(OSRRefH13x_0)</f>
        <v>3010785.0206399998</v>
      </c>
      <c r="I12" s="4"/>
      <c r="J12" s="12"/>
      <c r="K12" s="4"/>
      <c r="L12" s="4">
        <f t="shared" ref="L12:L96" si="0">+D12-H12</f>
        <v>-179060.97063999949</v>
      </c>
      <c r="M12" s="4"/>
      <c r="N12" s="12">
        <f t="shared" ref="N12:N96" si="1">IF(H12=0,0,L12/H12)</f>
        <v>-5.94731837087248E-2</v>
      </c>
      <c r="O12" s="10"/>
      <c r="P12" s="4">
        <f>SUM(OSRRefP13x_0)</f>
        <v>3242487.370000001</v>
      </c>
      <c r="Q12" s="4"/>
      <c r="R12" s="12"/>
      <c r="S12" s="4"/>
      <c r="T12" s="4">
        <f>SUM(OSRRefT13x_0)</f>
        <v>3457268.6364500001</v>
      </c>
      <c r="U12" s="4"/>
      <c r="V12" s="12"/>
      <c r="W12" s="4"/>
      <c r="X12" s="4">
        <f t="shared" ref="X12:X96" si="2">+P12-T12</f>
        <v>-214781.26644999906</v>
      </c>
      <c r="Y12" s="4"/>
      <c r="Z12" s="12">
        <f t="shared" ref="Z12:Z96" si="3">IF(T12=0,0,X12/T12)</f>
        <v>-6.2124552366443014E-2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551264.02064</v>
      </c>
      <c r="I13" s="2"/>
      <c r="J13" s="21"/>
      <c r="K13" s="2"/>
      <c r="L13" s="2">
        <f t="shared" si="0"/>
        <v>-551264.02064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819761.63644999999</v>
      </c>
      <c r="U13" s="2"/>
      <c r="V13" s="21"/>
      <c r="W13" s="2"/>
      <c r="X13" s="2">
        <f t="shared" si="2"/>
        <v>-819761.63644999999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"4001", " - ", "TAXABLE SALES-NEW TEXT")</f>
        <v xml:space="preserve">          4001 - TAXABLE SALES-NEW TEXT</v>
      </c>
      <c r="C14" s="11"/>
      <c r="D14" s="2">
        <f>--1090909.72</f>
        <v>1090909.72</v>
      </c>
      <c r="E14" s="2"/>
      <c r="F14" s="21"/>
      <c r="G14" s="2"/>
      <c r="H14" s="2"/>
      <c r="I14" s="2"/>
      <c r="J14" s="21"/>
      <c r="K14" s="2"/>
      <c r="L14" s="2">
        <f t="shared" si="0"/>
        <v>1090909.72</v>
      </c>
      <c r="M14" s="2"/>
      <c r="N14" s="21">
        <f t="shared" si="1"/>
        <v>0</v>
      </c>
      <c r="O14" s="11"/>
      <c r="P14" s="2">
        <f>--1127221.97</f>
        <v>1127221.97</v>
      </c>
      <c r="Q14" s="2"/>
      <c r="R14" s="21"/>
      <c r="S14" s="2"/>
      <c r="T14" s="2"/>
      <c r="U14" s="2"/>
      <c r="V14" s="21"/>
      <c r="W14" s="2"/>
      <c r="X14" s="2">
        <f t="shared" si="2"/>
        <v>1127221.97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"4002", " - ", "TAXABLE SALES-USED TEXT")</f>
        <v xml:space="preserve">          4002 - TAXABLE SALES-USED TEXT</v>
      </c>
      <c r="C15" s="11"/>
      <c r="D15" s="2">
        <f>--533666.11</f>
        <v>533666.11</v>
      </c>
      <c r="E15" s="2"/>
      <c r="F15" s="21"/>
      <c r="G15" s="2"/>
      <c r="H15" s="2"/>
      <c r="I15" s="2"/>
      <c r="J15" s="21"/>
      <c r="K15" s="2"/>
      <c r="L15" s="2">
        <f t="shared" si="0"/>
        <v>533666.11</v>
      </c>
      <c r="M15" s="2"/>
      <c r="N15" s="21">
        <f t="shared" si="1"/>
        <v>0</v>
      </c>
      <c r="O15" s="11"/>
      <c r="P15" s="2">
        <f>--555460.92</f>
        <v>555460.92000000004</v>
      </c>
      <c r="Q15" s="2"/>
      <c r="R15" s="21"/>
      <c r="S15" s="2"/>
      <c r="T15" s="2"/>
      <c r="U15" s="2"/>
      <c r="V15" s="21"/>
      <c r="W15" s="2"/>
      <c r="X15" s="2">
        <f t="shared" si="2"/>
        <v>555460.92000000004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"4003", " - ", "TAXABLE SALES-RENTAL TEXT")</f>
        <v xml:space="preserve">          4003 - TAXABLE SALES-RENTAL TEXT</v>
      </c>
      <c r="C16" s="11"/>
      <c r="D16" s="2">
        <f>--12302.07</f>
        <v>12302.07</v>
      </c>
      <c r="E16" s="2"/>
      <c r="F16" s="21"/>
      <c r="G16" s="2"/>
      <c r="H16" s="2"/>
      <c r="I16" s="2"/>
      <c r="J16" s="21"/>
      <c r="K16" s="2"/>
      <c r="L16" s="2">
        <f t="shared" si="0"/>
        <v>12302.07</v>
      </c>
      <c r="M16" s="2"/>
      <c r="N16" s="21">
        <f t="shared" si="1"/>
        <v>0</v>
      </c>
      <c r="O16" s="11"/>
      <c r="P16" s="2">
        <f>--12736.05</f>
        <v>12736.05</v>
      </c>
      <c r="Q16" s="2"/>
      <c r="R16" s="21"/>
      <c r="S16" s="2"/>
      <c r="T16" s="2"/>
      <c r="U16" s="2"/>
      <c r="V16" s="21"/>
      <c r="W16" s="2"/>
      <c r="X16" s="2">
        <f t="shared" si="2"/>
        <v>12736.05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"4004", " - ", "TAXABLE SALES-DIGITAL TEXT")</f>
        <v xml:space="preserve">          4004 - TAXABLE SALES-DIGITAL TEXT</v>
      </c>
      <c r="C17" s="11"/>
      <c r="D17" s="2">
        <f>--22276.72</f>
        <v>22276.720000000001</v>
      </c>
      <c r="E17" s="2"/>
      <c r="F17" s="21"/>
      <c r="G17" s="2"/>
      <c r="H17" s="2"/>
      <c r="I17" s="2"/>
      <c r="J17" s="21"/>
      <c r="K17" s="2"/>
      <c r="L17" s="2">
        <f t="shared" si="0"/>
        <v>22276.720000000001</v>
      </c>
      <c r="M17" s="2"/>
      <c r="N17" s="21">
        <f t="shared" si="1"/>
        <v>0</v>
      </c>
      <c r="O17" s="11"/>
      <c r="P17" s="2">
        <f>--22410.07</f>
        <v>22410.07</v>
      </c>
      <c r="Q17" s="2"/>
      <c r="R17" s="21"/>
      <c r="S17" s="2"/>
      <c r="T17" s="2"/>
      <c r="U17" s="2"/>
      <c r="V17" s="21"/>
      <c r="W17" s="2"/>
      <c r="X17" s="2">
        <f t="shared" si="2"/>
        <v>22410.07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"4013", " - ", "TAXABLE SALES-TRADE BOOKS")</f>
        <v xml:space="preserve">          4013 - TAXABLE SALES-TRADE BOOKS</v>
      </c>
      <c r="C18" s="11"/>
      <c r="D18" s="2">
        <f>--70.86</f>
        <v>70.86</v>
      </c>
      <c r="E18" s="2"/>
      <c r="F18" s="21"/>
      <c r="G18" s="2"/>
      <c r="H18" s="2"/>
      <c r="I18" s="2"/>
      <c r="J18" s="21"/>
      <c r="K18" s="2"/>
      <c r="L18" s="2">
        <f t="shared" si="0"/>
        <v>70.86</v>
      </c>
      <c r="M18" s="2"/>
      <c r="N18" s="21">
        <f t="shared" si="1"/>
        <v>0</v>
      </c>
      <c r="O18" s="11"/>
      <c r="P18" s="2">
        <f>--110.81</f>
        <v>110.81</v>
      </c>
      <c r="Q18" s="2"/>
      <c r="R18" s="21"/>
      <c r="S18" s="2"/>
      <c r="T18" s="2"/>
      <c r="U18" s="2"/>
      <c r="V18" s="21"/>
      <c r="W18" s="2"/>
      <c r="X18" s="2">
        <f t="shared" si="2"/>
        <v>110.81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"4014", " - ", "TAXABLE SALES-REMAINDERS")</f>
        <v xml:space="preserve">          4014 - TAXABLE SALES-REMAINDERS</v>
      </c>
      <c r="C19" s="11"/>
      <c r="D19" s="2">
        <f>--175</f>
        <v>175</v>
      </c>
      <c r="E19" s="2"/>
      <c r="F19" s="21"/>
      <c r="G19" s="2"/>
      <c r="H19" s="2"/>
      <c r="I19" s="2"/>
      <c r="J19" s="21"/>
      <c r="K19" s="2"/>
      <c r="L19" s="2">
        <f t="shared" si="0"/>
        <v>175</v>
      </c>
      <c r="M19" s="2"/>
      <c r="N19" s="21">
        <f t="shared" si="1"/>
        <v>0</v>
      </c>
      <c r="O19" s="11"/>
      <c r="P19" s="2">
        <f>--425.65</f>
        <v>425.65</v>
      </c>
      <c r="Q19" s="2"/>
      <c r="R19" s="21"/>
      <c r="S19" s="2"/>
      <c r="T19" s="2"/>
      <c r="U19" s="2"/>
      <c r="V19" s="21"/>
      <c r="W19" s="2"/>
      <c r="X19" s="2">
        <f t="shared" si="2"/>
        <v>425.65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--152.83</f>
        <v>152.83000000000001</v>
      </c>
      <c r="E20" s="2"/>
      <c r="F20" s="21"/>
      <c r="G20" s="2"/>
      <c r="H20" s="2"/>
      <c r="I20" s="2"/>
      <c r="J20" s="21"/>
      <c r="K20" s="2"/>
      <c r="L20" s="2">
        <f t="shared" si="0"/>
        <v>152.83000000000001</v>
      </c>
      <c r="M20" s="2"/>
      <c r="N20" s="21">
        <f t="shared" si="1"/>
        <v>0</v>
      </c>
      <c r="O20" s="11"/>
      <c r="P20" s="2">
        <f>--157.3</f>
        <v>157.30000000000001</v>
      </c>
      <c r="Q20" s="2"/>
      <c r="R20" s="21"/>
      <c r="S20" s="2"/>
      <c r="T20" s="2"/>
      <c r="U20" s="2"/>
      <c r="V20" s="21"/>
      <c r="W20" s="2"/>
      <c r="X20" s="2">
        <f t="shared" si="2"/>
        <v>157.30000000000001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"4018", " - ", "TAXABLE SALES-STUDY GUIDES")</f>
        <v xml:space="preserve">          4018 - TAXABLE SALES-STUDY GUIDES</v>
      </c>
      <c r="C21" s="11"/>
      <c r="D21" s="2">
        <f>--1184.84</f>
        <v>1184.8399999999999</v>
      </c>
      <c r="E21" s="2"/>
      <c r="F21" s="21"/>
      <c r="G21" s="2"/>
      <c r="H21" s="2"/>
      <c r="I21" s="2"/>
      <c r="J21" s="21"/>
      <c r="K21" s="2"/>
      <c r="L21" s="2">
        <f t="shared" si="0"/>
        <v>1184.8399999999999</v>
      </c>
      <c r="M21" s="2"/>
      <c r="N21" s="21">
        <f t="shared" si="1"/>
        <v>0</v>
      </c>
      <c r="O21" s="11"/>
      <c r="P21" s="2">
        <f>--1364.13</f>
        <v>1364.13</v>
      </c>
      <c r="Q21" s="2"/>
      <c r="R21" s="21"/>
      <c r="S21" s="2"/>
      <c r="T21" s="2"/>
      <c r="U21" s="2"/>
      <c r="V21" s="21"/>
      <c r="W21" s="2"/>
      <c r="X21" s="2">
        <f t="shared" si="2"/>
        <v>1364.13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"4019", " - ", "TAXABLE SALES-BOOK RELATED")</f>
        <v xml:space="preserve">          4019 - TAXABLE SALES-BOOK RELATED</v>
      </c>
      <c r="C22" s="11"/>
      <c r="D22" s="2">
        <f>--14.95</f>
        <v>14.95</v>
      </c>
      <c r="E22" s="2"/>
      <c r="F22" s="21"/>
      <c r="G22" s="2"/>
      <c r="H22" s="2"/>
      <c r="I22" s="2"/>
      <c r="J22" s="21"/>
      <c r="K22" s="2"/>
      <c r="L22" s="2">
        <f t="shared" si="0"/>
        <v>14.95</v>
      </c>
      <c r="M22" s="2"/>
      <c r="N22" s="21">
        <f t="shared" si="1"/>
        <v>0</v>
      </c>
      <c r="O22" s="11"/>
      <c r="P22" s="2">
        <f>--14.95</f>
        <v>14.95</v>
      </c>
      <c r="Q22" s="2"/>
      <c r="R22" s="21"/>
      <c r="S22" s="2"/>
      <c r="T22" s="2"/>
      <c r="U22" s="2"/>
      <c r="V22" s="21"/>
      <c r="W22" s="2"/>
      <c r="X22" s="2">
        <f t="shared" si="2"/>
        <v>14.95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"4025", " - ", "TAXABLE SALES-TEST FORMS")</f>
        <v xml:space="preserve">          4025 - TAXABLE SALES-TEST FORMS</v>
      </c>
      <c r="C23" s="11"/>
      <c r="D23" s="2">
        <f>--4066.24</f>
        <v>4066.24</v>
      </c>
      <c r="E23" s="2"/>
      <c r="F23" s="21"/>
      <c r="G23" s="2"/>
      <c r="H23" s="2"/>
      <c r="I23" s="2"/>
      <c r="J23" s="21"/>
      <c r="K23" s="2"/>
      <c r="L23" s="2">
        <f t="shared" si="0"/>
        <v>4066.24</v>
      </c>
      <c r="M23" s="2"/>
      <c r="N23" s="21">
        <f t="shared" si="1"/>
        <v>0</v>
      </c>
      <c r="O23" s="11"/>
      <c r="P23" s="2">
        <f>--4458.53</f>
        <v>4458.53</v>
      </c>
      <c r="Q23" s="2"/>
      <c r="R23" s="21"/>
      <c r="S23" s="2"/>
      <c r="T23" s="2"/>
      <c r="U23" s="2"/>
      <c r="V23" s="21"/>
      <c r="W23" s="2"/>
      <c r="X23" s="2">
        <f t="shared" si="2"/>
        <v>4458.53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--10841.03</f>
        <v>10841.03</v>
      </c>
      <c r="E24" s="2"/>
      <c r="F24" s="21"/>
      <c r="G24" s="2"/>
      <c r="H24" s="2"/>
      <c r="I24" s="2"/>
      <c r="J24" s="21"/>
      <c r="K24" s="2"/>
      <c r="L24" s="2">
        <f t="shared" si="0"/>
        <v>10841.03</v>
      </c>
      <c r="M24" s="2"/>
      <c r="N24" s="21">
        <f t="shared" si="1"/>
        <v>0</v>
      </c>
      <c r="O24" s="11"/>
      <c r="P24" s="2">
        <f>--12776.54</f>
        <v>12776.54</v>
      </c>
      <c r="Q24" s="2"/>
      <c r="R24" s="21"/>
      <c r="S24" s="2"/>
      <c r="T24" s="2"/>
      <c r="U24" s="2"/>
      <c r="V24" s="21"/>
      <c r="W24" s="2"/>
      <c r="X24" s="2">
        <f t="shared" si="2"/>
        <v>12776.54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--65949.25</f>
        <v>65949.25</v>
      </c>
      <c r="E25" s="2"/>
      <c r="F25" s="21"/>
      <c r="G25" s="2"/>
      <c r="H25" s="2"/>
      <c r="I25" s="2"/>
      <c r="J25" s="21"/>
      <c r="K25" s="2"/>
      <c r="L25" s="2">
        <f t="shared" si="0"/>
        <v>65949.25</v>
      </c>
      <c r="M25" s="2"/>
      <c r="N25" s="21">
        <f t="shared" si="1"/>
        <v>0</v>
      </c>
      <c r="O25" s="11"/>
      <c r="P25" s="2">
        <f>--79099.25</f>
        <v>79099.25</v>
      </c>
      <c r="Q25" s="2"/>
      <c r="R25" s="21"/>
      <c r="S25" s="2"/>
      <c r="T25" s="2"/>
      <c r="U25" s="2"/>
      <c r="V25" s="21"/>
      <c r="W25" s="2"/>
      <c r="X25" s="2">
        <f t="shared" si="2"/>
        <v>79099.25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"4028", " - ", "TAXABLE SALES-ART/TECH")</f>
        <v xml:space="preserve">          4028 - TAXABLE SALES-ART/TECH</v>
      </c>
      <c r="C26" s="11"/>
      <c r="D26" s="2">
        <f>--46631.39</f>
        <v>46631.39</v>
      </c>
      <c r="E26" s="2"/>
      <c r="F26" s="21"/>
      <c r="G26" s="2"/>
      <c r="H26" s="2"/>
      <c r="I26" s="2"/>
      <c r="J26" s="21"/>
      <c r="K26" s="2"/>
      <c r="L26" s="2">
        <f t="shared" si="0"/>
        <v>46631.39</v>
      </c>
      <c r="M26" s="2"/>
      <c r="N26" s="21">
        <f t="shared" si="1"/>
        <v>0</v>
      </c>
      <c r="O26" s="11"/>
      <c r="P26" s="2">
        <f>--48915.55</f>
        <v>48915.55</v>
      </c>
      <c r="Q26" s="2"/>
      <c r="R26" s="21"/>
      <c r="S26" s="2"/>
      <c r="T26" s="2"/>
      <c r="U26" s="2"/>
      <c r="V26" s="21"/>
      <c r="W26" s="2"/>
      <c r="X26" s="2">
        <f t="shared" si="2"/>
        <v>48915.55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"4031", " - ", "TAXABLE SALES-FOOD")</f>
        <v xml:space="preserve">          4031 - TAXABLE SALES-FOOD</v>
      </c>
      <c r="C27" s="11"/>
      <c r="D27" s="2">
        <f>--30.82</f>
        <v>30.82</v>
      </c>
      <c r="E27" s="2"/>
      <c r="F27" s="21"/>
      <c r="G27" s="2"/>
      <c r="H27" s="2"/>
      <c r="I27" s="2"/>
      <c r="J27" s="21"/>
      <c r="K27" s="2"/>
      <c r="L27" s="2">
        <f t="shared" si="0"/>
        <v>30.82</v>
      </c>
      <c r="M27" s="2"/>
      <c r="N27" s="21">
        <f t="shared" si="1"/>
        <v>0</v>
      </c>
      <c r="O27" s="11"/>
      <c r="P27" s="2">
        <f>--32.34</f>
        <v>32.340000000000003</v>
      </c>
      <c r="Q27" s="2"/>
      <c r="R27" s="21"/>
      <c r="S27" s="2"/>
      <c r="T27" s="2"/>
      <c r="U27" s="2"/>
      <c r="V27" s="21"/>
      <c r="W27" s="2"/>
      <c r="X27" s="2">
        <f t="shared" si="2"/>
        <v>32.340000000000003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"4032", " - ", "TAXABLE SALES-JUICE")</f>
        <v xml:space="preserve">          4032 - TAXABLE SALES-JUICE</v>
      </c>
      <c r="C28" s="11"/>
      <c r="D28" s="2">
        <f>--17871.46</f>
        <v>17871.46</v>
      </c>
      <c r="E28" s="2"/>
      <c r="F28" s="21"/>
      <c r="G28" s="2"/>
      <c r="H28" s="2"/>
      <c r="I28" s="2"/>
      <c r="J28" s="21"/>
      <c r="K28" s="2"/>
      <c r="L28" s="2">
        <f t="shared" si="0"/>
        <v>17871.46</v>
      </c>
      <c r="M28" s="2"/>
      <c r="N28" s="21">
        <f t="shared" si="1"/>
        <v>0</v>
      </c>
      <c r="O28" s="11"/>
      <c r="P28" s="2">
        <f>--24753.19</f>
        <v>24753.19</v>
      </c>
      <c r="Q28" s="2"/>
      <c r="R28" s="21"/>
      <c r="S28" s="2"/>
      <c r="T28" s="2"/>
      <c r="U28" s="2"/>
      <c r="V28" s="21"/>
      <c r="W28" s="2"/>
      <c r="X28" s="2">
        <f t="shared" si="2"/>
        <v>24753.19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"4033", " - ", "TAXABLE SALES-CANDY")</f>
        <v xml:space="preserve">          4033 - TAXABLE SALES-CANDY</v>
      </c>
      <c r="C29" s="11"/>
      <c r="D29" s="2">
        <f>--9.83</f>
        <v>9.83</v>
      </c>
      <c r="E29" s="2"/>
      <c r="F29" s="21"/>
      <c r="G29" s="2"/>
      <c r="H29" s="2"/>
      <c r="I29" s="2"/>
      <c r="J29" s="21"/>
      <c r="K29" s="2"/>
      <c r="L29" s="2">
        <f t="shared" si="0"/>
        <v>9.83</v>
      </c>
      <c r="M29" s="2"/>
      <c r="N29" s="21">
        <f t="shared" si="1"/>
        <v>0</v>
      </c>
      <c r="O29" s="11"/>
      <c r="P29" s="2">
        <f>--13</f>
        <v>13</v>
      </c>
      <c r="Q29" s="2"/>
      <c r="R29" s="21"/>
      <c r="S29" s="2"/>
      <c r="T29" s="2"/>
      <c r="U29" s="2"/>
      <c r="V29" s="21"/>
      <c r="W29" s="2"/>
      <c r="X29" s="2">
        <f t="shared" si="2"/>
        <v>13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"4034", " - ", "TAXABLE SALES-SODA")</f>
        <v xml:space="preserve">          4034 - TAXABLE SALES-SODA</v>
      </c>
      <c r="C30" s="11"/>
      <c r="D30" s="2">
        <f>--638.45</f>
        <v>638.45000000000005</v>
      </c>
      <c r="E30" s="2"/>
      <c r="F30" s="21"/>
      <c r="G30" s="2"/>
      <c r="H30" s="2"/>
      <c r="I30" s="2"/>
      <c r="J30" s="21"/>
      <c r="K30" s="2"/>
      <c r="L30" s="2">
        <f t="shared" si="0"/>
        <v>638.45000000000005</v>
      </c>
      <c r="M30" s="2"/>
      <c r="N30" s="21">
        <f t="shared" si="1"/>
        <v>0</v>
      </c>
      <c r="O30" s="11"/>
      <c r="P30" s="2">
        <f>--961.94</f>
        <v>961.94</v>
      </c>
      <c r="Q30" s="2"/>
      <c r="R30" s="21"/>
      <c r="S30" s="2"/>
      <c r="T30" s="2"/>
      <c r="U30" s="2"/>
      <c r="V30" s="21"/>
      <c r="W30" s="2"/>
      <c r="X30" s="2">
        <f t="shared" si="2"/>
        <v>961.94</v>
      </c>
      <c r="Y30" s="2"/>
      <c r="Z30" s="21">
        <f t="shared" si="3"/>
        <v>0</v>
      </c>
    </row>
    <row r="31" spans="1:26" s="24" customFormat="1" hidden="1" outlineLevel="1" x14ac:dyDescent="0.25">
      <c r="A31" s="46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--92.48</f>
        <v>92.48</v>
      </c>
      <c r="E31" s="2"/>
      <c r="F31" s="21"/>
      <c r="G31" s="2"/>
      <c r="H31" s="2"/>
      <c r="I31" s="2"/>
      <c r="J31" s="21"/>
      <c r="K31" s="2"/>
      <c r="L31" s="2">
        <f t="shared" si="0"/>
        <v>92.48</v>
      </c>
      <c r="M31" s="2"/>
      <c r="N31" s="21">
        <f t="shared" si="1"/>
        <v>0</v>
      </c>
      <c r="O31" s="11"/>
      <c r="P31" s="2">
        <f>--98.45</f>
        <v>98.45</v>
      </c>
      <c r="Q31" s="2"/>
      <c r="R31" s="21"/>
      <c r="S31" s="2"/>
      <c r="T31" s="2"/>
      <c r="U31" s="2"/>
      <c r="V31" s="21"/>
      <c r="W31" s="2"/>
      <c r="X31" s="2">
        <f t="shared" si="2"/>
        <v>98.45</v>
      </c>
      <c r="Y31" s="2"/>
      <c r="Z31" s="21">
        <f t="shared" si="3"/>
        <v>0</v>
      </c>
    </row>
    <row r="32" spans="1:26" s="24" customFormat="1" hidden="1" outlineLevel="1" x14ac:dyDescent="0.25">
      <c r="A32" s="46"/>
      <c r="B32" s="11" t="str">
        <f>CONCATENATE("          ", "4037", " - ", "TAXABLE SALES-WATER")</f>
        <v xml:space="preserve">          4037 - TAXABLE SALES-WATER</v>
      </c>
      <c r="C32" s="11"/>
      <c r="D32" s="2">
        <f>--36.88</f>
        <v>36.880000000000003</v>
      </c>
      <c r="E32" s="2"/>
      <c r="F32" s="21"/>
      <c r="G32" s="2"/>
      <c r="H32" s="2"/>
      <c r="I32" s="2"/>
      <c r="J32" s="21"/>
      <c r="K32" s="2"/>
      <c r="L32" s="2">
        <f t="shared" si="0"/>
        <v>36.880000000000003</v>
      </c>
      <c r="M32" s="2"/>
      <c r="N32" s="21">
        <f t="shared" si="1"/>
        <v>0</v>
      </c>
      <c r="O32" s="11"/>
      <c r="P32" s="2">
        <f>--42.17</f>
        <v>42.17</v>
      </c>
      <c r="Q32" s="2"/>
      <c r="R32" s="21"/>
      <c r="S32" s="2"/>
      <c r="T32" s="2"/>
      <c r="U32" s="2"/>
      <c r="V32" s="21"/>
      <c r="W32" s="2"/>
      <c r="X32" s="2">
        <f t="shared" si="2"/>
        <v>42.17</v>
      </c>
      <c r="Y32" s="2"/>
      <c r="Z32" s="21">
        <f t="shared" si="3"/>
        <v>0</v>
      </c>
    </row>
    <row r="33" spans="1:26" s="24" customFormat="1" hidden="1" outlineLevel="1" x14ac:dyDescent="0.25">
      <c r="A33" s="46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--219441.66</f>
        <v>219441.66</v>
      </c>
      <c r="E33" s="2"/>
      <c r="F33" s="21"/>
      <c r="G33" s="2"/>
      <c r="H33" s="2"/>
      <c r="I33" s="2"/>
      <c r="J33" s="21"/>
      <c r="K33" s="2"/>
      <c r="L33" s="2">
        <f t="shared" si="0"/>
        <v>219441.66</v>
      </c>
      <c r="M33" s="2"/>
      <c r="N33" s="21">
        <f t="shared" si="1"/>
        <v>0</v>
      </c>
      <c r="O33" s="11"/>
      <c r="P33" s="2">
        <f>--389753.68</f>
        <v>389753.68</v>
      </c>
      <c r="Q33" s="2"/>
      <c r="R33" s="21"/>
      <c r="S33" s="2"/>
      <c r="T33" s="2"/>
      <c r="U33" s="2"/>
      <c r="V33" s="21"/>
      <c r="W33" s="2"/>
      <c r="X33" s="2">
        <f t="shared" si="2"/>
        <v>389753.68</v>
      </c>
      <c r="Y33" s="2"/>
      <c r="Z33" s="21">
        <f t="shared" si="3"/>
        <v>0</v>
      </c>
    </row>
    <row r="34" spans="1:26" s="24" customFormat="1" hidden="1" outlineLevel="1" x14ac:dyDescent="0.25">
      <c r="A34" s="46"/>
      <c r="B34" s="11" t="str">
        <f>CONCATENATE("          ", "4041", " - ", "TAXABLE SALES-LOGO GIFTS")</f>
        <v xml:space="preserve">          4041 - TAXABLE SALES-LOGO GIFTS</v>
      </c>
      <c r="C34" s="11"/>
      <c r="D34" s="2">
        <f>--120650.82</f>
        <v>120650.82</v>
      </c>
      <c r="E34" s="2"/>
      <c r="F34" s="21"/>
      <c r="G34" s="2"/>
      <c r="H34" s="2"/>
      <c r="I34" s="2"/>
      <c r="J34" s="21"/>
      <c r="K34" s="2"/>
      <c r="L34" s="2">
        <f t="shared" si="0"/>
        <v>120650.82</v>
      </c>
      <c r="M34" s="2"/>
      <c r="N34" s="21">
        <f t="shared" si="1"/>
        <v>0</v>
      </c>
      <c r="O34" s="11"/>
      <c r="P34" s="2">
        <f>--151692.41</f>
        <v>151692.41</v>
      </c>
      <c r="Q34" s="2"/>
      <c r="R34" s="21"/>
      <c r="S34" s="2"/>
      <c r="T34" s="2"/>
      <c r="U34" s="2"/>
      <c r="V34" s="21"/>
      <c r="W34" s="2"/>
      <c r="X34" s="2">
        <f t="shared" si="2"/>
        <v>151692.41</v>
      </c>
      <c r="Y34" s="2"/>
      <c r="Z34" s="21">
        <f t="shared" si="3"/>
        <v>0</v>
      </c>
    </row>
    <row r="35" spans="1:26" s="24" customFormat="1" hidden="1" outlineLevel="1" x14ac:dyDescent="0.25">
      <c r="A35" s="46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--44445.92</f>
        <v>44445.919999999998</v>
      </c>
      <c r="E35" s="2"/>
      <c r="F35" s="21"/>
      <c r="G35" s="2"/>
      <c r="H35" s="2"/>
      <c r="I35" s="2"/>
      <c r="J35" s="21"/>
      <c r="K35" s="2"/>
      <c r="L35" s="2">
        <f t="shared" si="0"/>
        <v>44445.919999999998</v>
      </c>
      <c r="M35" s="2"/>
      <c r="N35" s="21">
        <f t="shared" si="1"/>
        <v>0</v>
      </c>
      <c r="O35" s="11"/>
      <c r="P35" s="2">
        <f>--60038.97</f>
        <v>60038.97</v>
      </c>
      <c r="Q35" s="2"/>
      <c r="R35" s="21"/>
      <c r="S35" s="2"/>
      <c r="T35" s="2"/>
      <c r="U35" s="2"/>
      <c r="V35" s="21"/>
      <c r="W35" s="2"/>
      <c r="X35" s="2">
        <f t="shared" si="2"/>
        <v>60038.97</v>
      </c>
      <c r="Y35" s="2"/>
      <c r="Z35" s="21">
        <f t="shared" si="3"/>
        <v>0</v>
      </c>
    </row>
    <row r="36" spans="1:26" s="24" customFormat="1" hidden="1" outlineLevel="1" x14ac:dyDescent="0.25">
      <c r="A36" s="46"/>
      <c r="B36" s="11" t="str">
        <f>CONCATENATE("          ", "4043", " - ", "TAXABLE SALES-CARDS")</f>
        <v xml:space="preserve">          4043 - TAXABLE SALES-CARDS</v>
      </c>
      <c r="C36" s="11"/>
      <c r="D36" s="2">
        <f>--129.05</f>
        <v>129.05000000000001</v>
      </c>
      <c r="E36" s="2"/>
      <c r="F36" s="21"/>
      <c r="G36" s="2"/>
      <c r="H36" s="2"/>
      <c r="I36" s="2"/>
      <c r="J36" s="21"/>
      <c r="K36" s="2"/>
      <c r="L36" s="2">
        <f t="shared" si="0"/>
        <v>129.05000000000001</v>
      </c>
      <c r="M36" s="2"/>
      <c r="N36" s="21">
        <f t="shared" si="1"/>
        <v>0</v>
      </c>
      <c r="O36" s="11"/>
      <c r="P36" s="2">
        <f>--185.45</f>
        <v>185.45</v>
      </c>
      <c r="Q36" s="2"/>
      <c r="R36" s="21"/>
      <c r="S36" s="2"/>
      <c r="T36" s="2"/>
      <c r="U36" s="2"/>
      <c r="V36" s="21"/>
      <c r="W36" s="2"/>
      <c r="X36" s="2">
        <f t="shared" si="2"/>
        <v>185.45</v>
      </c>
      <c r="Y36" s="2"/>
      <c r="Z36" s="21">
        <f t="shared" si="3"/>
        <v>0</v>
      </c>
    </row>
    <row r="37" spans="1:26" s="24" customFormat="1" hidden="1" outlineLevel="1" x14ac:dyDescent="0.25">
      <c r="A37" s="46"/>
      <c r="B37" s="11" t="str">
        <f>CONCATENATE("          ", "4044", " - ", "TAXABLE SALES-ACCESSORIES")</f>
        <v xml:space="preserve">          4044 - TAXABLE SALES-ACCESSORIES</v>
      </c>
      <c r="C37" s="11"/>
      <c r="D37" s="2">
        <f>--19434.42</f>
        <v>19434.419999999998</v>
      </c>
      <c r="E37" s="2"/>
      <c r="F37" s="21"/>
      <c r="G37" s="2"/>
      <c r="H37" s="2"/>
      <c r="I37" s="2"/>
      <c r="J37" s="21"/>
      <c r="K37" s="2"/>
      <c r="L37" s="2">
        <f t="shared" si="0"/>
        <v>19434.419999999998</v>
      </c>
      <c r="M37" s="2"/>
      <c r="N37" s="21">
        <f t="shared" si="1"/>
        <v>0</v>
      </c>
      <c r="O37" s="11"/>
      <c r="P37" s="2">
        <f>--21777.07</f>
        <v>21777.07</v>
      </c>
      <c r="Q37" s="2"/>
      <c r="R37" s="21"/>
      <c r="S37" s="2"/>
      <c r="T37" s="2"/>
      <c r="U37" s="2"/>
      <c r="V37" s="21"/>
      <c r="W37" s="2"/>
      <c r="X37" s="2">
        <f t="shared" si="2"/>
        <v>21777.07</v>
      </c>
      <c r="Y37" s="2"/>
      <c r="Z37" s="21">
        <f t="shared" si="3"/>
        <v>0</v>
      </c>
    </row>
    <row r="38" spans="1:26" s="24" customFormat="1" hidden="1" outlineLevel="1" x14ac:dyDescent="0.25">
      <c r="A38" s="46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--6103.32</f>
        <v>6103.32</v>
      </c>
      <c r="E38" s="2"/>
      <c r="F38" s="21"/>
      <c r="G38" s="2"/>
      <c r="H38" s="2"/>
      <c r="I38" s="2"/>
      <c r="J38" s="21"/>
      <c r="K38" s="2"/>
      <c r="L38" s="2">
        <f t="shared" si="0"/>
        <v>6103.32</v>
      </c>
      <c r="M38" s="2"/>
      <c r="N38" s="21">
        <f t="shared" si="1"/>
        <v>0</v>
      </c>
      <c r="O38" s="11"/>
      <c r="P38" s="2">
        <f>--25524.04</f>
        <v>25524.04</v>
      </c>
      <c r="Q38" s="2"/>
      <c r="R38" s="21"/>
      <c r="S38" s="2"/>
      <c r="T38" s="2"/>
      <c r="U38" s="2"/>
      <c r="V38" s="21"/>
      <c r="W38" s="2"/>
      <c r="X38" s="2">
        <f t="shared" si="2"/>
        <v>25524.04</v>
      </c>
      <c r="Y38" s="2"/>
      <c r="Z38" s="21">
        <f t="shared" si="3"/>
        <v>0</v>
      </c>
    </row>
    <row r="39" spans="1:26" s="24" customFormat="1" hidden="1" outlineLevel="1" x14ac:dyDescent="0.25">
      <c r="A39" s="46"/>
      <c r="B39" s="11" t="str">
        <f>CONCATENATE("          ", "4047", " - ", "TAXABLE SALES-MISC")</f>
        <v xml:space="preserve">          4047 - TAXABLE SALES-MISC</v>
      </c>
      <c r="C39" s="11"/>
      <c r="D39" s="2">
        <f>--442.38</f>
        <v>442.38</v>
      </c>
      <c r="E39" s="2"/>
      <c r="F39" s="21"/>
      <c r="G39" s="2"/>
      <c r="H39" s="2"/>
      <c r="I39" s="2"/>
      <c r="J39" s="21"/>
      <c r="K39" s="2"/>
      <c r="L39" s="2">
        <f t="shared" si="0"/>
        <v>442.38</v>
      </c>
      <c r="M39" s="2"/>
      <c r="N39" s="21">
        <f t="shared" si="1"/>
        <v>0</v>
      </c>
      <c r="O39" s="11"/>
      <c r="P39" s="2">
        <f>--482.38</f>
        <v>482.38</v>
      </c>
      <c r="Q39" s="2"/>
      <c r="R39" s="21"/>
      <c r="S39" s="2"/>
      <c r="T39" s="2"/>
      <c r="U39" s="2"/>
      <c r="V39" s="21"/>
      <c r="W39" s="2"/>
      <c r="X39" s="2">
        <f t="shared" si="2"/>
        <v>482.38</v>
      </c>
      <c r="Y39" s="2"/>
      <c r="Z39" s="21">
        <f t="shared" si="3"/>
        <v>0</v>
      </c>
    </row>
    <row r="40" spans="1:26" s="24" customFormat="1" hidden="1" outlineLevel="1" x14ac:dyDescent="0.25">
      <c r="A40" s="46"/>
      <c r="B40" s="11" t="str">
        <f>CONCATENATE("          ", "4051", " - ", "TAXABLE SALES-FOOD")</f>
        <v xml:space="preserve">          4051 - TAXABLE SALES-FOOD</v>
      </c>
      <c r="C40" s="11"/>
      <c r="D40" s="2">
        <f>--7439.21</f>
        <v>7439.21</v>
      </c>
      <c r="E40" s="2"/>
      <c r="F40" s="21"/>
      <c r="G40" s="2"/>
      <c r="H40" s="2"/>
      <c r="I40" s="2"/>
      <c r="J40" s="21"/>
      <c r="K40" s="2"/>
      <c r="L40" s="2">
        <f t="shared" si="0"/>
        <v>7439.21</v>
      </c>
      <c r="M40" s="2"/>
      <c r="N40" s="21">
        <f t="shared" si="1"/>
        <v>0</v>
      </c>
      <c r="O40" s="11"/>
      <c r="P40" s="2">
        <f>--11166.88</f>
        <v>11166.88</v>
      </c>
      <c r="Q40" s="2"/>
      <c r="R40" s="21"/>
      <c r="S40" s="2"/>
      <c r="T40" s="2"/>
      <c r="U40" s="2"/>
      <c r="V40" s="21"/>
      <c r="W40" s="2"/>
      <c r="X40" s="2">
        <f t="shared" si="2"/>
        <v>11166.88</v>
      </c>
      <c r="Y40" s="2"/>
      <c r="Z40" s="21">
        <f t="shared" si="3"/>
        <v>0</v>
      </c>
    </row>
    <row r="41" spans="1:26" s="24" customFormat="1" hidden="1" outlineLevel="1" x14ac:dyDescent="0.25">
      <c r="A41" s="46"/>
      <c r="B41" s="11" t="str">
        <f>CONCATENATE("          ", "4081", " - ", "TAXABLE SALES-ELECTRONICS")</f>
        <v xml:space="preserve">          4081 - TAXABLE SALES-ELECTRONICS</v>
      </c>
      <c r="C41" s="11"/>
      <c r="D41" s="2">
        <f>--260.88</f>
        <v>260.88</v>
      </c>
      <c r="E41" s="2"/>
      <c r="F41" s="21"/>
      <c r="G41" s="2"/>
      <c r="H41" s="2"/>
      <c r="I41" s="2"/>
      <c r="J41" s="21"/>
      <c r="K41" s="2"/>
      <c r="L41" s="2">
        <f t="shared" si="0"/>
        <v>260.88</v>
      </c>
      <c r="M41" s="2"/>
      <c r="N41" s="21">
        <f t="shared" si="1"/>
        <v>0</v>
      </c>
      <c r="O41" s="11"/>
      <c r="P41" s="2">
        <f>--268.86</f>
        <v>268.86</v>
      </c>
      <c r="Q41" s="2"/>
      <c r="R41" s="21"/>
      <c r="S41" s="2"/>
      <c r="T41" s="2"/>
      <c r="U41" s="2"/>
      <c r="V41" s="21"/>
      <c r="W41" s="2"/>
      <c r="X41" s="2">
        <f t="shared" si="2"/>
        <v>268.86</v>
      </c>
      <c r="Y41" s="2"/>
      <c r="Z41" s="21">
        <f t="shared" si="3"/>
        <v>0</v>
      </c>
    </row>
    <row r="42" spans="1:26" s="24" customFormat="1" hidden="1" outlineLevel="1" x14ac:dyDescent="0.25">
      <c r="A42" s="46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>--19</f>
        <v>19</v>
      </c>
      <c r="E42" s="2"/>
      <c r="F42" s="21"/>
      <c r="G42" s="2"/>
      <c r="H42" s="2"/>
      <c r="I42" s="2"/>
      <c r="J42" s="21"/>
      <c r="K42" s="2"/>
      <c r="L42" s="2">
        <f t="shared" si="0"/>
        <v>19</v>
      </c>
      <c r="M42" s="2"/>
      <c r="N42" s="21">
        <f t="shared" si="1"/>
        <v>0</v>
      </c>
      <c r="O42" s="11"/>
      <c r="P42" s="2">
        <f>--38</f>
        <v>38</v>
      </c>
      <c r="Q42" s="2"/>
      <c r="R42" s="21"/>
      <c r="S42" s="2"/>
      <c r="T42" s="2"/>
      <c r="U42" s="2"/>
      <c r="V42" s="21"/>
      <c r="W42" s="2"/>
      <c r="X42" s="2">
        <f t="shared" si="2"/>
        <v>38</v>
      </c>
      <c r="Y42" s="2"/>
      <c r="Z42" s="21">
        <f t="shared" si="3"/>
        <v>0</v>
      </c>
    </row>
    <row r="43" spans="1:26" s="24" customFormat="1" hidden="1" outlineLevel="1" x14ac:dyDescent="0.25">
      <c r="A43" s="46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>--29.98</f>
        <v>29.98</v>
      </c>
      <c r="E43" s="2"/>
      <c r="F43" s="21"/>
      <c r="G43" s="2"/>
      <c r="H43" s="2"/>
      <c r="I43" s="2"/>
      <c r="J43" s="21"/>
      <c r="K43" s="2"/>
      <c r="L43" s="2">
        <f t="shared" si="0"/>
        <v>29.98</v>
      </c>
      <c r="M43" s="2"/>
      <c r="N43" s="21">
        <f t="shared" si="1"/>
        <v>0</v>
      </c>
      <c r="O43" s="11"/>
      <c r="P43" s="2">
        <f>--29.98</f>
        <v>29.98</v>
      </c>
      <c r="Q43" s="2"/>
      <c r="R43" s="21"/>
      <c r="S43" s="2"/>
      <c r="T43" s="2"/>
      <c r="U43" s="2"/>
      <c r="V43" s="21"/>
      <c r="W43" s="2"/>
      <c r="X43" s="2">
        <f t="shared" si="2"/>
        <v>29.98</v>
      </c>
      <c r="Y43" s="2"/>
      <c r="Z43" s="21">
        <f t="shared" si="3"/>
        <v>0</v>
      </c>
    </row>
    <row r="44" spans="1:26" s="24" customFormat="1" hidden="1" outlineLevel="1" x14ac:dyDescent="0.25">
      <c r="A44" s="46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>--93.96</f>
        <v>93.96</v>
      </c>
      <c r="E44" s="2"/>
      <c r="F44" s="21"/>
      <c r="G44" s="2"/>
      <c r="H44" s="2"/>
      <c r="I44" s="2"/>
      <c r="J44" s="21"/>
      <c r="K44" s="2"/>
      <c r="L44" s="2">
        <f t="shared" si="0"/>
        <v>93.96</v>
      </c>
      <c r="M44" s="2"/>
      <c r="N44" s="21">
        <f t="shared" si="1"/>
        <v>0</v>
      </c>
      <c r="O44" s="11"/>
      <c r="P44" s="2">
        <f>--108.95</f>
        <v>108.95</v>
      </c>
      <c r="Q44" s="2"/>
      <c r="R44" s="21"/>
      <c r="S44" s="2"/>
      <c r="T44" s="2"/>
      <c r="U44" s="2"/>
      <c r="V44" s="21"/>
      <c r="W44" s="2"/>
      <c r="X44" s="2">
        <f t="shared" si="2"/>
        <v>108.95</v>
      </c>
      <c r="Y44" s="2"/>
      <c r="Z44" s="21">
        <f t="shared" si="3"/>
        <v>0</v>
      </c>
    </row>
    <row r="45" spans="1:26" s="24" customFormat="1" hidden="1" outlineLevel="1" x14ac:dyDescent="0.25">
      <c r="A45" s="46"/>
      <c r="B45" s="11" t="str">
        <f>CONCATENATE("          ", "4092", " - ", "TAXABLE SALES-GRAD MERCH")</f>
        <v xml:space="preserve">          4092 - TAXABLE SALES-GRAD MERCH</v>
      </c>
      <c r="C45" s="11"/>
      <c r="D45" s="2">
        <f>--1694.1</f>
        <v>1694.1</v>
      </c>
      <c r="E45" s="2"/>
      <c r="F45" s="21"/>
      <c r="G45" s="2"/>
      <c r="H45" s="2"/>
      <c r="I45" s="2"/>
      <c r="J45" s="21"/>
      <c r="K45" s="2"/>
      <c r="L45" s="2">
        <f t="shared" si="0"/>
        <v>1694.1</v>
      </c>
      <c r="M45" s="2"/>
      <c r="N45" s="21">
        <f t="shared" si="1"/>
        <v>0</v>
      </c>
      <c r="O45" s="11"/>
      <c r="P45" s="2">
        <f>--3822.73</f>
        <v>3822.73</v>
      </c>
      <c r="Q45" s="2"/>
      <c r="R45" s="21"/>
      <c r="S45" s="2"/>
      <c r="T45" s="2"/>
      <c r="U45" s="2"/>
      <c r="V45" s="21"/>
      <c r="W45" s="2"/>
      <c r="X45" s="2">
        <f t="shared" si="2"/>
        <v>3822.73</v>
      </c>
      <c r="Y45" s="2"/>
      <c r="Z45" s="21">
        <f t="shared" si="3"/>
        <v>0</v>
      </c>
    </row>
    <row r="46" spans="1:26" s="24" customFormat="1" hidden="1" outlineLevel="1" x14ac:dyDescent="0.25">
      <c r="A46" s="46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>--127.49</f>
        <v>127.49</v>
      </c>
      <c r="E46" s="2"/>
      <c r="F46" s="21"/>
      <c r="G46" s="2"/>
      <c r="H46" s="2"/>
      <c r="I46" s="2"/>
      <c r="J46" s="21"/>
      <c r="K46" s="2"/>
      <c r="L46" s="2">
        <f t="shared" si="0"/>
        <v>127.49</v>
      </c>
      <c r="M46" s="2"/>
      <c r="N46" s="21">
        <f t="shared" si="1"/>
        <v>0</v>
      </c>
      <c r="O46" s="11"/>
      <c r="P46" s="2">
        <f>--174.02</f>
        <v>174.02</v>
      </c>
      <c r="Q46" s="2"/>
      <c r="R46" s="21"/>
      <c r="S46" s="2"/>
      <c r="T46" s="2"/>
      <c r="U46" s="2"/>
      <c r="V46" s="21"/>
      <c r="W46" s="2"/>
      <c r="X46" s="2">
        <f t="shared" si="2"/>
        <v>174.02</v>
      </c>
      <c r="Y46" s="2"/>
      <c r="Z46" s="21">
        <f t="shared" si="3"/>
        <v>0</v>
      </c>
    </row>
    <row r="47" spans="1:26" s="24" customFormat="1" hidden="1" outlineLevel="1" x14ac:dyDescent="0.25">
      <c r="A47" s="46"/>
      <c r="B47" s="11" t="str">
        <f>CONCATENATE("          ", "4100", " - ", "NON-TAXABLE SALES")</f>
        <v xml:space="preserve">          4100 - NON-TAXABLE SALES</v>
      </c>
      <c r="C47" s="11"/>
      <c r="D47" s="2">
        <f>--261252.23</f>
        <v>261252.23</v>
      </c>
      <c r="E47" s="2"/>
      <c r="F47" s="21"/>
      <c r="G47" s="2"/>
      <c r="H47" s="2">
        <v>2459521</v>
      </c>
      <c r="I47" s="2"/>
      <c r="J47" s="21"/>
      <c r="K47" s="2"/>
      <c r="L47" s="2">
        <f t="shared" si="0"/>
        <v>-2198268.77</v>
      </c>
      <c r="M47" s="2"/>
      <c r="N47" s="21">
        <f t="shared" si="1"/>
        <v>-0.89377922367810647</v>
      </c>
      <c r="O47" s="11"/>
      <c r="P47" s="2">
        <f>--265514.43</f>
        <v>265514.43</v>
      </c>
      <c r="Q47" s="2"/>
      <c r="R47" s="21"/>
      <c r="S47" s="2"/>
      <c r="T47" s="2">
        <v>2637507</v>
      </c>
      <c r="U47" s="2"/>
      <c r="V47" s="21"/>
      <c r="W47" s="2"/>
      <c r="X47" s="2">
        <f t="shared" si="2"/>
        <v>-2371992.5699999998</v>
      </c>
      <c r="Y47" s="2"/>
      <c r="Z47" s="21">
        <f t="shared" si="3"/>
        <v>-0.89933128897856951</v>
      </c>
    </row>
    <row r="48" spans="1:26" s="24" customFormat="1" hidden="1" outlineLevel="1" x14ac:dyDescent="0.25">
      <c r="A48" s="46"/>
      <c r="B48" s="11" t="str">
        <f>CONCATENATE("          ", "4101", " - ", "NON-TAXABLE SALES-NEW TEXT")</f>
        <v xml:space="preserve">          4101 - NON-TAXABLE SALES-NEW TEXT</v>
      </c>
      <c r="C48" s="11"/>
      <c r="D48" s="2">
        <f>--48156.44</f>
        <v>48156.44</v>
      </c>
      <c r="E48" s="2"/>
      <c r="F48" s="21"/>
      <c r="G48" s="2"/>
      <c r="H48" s="2"/>
      <c r="I48" s="2"/>
      <c r="J48" s="21"/>
      <c r="K48" s="2"/>
      <c r="L48" s="2">
        <f t="shared" si="0"/>
        <v>48156.44</v>
      </c>
      <c r="M48" s="2"/>
      <c r="N48" s="21">
        <f t="shared" si="1"/>
        <v>0</v>
      </c>
      <c r="O48" s="11"/>
      <c r="P48" s="2">
        <f>--55893.02</f>
        <v>55893.02</v>
      </c>
      <c r="Q48" s="2"/>
      <c r="R48" s="21"/>
      <c r="S48" s="2"/>
      <c r="T48" s="2"/>
      <c r="U48" s="2"/>
      <c r="V48" s="21"/>
      <c r="W48" s="2"/>
      <c r="X48" s="2">
        <f t="shared" si="2"/>
        <v>55893.02</v>
      </c>
      <c r="Y48" s="2"/>
      <c r="Z48" s="21">
        <f t="shared" si="3"/>
        <v>0</v>
      </c>
    </row>
    <row r="49" spans="1:26" s="24" customFormat="1" hidden="1" outlineLevel="1" x14ac:dyDescent="0.25">
      <c r="A49" s="46"/>
      <c r="B49" s="11" t="str">
        <f>CONCATENATE("          ", "4102", " - ", "NON-TAXABLE SALES-USED TEXT")</f>
        <v xml:space="preserve">          4102 - NON-TAXABLE SALES-USED TEXT</v>
      </c>
      <c r="C49" s="11"/>
      <c r="D49" s="2">
        <f>--27115.09</f>
        <v>27115.09</v>
      </c>
      <c r="E49" s="2"/>
      <c r="F49" s="21"/>
      <c r="G49" s="2"/>
      <c r="H49" s="2"/>
      <c r="I49" s="2"/>
      <c r="J49" s="21"/>
      <c r="K49" s="2"/>
      <c r="L49" s="2">
        <f t="shared" si="0"/>
        <v>27115.09</v>
      </c>
      <c r="M49" s="2"/>
      <c r="N49" s="21">
        <f t="shared" si="1"/>
        <v>0</v>
      </c>
      <c r="O49" s="11"/>
      <c r="P49" s="2">
        <f>--32474.33</f>
        <v>32474.33</v>
      </c>
      <c r="Q49" s="2"/>
      <c r="R49" s="21"/>
      <c r="S49" s="2"/>
      <c r="T49" s="2"/>
      <c r="U49" s="2"/>
      <c r="V49" s="21"/>
      <c r="W49" s="2"/>
      <c r="X49" s="2">
        <f t="shared" si="2"/>
        <v>32474.33</v>
      </c>
      <c r="Y49" s="2"/>
      <c r="Z49" s="21">
        <f t="shared" si="3"/>
        <v>0</v>
      </c>
    </row>
    <row r="50" spans="1:26" s="24" customFormat="1" hidden="1" outlineLevel="1" x14ac:dyDescent="0.25">
      <c r="A50" s="46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--474.97</f>
        <v>474.97</v>
      </c>
      <c r="E50" s="2"/>
      <c r="F50" s="21"/>
      <c r="G50" s="2"/>
      <c r="H50" s="2"/>
      <c r="I50" s="2"/>
      <c r="J50" s="21"/>
      <c r="K50" s="2"/>
      <c r="L50" s="2">
        <f t="shared" si="0"/>
        <v>474.97</v>
      </c>
      <c r="M50" s="2"/>
      <c r="N50" s="21">
        <f t="shared" si="1"/>
        <v>0</v>
      </c>
      <c r="O50" s="11"/>
      <c r="P50" s="2">
        <f>--474.97</f>
        <v>474.97</v>
      </c>
      <c r="Q50" s="2"/>
      <c r="R50" s="21"/>
      <c r="S50" s="2"/>
      <c r="T50" s="2"/>
      <c r="U50" s="2"/>
      <c r="V50" s="21"/>
      <c r="W50" s="2"/>
      <c r="X50" s="2">
        <f t="shared" si="2"/>
        <v>474.97</v>
      </c>
      <c r="Y50" s="2"/>
      <c r="Z50" s="21">
        <f t="shared" si="3"/>
        <v>0</v>
      </c>
    </row>
    <row r="51" spans="1:26" s="24" customFormat="1" hidden="1" outlineLevel="1" x14ac:dyDescent="0.25">
      <c r="A51" s="46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--246443.9</f>
        <v>246443.9</v>
      </c>
      <c r="E51" s="2"/>
      <c r="F51" s="21"/>
      <c r="G51" s="2"/>
      <c r="H51" s="2"/>
      <c r="I51" s="2"/>
      <c r="J51" s="21"/>
      <c r="K51" s="2"/>
      <c r="L51" s="2">
        <f t="shared" si="0"/>
        <v>246443.9</v>
      </c>
      <c r="M51" s="2"/>
      <c r="N51" s="21">
        <f t="shared" si="1"/>
        <v>0</v>
      </c>
      <c r="O51" s="11"/>
      <c r="P51" s="2">
        <f>--259868.07</f>
        <v>259868.07</v>
      </c>
      <c r="Q51" s="2"/>
      <c r="R51" s="21"/>
      <c r="S51" s="2"/>
      <c r="T51" s="2"/>
      <c r="U51" s="2"/>
      <c r="V51" s="21"/>
      <c r="W51" s="2"/>
      <c r="X51" s="2">
        <f t="shared" si="2"/>
        <v>259868.07</v>
      </c>
      <c r="Y51" s="2"/>
      <c r="Z51" s="21">
        <f t="shared" si="3"/>
        <v>0</v>
      </c>
    </row>
    <row r="52" spans="1:26" s="24" customFormat="1" hidden="1" outlineLevel="1" x14ac:dyDescent="0.25">
      <c r="A52" s="46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>--3067.16</f>
        <v>3067.16</v>
      </c>
      <c r="E52" s="2"/>
      <c r="F52" s="21"/>
      <c r="G52" s="2"/>
      <c r="H52" s="2"/>
      <c r="I52" s="2"/>
      <c r="J52" s="21"/>
      <c r="K52" s="2"/>
      <c r="L52" s="2">
        <f t="shared" si="0"/>
        <v>3067.16</v>
      </c>
      <c r="M52" s="2"/>
      <c r="N52" s="21">
        <f t="shared" si="1"/>
        <v>0</v>
      </c>
      <c r="O52" s="11"/>
      <c r="P52" s="2">
        <f>--5748.11</f>
        <v>5748.11</v>
      </c>
      <c r="Q52" s="2"/>
      <c r="R52" s="21"/>
      <c r="S52" s="2"/>
      <c r="T52" s="2"/>
      <c r="U52" s="2"/>
      <c r="V52" s="21"/>
      <c r="W52" s="2"/>
      <c r="X52" s="2">
        <f t="shared" si="2"/>
        <v>5748.11</v>
      </c>
      <c r="Y52" s="2"/>
      <c r="Z52" s="21">
        <f t="shared" si="3"/>
        <v>0</v>
      </c>
    </row>
    <row r="53" spans="1:26" s="24" customFormat="1" hidden="1" outlineLevel="1" x14ac:dyDescent="0.25">
      <c r="A53" s="46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>--12.72</f>
        <v>12.72</v>
      </c>
      <c r="E53" s="2"/>
      <c r="F53" s="21"/>
      <c r="G53" s="2"/>
      <c r="H53" s="2"/>
      <c r="I53" s="2"/>
      <c r="J53" s="21"/>
      <c r="K53" s="2"/>
      <c r="L53" s="2">
        <f t="shared" si="0"/>
        <v>12.72</v>
      </c>
      <c r="M53" s="2"/>
      <c r="N53" s="21">
        <f t="shared" si="1"/>
        <v>0</v>
      </c>
      <c r="O53" s="11"/>
      <c r="P53" s="2">
        <f>--1146.72</f>
        <v>1146.72</v>
      </c>
      <c r="Q53" s="2"/>
      <c r="R53" s="21"/>
      <c r="S53" s="2"/>
      <c r="T53" s="2"/>
      <c r="U53" s="2"/>
      <c r="V53" s="21"/>
      <c r="W53" s="2"/>
      <c r="X53" s="2">
        <f t="shared" si="2"/>
        <v>1146.72</v>
      </c>
      <c r="Y53" s="2"/>
      <c r="Z53" s="21">
        <f t="shared" si="3"/>
        <v>0</v>
      </c>
    </row>
    <row r="54" spans="1:26" s="24" customFormat="1" hidden="1" outlineLevel="1" x14ac:dyDescent="0.25">
      <c r="A54" s="46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--7.02</f>
        <v>7.02</v>
      </c>
      <c r="E54" s="2"/>
      <c r="F54" s="21"/>
      <c r="G54" s="2"/>
      <c r="H54" s="2"/>
      <c r="I54" s="2"/>
      <c r="J54" s="21"/>
      <c r="K54" s="2"/>
      <c r="L54" s="2">
        <f t="shared" si="0"/>
        <v>7.02</v>
      </c>
      <c r="M54" s="2"/>
      <c r="N54" s="21">
        <f t="shared" si="1"/>
        <v>0</v>
      </c>
      <c r="O54" s="11"/>
      <c r="P54" s="2">
        <f>--13.97</f>
        <v>13.97</v>
      </c>
      <c r="Q54" s="2"/>
      <c r="R54" s="21"/>
      <c r="S54" s="2"/>
      <c r="T54" s="2"/>
      <c r="U54" s="2"/>
      <c r="V54" s="21"/>
      <c r="W54" s="2"/>
      <c r="X54" s="2">
        <f t="shared" si="2"/>
        <v>13.97</v>
      </c>
      <c r="Y54" s="2"/>
      <c r="Z54" s="21">
        <f t="shared" si="3"/>
        <v>0</v>
      </c>
    </row>
    <row r="55" spans="1:26" s="24" customFormat="1" hidden="1" outlineLevel="1" x14ac:dyDescent="0.25">
      <c r="A55" s="46"/>
      <c r="B55" s="11" t="str">
        <f>CONCATENATE("          ", "4125", " - ", "NON-TAXABLE SALES-TEST FORMS")</f>
        <v xml:space="preserve">          4125 - NON-TAXABLE SALES-TEST FORMS</v>
      </c>
      <c r="C55" s="11"/>
      <c r="D55" s="2">
        <f>--77.17</f>
        <v>77.17</v>
      </c>
      <c r="E55" s="2"/>
      <c r="F55" s="21"/>
      <c r="G55" s="2"/>
      <c r="H55" s="2"/>
      <c r="I55" s="2"/>
      <c r="J55" s="21"/>
      <c r="K55" s="2"/>
      <c r="L55" s="2">
        <f t="shared" si="0"/>
        <v>77.17</v>
      </c>
      <c r="M55" s="2"/>
      <c r="N55" s="21">
        <f t="shared" si="1"/>
        <v>0</v>
      </c>
      <c r="O55" s="11"/>
      <c r="P55" s="2">
        <f>--82.15</f>
        <v>82.15</v>
      </c>
      <c r="Q55" s="2"/>
      <c r="R55" s="21"/>
      <c r="S55" s="2"/>
      <c r="T55" s="2"/>
      <c r="U55" s="2"/>
      <c r="V55" s="21"/>
      <c r="W55" s="2"/>
      <c r="X55" s="2">
        <f t="shared" si="2"/>
        <v>82.15</v>
      </c>
      <c r="Y55" s="2"/>
      <c r="Z55" s="21">
        <f t="shared" si="3"/>
        <v>0</v>
      </c>
    </row>
    <row r="56" spans="1:26" s="24" customFormat="1" hidden="1" outlineLevel="1" x14ac:dyDescent="0.25">
      <c r="A56" s="46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>--844.09</f>
        <v>844.09</v>
      </c>
      <c r="E56" s="2"/>
      <c r="F56" s="21"/>
      <c r="G56" s="2"/>
      <c r="H56" s="2"/>
      <c r="I56" s="2"/>
      <c r="J56" s="21"/>
      <c r="K56" s="2"/>
      <c r="L56" s="2">
        <f t="shared" si="0"/>
        <v>844.09</v>
      </c>
      <c r="M56" s="2"/>
      <c r="N56" s="21">
        <f t="shared" si="1"/>
        <v>0</v>
      </c>
      <c r="O56" s="11"/>
      <c r="P56" s="2">
        <f>--1011.12</f>
        <v>1011.12</v>
      </c>
      <c r="Q56" s="2"/>
      <c r="R56" s="21"/>
      <c r="S56" s="2"/>
      <c r="T56" s="2"/>
      <c r="U56" s="2"/>
      <c r="V56" s="21"/>
      <c r="W56" s="2"/>
      <c r="X56" s="2">
        <f t="shared" si="2"/>
        <v>1011.12</v>
      </c>
      <c r="Y56" s="2"/>
      <c r="Z56" s="21">
        <f t="shared" si="3"/>
        <v>0</v>
      </c>
    </row>
    <row r="57" spans="1:26" s="24" customFormat="1" hidden="1" outlineLevel="1" x14ac:dyDescent="0.25">
      <c r="A57" s="46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--1692.39</f>
        <v>1692.39</v>
      </c>
      <c r="E57" s="2"/>
      <c r="F57" s="21"/>
      <c r="G57" s="2"/>
      <c r="H57" s="2"/>
      <c r="I57" s="2"/>
      <c r="J57" s="21"/>
      <c r="K57" s="2"/>
      <c r="L57" s="2">
        <f t="shared" si="0"/>
        <v>1692.39</v>
      </c>
      <c r="M57" s="2"/>
      <c r="N57" s="21">
        <f t="shared" si="1"/>
        <v>0</v>
      </c>
      <c r="O57" s="11"/>
      <c r="P57" s="2">
        <f>--1870.28</f>
        <v>1870.28</v>
      </c>
      <c r="Q57" s="2"/>
      <c r="R57" s="21"/>
      <c r="S57" s="2"/>
      <c r="T57" s="2"/>
      <c r="U57" s="2"/>
      <c r="V57" s="21"/>
      <c r="W57" s="2"/>
      <c r="X57" s="2">
        <f t="shared" si="2"/>
        <v>1870.28</v>
      </c>
      <c r="Y57" s="2"/>
      <c r="Z57" s="21">
        <f t="shared" si="3"/>
        <v>0</v>
      </c>
    </row>
    <row r="58" spans="1:26" s="24" customFormat="1" hidden="1" outlineLevel="1" x14ac:dyDescent="0.25">
      <c r="A58" s="46"/>
      <c r="B58" s="11" t="str">
        <f>CONCATENATE("          ", "4128", " - ", "NON-TAXABLE SALES-ART/TECH")</f>
        <v xml:space="preserve">          4128 - NON-TAXABLE SALES-ART/TECH</v>
      </c>
      <c r="C58" s="11"/>
      <c r="D58" s="2">
        <f>--128.61</f>
        <v>128.61000000000001</v>
      </c>
      <c r="E58" s="2"/>
      <c r="F58" s="21"/>
      <c r="G58" s="2"/>
      <c r="H58" s="2"/>
      <c r="I58" s="2"/>
      <c r="J58" s="21"/>
      <c r="K58" s="2"/>
      <c r="L58" s="2">
        <f t="shared" si="0"/>
        <v>128.61000000000001</v>
      </c>
      <c r="M58" s="2"/>
      <c r="N58" s="21">
        <f t="shared" si="1"/>
        <v>0</v>
      </c>
      <c r="O58" s="11"/>
      <c r="P58" s="2">
        <f>--130.1</f>
        <v>130.1</v>
      </c>
      <c r="Q58" s="2"/>
      <c r="R58" s="21"/>
      <c r="S58" s="2"/>
      <c r="T58" s="2"/>
      <c r="U58" s="2"/>
      <c r="V58" s="21"/>
      <c r="W58" s="2"/>
      <c r="X58" s="2">
        <f t="shared" si="2"/>
        <v>130.1</v>
      </c>
      <c r="Y58" s="2"/>
      <c r="Z58" s="21">
        <f t="shared" si="3"/>
        <v>0</v>
      </c>
    </row>
    <row r="59" spans="1:26" s="24" customFormat="1" hidden="1" outlineLevel="1" x14ac:dyDescent="0.25">
      <c r="A59" s="46"/>
      <c r="B59" s="11" t="str">
        <f>CONCATENATE("          ", "4131", " - ", "NON-TAXABLE SALES-FOOD")</f>
        <v xml:space="preserve">          4131 - NON-TAXABLE SALES-FOOD</v>
      </c>
      <c r="C59" s="11"/>
      <c r="D59" s="2">
        <f>--2447.58</f>
        <v>2447.58</v>
      </c>
      <c r="E59" s="2"/>
      <c r="F59" s="21"/>
      <c r="G59" s="2"/>
      <c r="H59" s="2"/>
      <c r="I59" s="2"/>
      <c r="J59" s="21"/>
      <c r="K59" s="2"/>
      <c r="L59" s="2">
        <f t="shared" si="0"/>
        <v>2447.58</v>
      </c>
      <c r="M59" s="2"/>
      <c r="N59" s="21">
        <f t="shared" si="1"/>
        <v>0</v>
      </c>
      <c r="O59" s="11"/>
      <c r="P59" s="2">
        <f>--2717.2</f>
        <v>2717.2</v>
      </c>
      <c r="Q59" s="2"/>
      <c r="R59" s="21"/>
      <c r="S59" s="2"/>
      <c r="T59" s="2"/>
      <c r="U59" s="2"/>
      <c r="V59" s="21"/>
      <c r="W59" s="2"/>
      <c r="X59" s="2">
        <f t="shared" si="2"/>
        <v>2717.2</v>
      </c>
      <c r="Y59" s="2"/>
      <c r="Z59" s="21">
        <f t="shared" si="3"/>
        <v>0</v>
      </c>
    </row>
    <row r="60" spans="1:26" s="24" customFormat="1" hidden="1" outlineLevel="1" x14ac:dyDescent="0.25">
      <c r="A60" s="46"/>
      <c r="B60" s="11" t="str">
        <f>CONCATENATE("          ", "4132", " - ", "NON-TAXABLE SALES-JUICE")</f>
        <v xml:space="preserve">          4132 - NON-TAXABLE SALES-JUICE</v>
      </c>
      <c r="C60" s="11"/>
      <c r="D60" s="2">
        <f>--62624.81</f>
        <v>62624.81</v>
      </c>
      <c r="E60" s="2"/>
      <c r="F60" s="21"/>
      <c r="G60" s="2"/>
      <c r="H60" s="2"/>
      <c r="I60" s="2"/>
      <c r="J60" s="21"/>
      <c r="K60" s="2"/>
      <c r="L60" s="2">
        <f t="shared" si="0"/>
        <v>62624.81</v>
      </c>
      <c r="M60" s="2"/>
      <c r="N60" s="21">
        <f t="shared" si="1"/>
        <v>0</v>
      </c>
      <c r="O60" s="11"/>
      <c r="P60" s="2">
        <f>--94757.75</f>
        <v>94757.75</v>
      </c>
      <c r="Q60" s="2"/>
      <c r="R60" s="21"/>
      <c r="S60" s="2"/>
      <c r="T60" s="2"/>
      <c r="U60" s="2"/>
      <c r="V60" s="21"/>
      <c r="W60" s="2"/>
      <c r="X60" s="2">
        <f t="shared" si="2"/>
        <v>94757.75</v>
      </c>
      <c r="Y60" s="2"/>
      <c r="Z60" s="21">
        <f t="shared" si="3"/>
        <v>0</v>
      </c>
    </row>
    <row r="61" spans="1:26" s="24" customFormat="1" hidden="1" outlineLevel="1" x14ac:dyDescent="0.25">
      <c r="A61" s="46"/>
      <c r="B61" s="11" t="str">
        <f>CONCATENATE("          ", "4133", " - ", "NON-TAXABLE SALES-CANDY")</f>
        <v xml:space="preserve">          4133 - NON-TAXABLE SALES-CANDY</v>
      </c>
      <c r="C61" s="11"/>
      <c r="D61" s="2">
        <f>--900.13</f>
        <v>900.13</v>
      </c>
      <c r="E61" s="2"/>
      <c r="F61" s="21"/>
      <c r="G61" s="2"/>
      <c r="H61" s="2"/>
      <c r="I61" s="2"/>
      <c r="J61" s="21"/>
      <c r="K61" s="2"/>
      <c r="L61" s="2">
        <f t="shared" si="0"/>
        <v>900.13</v>
      </c>
      <c r="M61" s="2"/>
      <c r="N61" s="21">
        <f t="shared" si="1"/>
        <v>0</v>
      </c>
      <c r="O61" s="11"/>
      <c r="P61" s="2">
        <f>--1372.35</f>
        <v>1372.35</v>
      </c>
      <c r="Q61" s="2"/>
      <c r="R61" s="21"/>
      <c r="S61" s="2"/>
      <c r="T61" s="2"/>
      <c r="U61" s="2"/>
      <c r="V61" s="21"/>
      <c r="W61" s="2"/>
      <c r="X61" s="2">
        <f t="shared" si="2"/>
        <v>1372.35</v>
      </c>
      <c r="Y61" s="2"/>
      <c r="Z61" s="21">
        <f t="shared" si="3"/>
        <v>0</v>
      </c>
    </row>
    <row r="62" spans="1:26" s="24" customFormat="1" hidden="1" outlineLevel="1" x14ac:dyDescent="0.25">
      <c r="A62" s="46"/>
      <c r="B62" s="11" t="str">
        <f>CONCATENATE("          ", "4134", " - ", "NON-TAXABLE SALES-SODA")</f>
        <v xml:space="preserve">          4134 - NON-TAXABLE SALES-SODA</v>
      </c>
      <c r="C62" s="11"/>
      <c r="D62" s="2">
        <f>0</f>
        <v>0</v>
      </c>
      <c r="E62" s="2"/>
      <c r="F62" s="21"/>
      <c r="G62" s="2"/>
      <c r="H62" s="2"/>
      <c r="I62" s="2"/>
      <c r="J62" s="21"/>
      <c r="K62" s="2"/>
      <c r="L62" s="2">
        <f t="shared" si="0"/>
        <v>0</v>
      </c>
      <c r="M62" s="2"/>
      <c r="N62" s="21">
        <f t="shared" si="1"/>
        <v>0</v>
      </c>
      <c r="O62" s="11"/>
      <c r="P62" s="2">
        <f>-3.39</f>
        <v>-3.39</v>
      </c>
      <c r="Q62" s="2"/>
      <c r="R62" s="21"/>
      <c r="S62" s="2"/>
      <c r="T62" s="2"/>
      <c r="U62" s="2"/>
      <c r="V62" s="21"/>
      <c r="W62" s="2"/>
      <c r="X62" s="2">
        <f t="shared" si="2"/>
        <v>-3.39</v>
      </c>
      <c r="Y62" s="2"/>
      <c r="Z62" s="21">
        <f t="shared" si="3"/>
        <v>0</v>
      </c>
    </row>
    <row r="63" spans="1:26" s="24" customFormat="1" hidden="1" outlineLevel="1" x14ac:dyDescent="0.25">
      <c r="A63" s="46"/>
      <c r="B63" s="11" t="str">
        <f>CONCATENATE("          ", "4135", " - ", "NON-TAXABLE SALES")</f>
        <v xml:space="preserve">          4135 - NON-TAXABLE SALES</v>
      </c>
      <c r="C63" s="11"/>
      <c r="D63" s="2">
        <f>--32.21</f>
        <v>32.21</v>
      </c>
      <c r="E63" s="2"/>
      <c r="F63" s="21"/>
      <c r="G63" s="2"/>
      <c r="H63" s="2"/>
      <c r="I63" s="2"/>
      <c r="J63" s="21"/>
      <c r="K63" s="2"/>
      <c r="L63" s="2">
        <f t="shared" si="0"/>
        <v>32.21</v>
      </c>
      <c r="M63" s="2"/>
      <c r="N63" s="21">
        <f t="shared" si="1"/>
        <v>0</v>
      </c>
      <c r="O63" s="11"/>
      <c r="P63" s="2">
        <f>--53.75</f>
        <v>53.75</v>
      </c>
      <c r="Q63" s="2"/>
      <c r="R63" s="21"/>
      <c r="S63" s="2"/>
      <c r="T63" s="2"/>
      <c r="U63" s="2"/>
      <c r="V63" s="21"/>
      <c r="W63" s="2"/>
      <c r="X63" s="2">
        <f t="shared" si="2"/>
        <v>53.75</v>
      </c>
      <c r="Y63" s="2"/>
      <c r="Z63" s="21">
        <f t="shared" si="3"/>
        <v>0</v>
      </c>
    </row>
    <row r="64" spans="1:26" s="24" customFormat="1" hidden="1" outlineLevel="1" x14ac:dyDescent="0.25">
      <c r="A64" s="46"/>
      <c r="B64" s="11" t="str">
        <f>CONCATENATE("          ", "4137", " - ", "NON-TAXABLE SALES-WATER")</f>
        <v xml:space="preserve">          4137 - NON-TAXABLE SALES-WATER</v>
      </c>
      <c r="C64" s="11"/>
      <c r="D64" s="2">
        <f>--726.72</f>
        <v>726.72</v>
      </c>
      <c r="E64" s="2"/>
      <c r="F64" s="21"/>
      <c r="G64" s="2"/>
      <c r="H64" s="2"/>
      <c r="I64" s="2"/>
      <c r="J64" s="21"/>
      <c r="K64" s="2"/>
      <c r="L64" s="2">
        <f t="shared" si="0"/>
        <v>726.72</v>
      </c>
      <c r="M64" s="2"/>
      <c r="N64" s="21">
        <f t="shared" si="1"/>
        <v>0</v>
      </c>
      <c r="O64" s="11"/>
      <c r="P64" s="2">
        <f>--990.24</f>
        <v>990.24</v>
      </c>
      <c r="Q64" s="2"/>
      <c r="R64" s="21"/>
      <c r="S64" s="2"/>
      <c r="T64" s="2"/>
      <c r="U64" s="2"/>
      <c r="V64" s="21"/>
      <c r="W64" s="2"/>
      <c r="X64" s="2">
        <f t="shared" si="2"/>
        <v>990.24</v>
      </c>
      <c r="Y64" s="2"/>
      <c r="Z64" s="21">
        <f t="shared" si="3"/>
        <v>0</v>
      </c>
    </row>
    <row r="65" spans="1:26" s="24" customFormat="1" hidden="1" outlineLevel="1" x14ac:dyDescent="0.25">
      <c r="A65" s="46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--1979.29</f>
        <v>1979.29</v>
      </c>
      <c r="E65" s="2"/>
      <c r="F65" s="21"/>
      <c r="G65" s="2"/>
      <c r="H65" s="2"/>
      <c r="I65" s="2"/>
      <c r="J65" s="21"/>
      <c r="K65" s="2"/>
      <c r="L65" s="2">
        <f t="shared" si="0"/>
        <v>1979.29</v>
      </c>
      <c r="M65" s="2"/>
      <c r="N65" s="21">
        <f t="shared" si="1"/>
        <v>0</v>
      </c>
      <c r="O65" s="11"/>
      <c r="P65" s="2">
        <f>--5142.96</f>
        <v>5142.96</v>
      </c>
      <c r="Q65" s="2"/>
      <c r="R65" s="21"/>
      <c r="S65" s="2"/>
      <c r="T65" s="2"/>
      <c r="U65" s="2"/>
      <c r="V65" s="21"/>
      <c r="W65" s="2"/>
      <c r="X65" s="2">
        <f t="shared" si="2"/>
        <v>5142.96</v>
      </c>
      <c r="Y65" s="2"/>
      <c r="Z65" s="21">
        <f t="shared" si="3"/>
        <v>0</v>
      </c>
    </row>
    <row r="66" spans="1:26" s="24" customFormat="1" hidden="1" outlineLevel="1" x14ac:dyDescent="0.25">
      <c r="A66" s="46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--432.15</f>
        <v>432.15</v>
      </c>
      <c r="E66" s="2"/>
      <c r="F66" s="21"/>
      <c r="G66" s="2"/>
      <c r="H66" s="2"/>
      <c r="I66" s="2"/>
      <c r="J66" s="21"/>
      <c r="K66" s="2"/>
      <c r="L66" s="2">
        <f t="shared" si="0"/>
        <v>432.15</v>
      </c>
      <c r="M66" s="2"/>
      <c r="N66" s="21">
        <f t="shared" si="1"/>
        <v>0</v>
      </c>
      <c r="O66" s="11"/>
      <c r="P66" s="2">
        <f>--694.3</f>
        <v>694.3</v>
      </c>
      <c r="Q66" s="2"/>
      <c r="R66" s="21"/>
      <c r="S66" s="2"/>
      <c r="T66" s="2"/>
      <c r="U66" s="2"/>
      <c r="V66" s="21"/>
      <c r="W66" s="2"/>
      <c r="X66" s="2">
        <f t="shared" si="2"/>
        <v>694.3</v>
      </c>
      <c r="Y66" s="2"/>
      <c r="Z66" s="21">
        <f t="shared" si="3"/>
        <v>0</v>
      </c>
    </row>
    <row r="67" spans="1:26" s="24" customFormat="1" hidden="1" outlineLevel="1" x14ac:dyDescent="0.25">
      <c r="A67" s="46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--577.66</f>
        <v>577.66</v>
      </c>
      <c r="E67" s="2"/>
      <c r="F67" s="21"/>
      <c r="G67" s="2"/>
      <c r="H67" s="2"/>
      <c r="I67" s="2"/>
      <c r="J67" s="21"/>
      <c r="K67" s="2"/>
      <c r="L67" s="2">
        <f t="shared" si="0"/>
        <v>577.66</v>
      </c>
      <c r="M67" s="2"/>
      <c r="N67" s="21">
        <f t="shared" si="1"/>
        <v>0</v>
      </c>
      <c r="O67" s="11"/>
      <c r="P67" s="2">
        <f>--920.1</f>
        <v>920.1</v>
      </c>
      <c r="Q67" s="2"/>
      <c r="R67" s="21"/>
      <c r="S67" s="2"/>
      <c r="T67" s="2"/>
      <c r="U67" s="2"/>
      <c r="V67" s="21"/>
      <c r="W67" s="2"/>
      <c r="X67" s="2">
        <f t="shared" si="2"/>
        <v>920.1</v>
      </c>
      <c r="Y67" s="2"/>
      <c r="Z67" s="21">
        <f t="shared" si="3"/>
        <v>0</v>
      </c>
    </row>
    <row r="68" spans="1:26" s="24" customFormat="1" hidden="1" outlineLevel="1" x14ac:dyDescent="0.25">
      <c r="A68" s="46"/>
      <c r="B68" s="11" t="str">
        <f>CONCATENATE("          ", "4144", " - ", "NON-TAXABLE SALES-ACCESSORIES")</f>
        <v xml:space="preserve">          4144 - NON-TAXABLE SALES-ACCESSORIES</v>
      </c>
      <c r="C68" s="11"/>
      <c r="D68" s="2">
        <f>--117.86</f>
        <v>117.86</v>
      </c>
      <c r="E68" s="2"/>
      <c r="F68" s="21"/>
      <c r="G68" s="2"/>
      <c r="H68" s="2"/>
      <c r="I68" s="2"/>
      <c r="J68" s="21"/>
      <c r="K68" s="2"/>
      <c r="L68" s="2">
        <f t="shared" si="0"/>
        <v>117.86</v>
      </c>
      <c r="M68" s="2"/>
      <c r="N68" s="21">
        <f t="shared" si="1"/>
        <v>0</v>
      </c>
      <c r="O68" s="11"/>
      <c r="P68" s="2">
        <f>--139.76</f>
        <v>139.76</v>
      </c>
      <c r="Q68" s="2"/>
      <c r="R68" s="21"/>
      <c r="S68" s="2"/>
      <c r="T68" s="2"/>
      <c r="U68" s="2"/>
      <c r="V68" s="21"/>
      <c r="W68" s="2"/>
      <c r="X68" s="2">
        <f t="shared" si="2"/>
        <v>139.76</v>
      </c>
      <c r="Y68" s="2"/>
      <c r="Z68" s="21">
        <f t="shared" si="3"/>
        <v>0</v>
      </c>
    </row>
    <row r="69" spans="1:26" s="24" customFormat="1" hidden="1" outlineLevel="1" x14ac:dyDescent="0.25">
      <c r="A69" s="46"/>
      <c r="B69" s="11" t="str">
        <f>CONCATENATE("          ", "4145", " - ", "NON-TAXABLE SALES-SPECIAL ORDE")</f>
        <v xml:space="preserve">          4145 - NON-TAXABLE SALES-SPECIAL ORDE</v>
      </c>
      <c r="C69" s="11"/>
      <c r="D69" s="2">
        <f>--90</f>
        <v>90</v>
      </c>
      <c r="E69" s="2"/>
      <c r="F69" s="21"/>
      <c r="G69" s="2"/>
      <c r="H69" s="2"/>
      <c r="I69" s="2"/>
      <c r="J69" s="21"/>
      <c r="K69" s="2"/>
      <c r="L69" s="2">
        <f t="shared" si="0"/>
        <v>90</v>
      </c>
      <c r="M69" s="2"/>
      <c r="N69" s="21">
        <f t="shared" si="1"/>
        <v>0</v>
      </c>
      <c r="O69" s="11"/>
      <c r="P69" s="2">
        <f>--90</f>
        <v>90</v>
      </c>
      <c r="Q69" s="2"/>
      <c r="R69" s="21"/>
      <c r="S69" s="2"/>
      <c r="T69" s="2"/>
      <c r="U69" s="2"/>
      <c r="V69" s="21"/>
      <c r="W69" s="2"/>
      <c r="X69" s="2">
        <f t="shared" si="2"/>
        <v>90</v>
      </c>
      <c r="Y69" s="2"/>
      <c r="Z69" s="21">
        <f t="shared" si="3"/>
        <v>0</v>
      </c>
    </row>
    <row r="70" spans="1:26" s="24" customFormat="1" hidden="1" outlineLevel="1" x14ac:dyDescent="0.25">
      <c r="A70" s="46"/>
      <c r="B70" s="11" t="str">
        <f>CONCATENATE("          ", "4146", " - ", "NON-TAXABLE SALES-COIN OP MACH")</f>
        <v xml:space="preserve">          4146 - NON-TAXABLE SALES-COIN OP MACH</v>
      </c>
      <c r="C70" s="11"/>
      <c r="D70" s="2">
        <f>--13281.65</f>
        <v>13281.65</v>
      </c>
      <c r="E70" s="2"/>
      <c r="F70" s="21"/>
      <c r="G70" s="2"/>
      <c r="H70" s="2"/>
      <c r="I70" s="2"/>
      <c r="J70" s="21"/>
      <c r="K70" s="2"/>
      <c r="L70" s="2">
        <f t="shared" si="0"/>
        <v>13281.65</v>
      </c>
      <c r="M70" s="2"/>
      <c r="N70" s="21">
        <f t="shared" si="1"/>
        <v>0</v>
      </c>
      <c r="O70" s="11"/>
      <c r="P70" s="2">
        <f>--15348.75</f>
        <v>15348.75</v>
      </c>
      <c r="Q70" s="2"/>
      <c r="R70" s="21"/>
      <c r="S70" s="2"/>
      <c r="T70" s="2"/>
      <c r="U70" s="2"/>
      <c r="V70" s="21"/>
      <c r="W70" s="2"/>
      <c r="X70" s="2">
        <f t="shared" si="2"/>
        <v>15348.75</v>
      </c>
      <c r="Y70" s="2"/>
      <c r="Z70" s="21">
        <f t="shared" si="3"/>
        <v>0</v>
      </c>
    </row>
    <row r="71" spans="1:26" s="24" customFormat="1" hidden="1" outlineLevel="1" x14ac:dyDescent="0.25">
      <c r="A71" s="46"/>
      <c r="B71" s="11" t="str">
        <f>CONCATENATE("          ", "4147", " - ", "NON-TAXABLE SALES-MISC")</f>
        <v xml:space="preserve">          4147 - NON-TAXABLE SALES-MISC</v>
      </c>
      <c r="C71" s="11"/>
      <c r="D71" s="2">
        <f>--53.9</f>
        <v>53.9</v>
      </c>
      <c r="E71" s="2"/>
      <c r="F71" s="21"/>
      <c r="G71" s="2"/>
      <c r="H71" s="2"/>
      <c r="I71" s="2"/>
      <c r="J71" s="21"/>
      <c r="K71" s="2"/>
      <c r="L71" s="2">
        <f t="shared" si="0"/>
        <v>53.9</v>
      </c>
      <c r="M71" s="2"/>
      <c r="N71" s="21">
        <f t="shared" si="1"/>
        <v>0</v>
      </c>
      <c r="O71" s="11"/>
      <c r="P71" s="2">
        <f>--70.4</f>
        <v>70.400000000000006</v>
      </c>
      <c r="Q71" s="2"/>
      <c r="R71" s="21"/>
      <c r="S71" s="2"/>
      <c r="T71" s="2"/>
      <c r="U71" s="2"/>
      <c r="V71" s="21"/>
      <c r="W71" s="2"/>
      <c r="X71" s="2">
        <f t="shared" si="2"/>
        <v>70.400000000000006</v>
      </c>
      <c r="Y71" s="2"/>
      <c r="Z71" s="21">
        <f t="shared" si="3"/>
        <v>0</v>
      </c>
    </row>
    <row r="72" spans="1:26" s="24" customFormat="1" hidden="1" outlineLevel="1" x14ac:dyDescent="0.25">
      <c r="A72" s="46"/>
      <c r="B72" s="11" t="str">
        <f>CONCATENATE("          ", "4151", " - ", "NON-TAXABLE SALES-FOOD")</f>
        <v xml:space="preserve">          4151 - NON-TAXABLE SALES-FOOD</v>
      </c>
      <c r="C72" s="11"/>
      <c r="D72" s="2">
        <f>--40740.65</f>
        <v>40740.65</v>
      </c>
      <c r="E72" s="2"/>
      <c r="F72" s="21"/>
      <c r="G72" s="2"/>
      <c r="H72" s="2"/>
      <c r="I72" s="2"/>
      <c r="J72" s="21"/>
      <c r="K72" s="2"/>
      <c r="L72" s="2">
        <f t="shared" si="0"/>
        <v>40740.65</v>
      </c>
      <c r="M72" s="2"/>
      <c r="N72" s="21">
        <f t="shared" si="1"/>
        <v>0</v>
      </c>
      <c r="O72" s="11"/>
      <c r="P72" s="2">
        <f>--56137.17</f>
        <v>56137.17</v>
      </c>
      <c r="Q72" s="2"/>
      <c r="R72" s="21"/>
      <c r="S72" s="2"/>
      <c r="T72" s="2"/>
      <c r="U72" s="2"/>
      <c r="V72" s="21"/>
      <c r="W72" s="2"/>
      <c r="X72" s="2">
        <f t="shared" si="2"/>
        <v>56137.17</v>
      </c>
      <c r="Y72" s="2"/>
      <c r="Z72" s="21">
        <f t="shared" si="3"/>
        <v>0</v>
      </c>
    </row>
    <row r="73" spans="1:26" s="24" customFormat="1" hidden="1" outlineLevel="1" x14ac:dyDescent="0.25">
      <c r="A73" s="46"/>
      <c r="B73" s="11" t="str">
        <f>CONCATENATE("          ", "4153", " - ", "NON-TAXABLE SALES-FOOD")</f>
        <v xml:space="preserve">          4153 - NON-TAXABLE SALES-FOOD</v>
      </c>
      <c r="C73" s="11"/>
      <c r="D73" s="2">
        <f>--227.5</f>
        <v>227.5</v>
      </c>
      <c r="E73" s="2"/>
      <c r="F73" s="21"/>
      <c r="G73" s="2"/>
      <c r="H73" s="2"/>
      <c r="I73" s="2"/>
      <c r="J73" s="21"/>
      <c r="K73" s="2"/>
      <c r="L73" s="2">
        <f t="shared" si="0"/>
        <v>227.5</v>
      </c>
      <c r="M73" s="2"/>
      <c r="N73" s="21">
        <f t="shared" si="1"/>
        <v>0</v>
      </c>
      <c r="O73" s="11"/>
      <c r="P73" s="2">
        <f>--464.5</f>
        <v>464.5</v>
      </c>
      <c r="Q73" s="2"/>
      <c r="R73" s="21"/>
      <c r="S73" s="2"/>
      <c r="T73" s="2"/>
      <c r="U73" s="2"/>
      <c r="V73" s="21"/>
      <c r="W73" s="2"/>
      <c r="X73" s="2">
        <f t="shared" si="2"/>
        <v>464.5</v>
      </c>
      <c r="Y73" s="2"/>
      <c r="Z73" s="21">
        <f t="shared" si="3"/>
        <v>0</v>
      </c>
    </row>
    <row r="74" spans="1:26" s="24" customFormat="1" hidden="1" outlineLevel="1" x14ac:dyDescent="0.25">
      <c r="A74" s="46"/>
      <c r="B74" s="11" t="str">
        <f>CONCATENATE("          ", "4201", " - ", "SALES RETURN TAXABLE-NEW TEXT")</f>
        <v xml:space="preserve">          4201 - SALES RETURN TAXABLE-NEW TEXT</v>
      </c>
      <c r="C74" s="11"/>
      <c r="D74" s="2">
        <f>-58563.26</f>
        <v>-58563.26</v>
      </c>
      <c r="E74" s="2"/>
      <c r="F74" s="21"/>
      <c r="G74" s="2"/>
      <c r="H74" s="2"/>
      <c r="I74" s="2"/>
      <c r="J74" s="21"/>
      <c r="K74" s="2"/>
      <c r="L74" s="2">
        <f t="shared" si="0"/>
        <v>-58563.26</v>
      </c>
      <c r="M74" s="2"/>
      <c r="N74" s="21">
        <f t="shared" si="1"/>
        <v>0</v>
      </c>
      <c r="O74" s="11"/>
      <c r="P74" s="2">
        <f>-59170.41</f>
        <v>-59170.41</v>
      </c>
      <c r="Q74" s="2"/>
      <c r="R74" s="21"/>
      <c r="S74" s="2"/>
      <c r="T74" s="2"/>
      <c r="U74" s="2"/>
      <c r="V74" s="21"/>
      <c r="W74" s="2"/>
      <c r="X74" s="2">
        <f t="shared" si="2"/>
        <v>-59170.41</v>
      </c>
      <c r="Y74" s="2"/>
      <c r="Z74" s="21">
        <f t="shared" si="3"/>
        <v>0</v>
      </c>
    </row>
    <row r="75" spans="1:26" s="24" customFormat="1" hidden="1" outlineLevel="1" x14ac:dyDescent="0.25">
      <c r="A75" s="46"/>
      <c r="B75" s="11" t="str">
        <f>CONCATENATE("          ", "4202", " - ", "SALES RETURN TAXABLE-USED TEXT")</f>
        <v xml:space="preserve">          4202 - SALES RETURN TAXABLE-USED TEXT</v>
      </c>
      <c r="C75" s="11"/>
      <c r="D75" s="2">
        <f>-20533</f>
        <v>-20533</v>
      </c>
      <c r="E75" s="2"/>
      <c r="F75" s="21"/>
      <c r="G75" s="2"/>
      <c r="H75" s="2"/>
      <c r="I75" s="2"/>
      <c r="J75" s="21"/>
      <c r="K75" s="2"/>
      <c r="L75" s="2">
        <f t="shared" si="0"/>
        <v>-20533</v>
      </c>
      <c r="M75" s="2"/>
      <c r="N75" s="21">
        <f t="shared" si="1"/>
        <v>0</v>
      </c>
      <c r="O75" s="11"/>
      <c r="P75" s="2">
        <f>-21254.45</f>
        <v>-21254.45</v>
      </c>
      <c r="Q75" s="2"/>
      <c r="R75" s="21"/>
      <c r="S75" s="2"/>
      <c r="T75" s="2"/>
      <c r="U75" s="2"/>
      <c r="V75" s="21"/>
      <c r="W75" s="2"/>
      <c r="X75" s="2">
        <f t="shared" si="2"/>
        <v>-21254.45</v>
      </c>
      <c r="Y75" s="2"/>
      <c r="Z75" s="21">
        <f t="shared" si="3"/>
        <v>0</v>
      </c>
    </row>
    <row r="76" spans="1:26" s="24" customFormat="1" hidden="1" outlineLevel="1" x14ac:dyDescent="0.25">
      <c r="A76" s="46"/>
      <c r="B76" s="11" t="str">
        <f>CONCATENATE("          ", "4204", " - ", "SALES RETURN TAXABLE-DIGITAL T")</f>
        <v xml:space="preserve">          4204 - SALES RETURN TAXABLE-DIGITAL T</v>
      </c>
      <c r="C76" s="11"/>
      <c r="D76" s="2">
        <f>-6848.37</f>
        <v>-6848.37</v>
      </c>
      <c r="E76" s="2"/>
      <c r="F76" s="21"/>
      <c r="G76" s="2"/>
      <c r="H76" s="2"/>
      <c r="I76" s="2"/>
      <c r="J76" s="21"/>
      <c r="K76" s="2"/>
      <c r="L76" s="2">
        <f t="shared" si="0"/>
        <v>-6848.37</v>
      </c>
      <c r="M76" s="2"/>
      <c r="N76" s="21">
        <f t="shared" si="1"/>
        <v>0</v>
      </c>
      <c r="O76" s="11"/>
      <c r="P76" s="2">
        <f>-6848.37</f>
        <v>-6848.37</v>
      </c>
      <c r="Q76" s="2"/>
      <c r="R76" s="21"/>
      <c r="S76" s="2"/>
      <c r="T76" s="2"/>
      <c r="U76" s="2"/>
      <c r="V76" s="21"/>
      <c r="W76" s="2"/>
      <c r="X76" s="2">
        <f t="shared" si="2"/>
        <v>-6848.37</v>
      </c>
      <c r="Y76" s="2"/>
      <c r="Z76" s="21">
        <f t="shared" si="3"/>
        <v>0</v>
      </c>
    </row>
    <row r="77" spans="1:26" s="24" customFormat="1" hidden="1" outlineLevel="1" x14ac:dyDescent="0.25">
      <c r="A77" s="46"/>
      <c r="B77" s="11" t="str">
        <f>CONCATENATE("          ", "4218", " - ", "SALES RETURN TAXABLE-STUDY GUI")</f>
        <v xml:space="preserve">          4218 - SALES RETURN TAXABLE-STUDY GUI</v>
      </c>
      <c r="C77" s="11"/>
      <c r="D77" s="2">
        <f>-26.8</f>
        <v>-26.8</v>
      </c>
      <c r="E77" s="2"/>
      <c r="F77" s="21"/>
      <c r="G77" s="2"/>
      <c r="H77" s="2"/>
      <c r="I77" s="2"/>
      <c r="J77" s="21"/>
      <c r="K77" s="2"/>
      <c r="L77" s="2">
        <f t="shared" si="0"/>
        <v>-26.8</v>
      </c>
      <c r="M77" s="2"/>
      <c r="N77" s="21">
        <f t="shared" si="1"/>
        <v>0</v>
      </c>
      <c r="O77" s="11"/>
      <c r="P77" s="2">
        <f>-26.8</f>
        <v>-26.8</v>
      </c>
      <c r="Q77" s="2"/>
      <c r="R77" s="21"/>
      <c r="S77" s="2"/>
      <c r="T77" s="2"/>
      <c r="U77" s="2"/>
      <c r="V77" s="21"/>
      <c r="W77" s="2"/>
      <c r="X77" s="2">
        <f t="shared" si="2"/>
        <v>-26.8</v>
      </c>
      <c r="Y77" s="2"/>
      <c r="Z77" s="21">
        <f t="shared" si="3"/>
        <v>0</v>
      </c>
    </row>
    <row r="78" spans="1:26" s="24" customFormat="1" hidden="1" outlineLevel="1" x14ac:dyDescent="0.25">
      <c r="A78" s="46"/>
      <c r="B78" s="11" t="str">
        <f>CONCATENATE("          ", "4225", " - ", "SALES RETURN TAXABLE-TEST FORM")</f>
        <v xml:space="preserve">          4225 - SALES RETURN TAXABLE-TEST FORM</v>
      </c>
      <c r="C78" s="11"/>
      <c r="D78" s="2">
        <f>-8.61</f>
        <v>-8.61</v>
      </c>
      <c r="E78" s="2"/>
      <c r="F78" s="21"/>
      <c r="G78" s="2"/>
      <c r="H78" s="2"/>
      <c r="I78" s="2"/>
      <c r="J78" s="21"/>
      <c r="K78" s="2"/>
      <c r="L78" s="2">
        <f t="shared" si="0"/>
        <v>-8.61</v>
      </c>
      <c r="M78" s="2"/>
      <c r="N78" s="21">
        <f t="shared" si="1"/>
        <v>0</v>
      </c>
      <c r="O78" s="11"/>
      <c r="P78" s="2">
        <f>-12.69</f>
        <v>-12.69</v>
      </c>
      <c r="Q78" s="2"/>
      <c r="R78" s="21"/>
      <c r="S78" s="2"/>
      <c r="T78" s="2"/>
      <c r="U78" s="2"/>
      <c r="V78" s="21"/>
      <c r="W78" s="2"/>
      <c r="X78" s="2">
        <f t="shared" si="2"/>
        <v>-12.69</v>
      </c>
      <c r="Y78" s="2"/>
      <c r="Z78" s="21">
        <f t="shared" si="3"/>
        <v>0</v>
      </c>
    </row>
    <row r="79" spans="1:26" s="24" customFormat="1" hidden="1" outlineLevel="1" x14ac:dyDescent="0.25">
      <c r="A79" s="46"/>
      <c r="B79" s="11" t="str">
        <f>CONCATENATE("          ", "4226", " - ", "SALES RETURN TAXABLE-WRITING I")</f>
        <v xml:space="preserve">          4226 - SALES RETURN TAXABLE-WRITING I</v>
      </c>
      <c r="C79" s="11"/>
      <c r="D79" s="2">
        <f>-60.28</f>
        <v>-60.28</v>
      </c>
      <c r="E79" s="2"/>
      <c r="F79" s="21"/>
      <c r="G79" s="2"/>
      <c r="H79" s="2"/>
      <c r="I79" s="2"/>
      <c r="J79" s="21"/>
      <c r="K79" s="2"/>
      <c r="L79" s="2">
        <f t="shared" si="0"/>
        <v>-60.28</v>
      </c>
      <c r="M79" s="2"/>
      <c r="N79" s="21">
        <f t="shared" si="1"/>
        <v>0</v>
      </c>
      <c r="O79" s="11"/>
      <c r="P79" s="2">
        <f>-124.21</f>
        <v>-124.21</v>
      </c>
      <c r="Q79" s="2"/>
      <c r="R79" s="21"/>
      <c r="S79" s="2"/>
      <c r="T79" s="2"/>
      <c r="U79" s="2"/>
      <c r="V79" s="21"/>
      <c r="W79" s="2"/>
      <c r="X79" s="2">
        <f t="shared" si="2"/>
        <v>-124.21</v>
      </c>
      <c r="Y79" s="2"/>
      <c r="Z79" s="21">
        <f t="shared" si="3"/>
        <v>0</v>
      </c>
    </row>
    <row r="80" spans="1:26" s="24" customFormat="1" hidden="1" outlineLevel="1" x14ac:dyDescent="0.25">
      <c r="A80" s="46"/>
      <c r="B80" s="11" t="str">
        <f>CONCATENATE("          ", "4227", " - ", "SALES RETURN TAXABLE-SCHOOL SU")</f>
        <v xml:space="preserve">          4227 - SALES RETURN TAXABLE-SCHOOL SU</v>
      </c>
      <c r="C80" s="11"/>
      <c r="D80" s="2">
        <f>-1531.15</f>
        <v>-1531.15</v>
      </c>
      <c r="E80" s="2"/>
      <c r="F80" s="21"/>
      <c r="G80" s="2"/>
      <c r="H80" s="2"/>
      <c r="I80" s="2"/>
      <c r="J80" s="21"/>
      <c r="K80" s="2"/>
      <c r="L80" s="2">
        <f t="shared" si="0"/>
        <v>-1531.15</v>
      </c>
      <c r="M80" s="2"/>
      <c r="N80" s="21">
        <f t="shared" si="1"/>
        <v>0</v>
      </c>
      <c r="O80" s="11"/>
      <c r="P80" s="2">
        <f>-1696.59</f>
        <v>-1696.59</v>
      </c>
      <c r="Q80" s="2"/>
      <c r="R80" s="21"/>
      <c r="S80" s="2"/>
      <c r="T80" s="2"/>
      <c r="U80" s="2"/>
      <c r="V80" s="21"/>
      <c r="W80" s="2"/>
      <c r="X80" s="2">
        <f t="shared" si="2"/>
        <v>-1696.59</v>
      </c>
      <c r="Y80" s="2"/>
      <c r="Z80" s="21">
        <f t="shared" si="3"/>
        <v>0</v>
      </c>
    </row>
    <row r="81" spans="1:26" s="24" customFormat="1" hidden="1" outlineLevel="1" x14ac:dyDescent="0.25">
      <c r="A81" s="46"/>
      <c r="B81" s="11" t="str">
        <f>CONCATENATE("          ", "4228", " - ", "SALES RETURN TAXABLE-ART/TECH")</f>
        <v xml:space="preserve">          4228 - SALES RETURN TAXABLE-ART/TECH</v>
      </c>
      <c r="C81" s="11"/>
      <c r="D81" s="2">
        <f>-858.36</f>
        <v>-858.36</v>
      </c>
      <c r="E81" s="2"/>
      <c r="F81" s="21"/>
      <c r="G81" s="2"/>
      <c r="H81" s="2"/>
      <c r="I81" s="2"/>
      <c r="J81" s="21"/>
      <c r="K81" s="2"/>
      <c r="L81" s="2">
        <f t="shared" si="0"/>
        <v>-858.36</v>
      </c>
      <c r="M81" s="2"/>
      <c r="N81" s="21">
        <f t="shared" si="1"/>
        <v>0</v>
      </c>
      <c r="O81" s="11"/>
      <c r="P81" s="2">
        <f>-868.73</f>
        <v>-868.73</v>
      </c>
      <c r="Q81" s="2"/>
      <c r="R81" s="21"/>
      <c r="S81" s="2"/>
      <c r="T81" s="2"/>
      <c r="U81" s="2"/>
      <c r="V81" s="21"/>
      <c r="W81" s="2"/>
      <c r="X81" s="2">
        <f t="shared" si="2"/>
        <v>-868.73</v>
      </c>
      <c r="Y81" s="2"/>
      <c r="Z81" s="21">
        <f t="shared" si="3"/>
        <v>0</v>
      </c>
    </row>
    <row r="82" spans="1:26" s="24" customFormat="1" hidden="1" outlineLevel="1" x14ac:dyDescent="0.25">
      <c r="A82" s="46"/>
      <c r="B82" s="11" t="str">
        <f>CONCATENATE("          ", "4240", " - ", "SALES RETURN TAXABLE-LOGO CLOT")</f>
        <v xml:space="preserve">          4240 - SALES RETURN TAXABLE-LOGO CLOT</v>
      </c>
      <c r="C82" s="11"/>
      <c r="D82" s="2">
        <f>-6807.65</f>
        <v>-6807.65</v>
      </c>
      <c r="E82" s="2"/>
      <c r="F82" s="21"/>
      <c r="G82" s="2"/>
      <c r="H82" s="2"/>
      <c r="I82" s="2"/>
      <c r="J82" s="21"/>
      <c r="K82" s="2"/>
      <c r="L82" s="2">
        <f t="shared" si="0"/>
        <v>-6807.65</v>
      </c>
      <c r="M82" s="2"/>
      <c r="N82" s="21">
        <f t="shared" si="1"/>
        <v>0</v>
      </c>
      <c r="O82" s="11"/>
      <c r="P82" s="2">
        <f>-11254.49</f>
        <v>-11254.49</v>
      </c>
      <c r="Q82" s="2"/>
      <c r="R82" s="21"/>
      <c r="S82" s="2"/>
      <c r="T82" s="2"/>
      <c r="U82" s="2"/>
      <c r="V82" s="21"/>
      <c r="W82" s="2"/>
      <c r="X82" s="2">
        <f t="shared" si="2"/>
        <v>-11254.49</v>
      </c>
      <c r="Y82" s="2"/>
      <c r="Z82" s="21">
        <f t="shared" si="3"/>
        <v>0</v>
      </c>
    </row>
    <row r="83" spans="1:26" s="24" customFormat="1" hidden="1" outlineLevel="1" x14ac:dyDescent="0.25">
      <c r="A83" s="46"/>
      <c r="B83" s="11" t="str">
        <f>CONCATENATE("          ", "4241", " - ", "SALES RETURN TAXABLE-LOGO GIFT")</f>
        <v xml:space="preserve">          4241 - SALES RETURN TAXABLE-LOGO GIFT</v>
      </c>
      <c r="C83" s="11"/>
      <c r="D83" s="2">
        <f>-971.11</f>
        <v>-971.11</v>
      </c>
      <c r="E83" s="2"/>
      <c r="F83" s="21"/>
      <c r="G83" s="2"/>
      <c r="H83" s="2"/>
      <c r="I83" s="2"/>
      <c r="J83" s="21"/>
      <c r="K83" s="2"/>
      <c r="L83" s="2">
        <f t="shared" si="0"/>
        <v>-971.11</v>
      </c>
      <c r="M83" s="2"/>
      <c r="N83" s="21">
        <f t="shared" si="1"/>
        <v>0</v>
      </c>
      <c r="O83" s="11"/>
      <c r="P83" s="2">
        <f>-1690.01</f>
        <v>-1690.01</v>
      </c>
      <c r="Q83" s="2"/>
      <c r="R83" s="21"/>
      <c r="S83" s="2"/>
      <c r="T83" s="2"/>
      <c r="U83" s="2"/>
      <c r="V83" s="21"/>
      <c r="W83" s="2"/>
      <c r="X83" s="2">
        <f t="shared" si="2"/>
        <v>-1690.01</v>
      </c>
      <c r="Y83" s="2"/>
      <c r="Z83" s="21">
        <f t="shared" si="3"/>
        <v>0</v>
      </c>
    </row>
    <row r="84" spans="1:26" s="24" customFormat="1" hidden="1" outlineLevel="1" x14ac:dyDescent="0.25">
      <c r="A84" s="46"/>
      <c r="B84" s="11" t="str">
        <f>CONCATENATE("          ", "4242", " - ", "SALES RETURN TAXABLE-EVERYDAY")</f>
        <v xml:space="preserve">          4242 - SALES RETURN TAXABLE-EVERYDAY</v>
      </c>
      <c r="C84" s="11"/>
      <c r="D84" s="2">
        <f>-450.83</f>
        <v>-450.83</v>
      </c>
      <c r="E84" s="2"/>
      <c r="F84" s="21"/>
      <c r="G84" s="2"/>
      <c r="H84" s="2"/>
      <c r="I84" s="2"/>
      <c r="J84" s="21"/>
      <c r="K84" s="2"/>
      <c r="L84" s="2">
        <f t="shared" si="0"/>
        <v>-450.83</v>
      </c>
      <c r="M84" s="2"/>
      <c r="N84" s="21">
        <f t="shared" si="1"/>
        <v>0</v>
      </c>
      <c r="O84" s="11"/>
      <c r="P84" s="2">
        <f>-824.81</f>
        <v>-824.81</v>
      </c>
      <c r="Q84" s="2"/>
      <c r="R84" s="21"/>
      <c r="S84" s="2"/>
      <c r="T84" s="2"/>
      <c r="U84" s="2"/>
      <c r="V84" s="21"/>
      <c r="W84" s="2"/>
      <c r="X84" s="2">
        <f t="shared" si="2"/>
        <v>-824.81</v>
      </c>
      <c r="Y84" s="2"/>
      <c r="Z84" s="21">
        <f t="shared" si="3"/>
        <v>0</v>
      </c>
    </row>
    <row r="85" spans="1:26" s="24" customFormat="1" hidden="1" outlineLevel="1" x14ac:dyDescent="0.25">
      <c r="A85" s="46"/>
      <c r="B85" s="11" t="str">
        <f>CONCATENATE("          ", "4244", " - ", "SALES RETURN TAXABLE-ACCESSORI")</f>
        <v xml:space="preserve">          4244 - SALES RETURN TAXABLE-ACCESSORI</v>
      </c>
      <c r="C85" s="11"/>
      <c r="D85" s="2">
        <f>-443.68</f>
        <v>-443.68</v>
      </c>
      <c r="E85" s="2"/>
      <c r="F85" s="21"/>
      <c r="G85" s="2"/>
      <c r="H85" s="2"/>
      <c r="I85" s="2"/>
      <c r="J85" s="21"/>
      <c r="K85" s="2"/>
      <c r="L85" s="2">
        <f t="shared" si="0"/>
        <v>-443.68</v>
      </c>
      <c r="M85" s="2"/>
      <c r="N85" s="21">
        <f t="shared" si="1"/>
        <v>0</v>
      </c>
      <c r="O85" s="11"/>
      <c r="P85" s="2">
        <f>-550.47</f>
        <v>-550.47</v>
      </c>
      <c r="Q85" s="2"/>
      <c r="R85" s="21"/>
      <c r="S85" s="2"/>
      <c r="T85" s="2"/>
      <c r="U85" s="2"/>
      <c r="V85" s="21"/>
      <c r="W85" s="2"/>
      <c r="X85" s="2">
        <f t="shared" si="2"/>
        <v>-550.47</v>
      </c>
      <c r="Y85" s="2"/>
      <c r="Z85" s="21">
        <f t="shared" si="3"/>
        <v>0</v>
      </c>
    </row>
    <row r="86" spans="1:26" s="24" customFormat="1" hidden="1" outlineLevel="1" x14ac:dyDescent="0.25">
      <c r="A86" s="46"/>
      <c r="B86" s="11" t="str">
        <f>CONCATENATE("          ", "4245", " - ", "SALES RETURN TAXABLE-SPECIAL O")</f>
        <v xml:space="preserve">          4245 - SALES RETURN TAXABLE-SPECIAL O</v>
      </c>
      <c r="C86" s="11"/>
      <c r="D86" s="2">
        <f>-19.98</f>
        <v>-19.98</v>
      </c>
      <c r="E86" s="2"/>
      <c r="F86" s="21"/>
      <c r="G86" s="2"/>
      <c r="H86" s="2"/>
      <c r="I86" s="2"/>
      <c r="J86" s="21"/>
      <c r="K86" s="2"/>
      <c r="L86" s="2">
        <f t="shared" si="0"/>
        <v>-19.98</v>
      </c>
      <c r="M86" s="2"/>
      <c r="N86" s="21">
        <f t="shared" si="1"/>
        <v>0</v>
      </c>
      <c r="O86" s="11"/>
      <c r="P86" s="2">
        <f>-19.98</f>
        <v>-19.98</v>
      </c>
      <c r="Q86" s="2"/>
      <c r="R86" s="21"/>
      <c r="S86" s="2"/>
      <c r="T86" s="2"/>
      <c r="U86" s="2"/>
      <c r="V86" s="21"/>
      <c r="W86" s="2"/>
      <c r="X86" s="2">
        <f t="shared" si="2"/>
        <v>-19.98</v>
      </c>
      <c r="Y86" s="2"/>
      <c r="Z86" s="21">
        <f t="shared" si="3"/>
        <v>0</v>
      </c>
    </row>
    <row r="87" spans="1:26" s="24" customFormat="1" hidden="1" outlineLevel="1" x14ac:dyDescent="0.25">
      <c r="A87" s="46"/>
      <c r="B87" s="11" t="str">
        <f>CONCATENATE("          ", "4292", " - ", "SALES RETURN TAXABLE-GRAD MERC")</f>
        <v xml:space="preserve">          4292 - SALES RETURN TAXABLE-GRAD MERC</v>
      </c>
      <c r="C87" s="11"/>
      <c r="D87" s="2">
        <f>-359.2</f>
        <v>-359.2</v>
      </c>
      <c r="E87" s="2"/>
      <c r="F87" s="21"/>
      <c r="G87" s="2"/>
      <c r="H87" s="2"/>
      <c r="I87" s="2"/>
      <c r="J87" s="21"/>
      <c r="K87" s="2"/>
      <c r="L87" s="2">
        <f t="shared" si="0"/>
        <v>-359.2</v>
      </c>
      <c r="M87" s="2"/>
      <c r="N87" s="21">
        <f t="shared" si="1"/>
        <v>0</v>
      </c>
      <c r="O87" s="11"/>
      <c r="P87" s="2">
        <f>-369.15</f>
        <v>-369.15</v>
      </c>
      <c r="Q87" s="2"/>
      <c r="R87" s="21"/>
      <c r="S87" s="2"/>
      <c r="T87" s="2"/>
      <c r="U87" s="2"/>
      <c r="V87" s="21"/>
      <c r="W87" s="2"/>
      <c r="X87" s="2">
        <f t="shared" si="2"/>
        <v>-369.15</v>
      </c>
      <c r="Y87" s="2"/>
      <c r="Z87" s="21">
        <f t="shared" si="3"/>
        <v>0</v>
      </c>
    </row>
    <row r="88" spans="1:26" s="24" customFormat="1" hidden="1" outlineLevel="1" x14ac:dyDescent="0.25">
      <c r="A88" s="46"/>
      <c r="B88" s="11" t="str">
        <f>CONCATENATE("          ", "4295", " - ", "SALES RETURN TAXABLE-CUSTOMER")</f>
        <v xml:space="preserve">          4295 - SALES RETURN TAXABLE-CUSTOMER</v>
      </c>
      <c r="C88" s="11"/>
      <c r="D88" s="2">
        <f>--0.99</f>
        <v>0.99</v>
      </c>
      <c r="E88" s="2"/>
      <c r="F88" s="21"/>
      <c r="G88" s="2"/>
      <c r="H88" s="2"/>
      <c r="I88" s="2"/>
      <c r="J88" s="21"/>
      <c r="K88" s="2"/>
      <c r="L88" s="2">
        <f t="shared" si="0"/>
        <v>0.99</v>
      </c>
      <c r="M88" s="2"/>
      <c r="N88" s="21">
        <f t="shared" si="1"/>
        <v>0</v>
      </c>
      <c r="O88" s="11"/>
      <c r="P88" s="2">
        <f>--0.99</f>
        <v>0.99</v>
      </c>
      <c r="Q88" s="2"/>
      <c r="R88" s="21"/>
      <c r="S88" s="2"/>
      <c r="T88" s="2"/>
      <c r="U88" s="2"/>
      <c r="V88" s="21"/>
      <c r="W88" s="2"/>
      <c r="X88" s="2">
        <f t="shared" si="2"/>
        <v>0.99</v>
      </c>
      <c r="Y88" s="2"/>
      <c r="Z88" s="21">
        <f t="shared" si="3"/>
        <v>0</v>
      </c>
    </row>
    <row r="89" spans="1:26" s="24" customFormat="1" hidden="1" outlineLevel="1" x14ac:dyDescent="0.25">
      <c r="A89" s="46"/>
      <c r="B89" s="11" t="str">
        <f>CONCATENATE("          ", "4301", " - ", "SALES RETURN NON TAXABLE-NEW T")</f>
        <v xml:space="preserve">          4301 - SALES RETURN NON TAXABLE-NEW T</v>
      </c>
      <c r="C89" s="11"/>
      <c r="D89" s="2">
        <f>-2665.19</f>
        <v>-2665.19</v>
      </c>
      <c r="E89" s="2"/>
      <c r="F89" s="21"/>
      <c r="G89" s="2"/>
      <c r="H89" s="2"/>
      <c r="I89" s="2"/>
      <c r="J89" s="21"/>
      <c r="K89" s="2"/>
      <c r="L89" s="2">
        <f t="shared" si="0"/>
        <v>-2665.19</v>
      </c>
      <c r="M89" s="2"/>
      <c r="N89" s="21">
        <f t="shared" si="1"/>
        <v>0</v>
      </c>
      <c r="O89" s="11"/>
      <c r="P89" s="2">
        <f>-2919.78</f>
        <v>-2919.78</v>
      </c>
      <c r="Q89" s="2"/>
      <c r="R89" s="21"/>
      <c r="S89" s="2"/>
      <c r="T89" s="2"/>
      <c r="U89" s="2"/>
      <c r="V89" s="21"/>
      <c r="W89" s="2"/>
      <c r="X89" s="2">
        <f t="shared" si="2"/>
        <v>-2919.78</v>
      </c>
      <c r="Y89" s="2"/>
      <c r="Z89" s="21">
        <f t="shared" si="3"/>
        <v>0</v>
      </c>
    </row>
    <row r="90" spans="1:26" s="24" customFormat="1" hidden="1" outlineLevel="1" x14ac:dyDescent="0.25">
      <c r="A90" s="46"/>
      <c r="B90" s="11" t="str">
        <f>CONCATENATE("          ", "4302", " - ", "SALES RETURN NON TAXABLE-TEXT")</f>
        <v xml:space="preserve">          4302 - SALES RETURN NON TAXABLE-TEXT</v>
      </c>
      <c r="C90" s="11"/>
      <c r="D90" s="2">
        <f>-250.25</f>
        <v>-250.25</v>
      </c>
      <c r="E90" s="2"/>
      <c r="F90" s="21"/>
      <c r="G90" s="2"/>
      <c r="H90" s="2"/>
      <c r="I90" s="2"/>
      <c r="J90" s="21"/>
      <c r="K90" s="2"/>
      <c r="L90" s="2">
        <f t="shared" si="0"/>
        <v>-250.25</v>
      </c>
      <c r="M90" s="2"/>
      <c r="N90" s="21">
        <f t="shared" si="1"/>
        <v>0</v>
      </c>
      <c r="O90" s="11"/>
      <c r="P90" s="2">
        <f>-250.25</f>
        <v>-250.25</v>
      </c>
      <c r="Q90" s="2"/>
      <c r="R90" s="21"/>
      <c r="S90" s="2"/>
      <c r="T90" s="2"/>
      <c r="U90" s="2"/>
      <c r="V90" s="21"/>
      <c r="W90" s="2"/>
      <c r="X90" s="2">
        <f t="shared" si="2"/>
        <v>-250.25</v>
      </c>
      <c r="Y90" s="2"/>
      <c r="Z90" s="21">
        <f t="shared" si="3"/>
        <v>0</v>
      </c>
    </row>
    <row r="91" spans="1:26" s="24" customFormat="1" hidden="1" outlineLevel="1" x14ac:dyDescent="0.25">
      <c r="A91" s="46"/>
      <c r="B91" s="11" t="str">
        <f>CONCATENATE("          ", "4304", " - ", "SALES RETURN NON TAXABLE-DIGIT")</f>
        <v xml:space="preserve">          4304 - SALES RETURN NON TAXABLE-DIGIT</v>
      </c>
      <c r="C91" s="11"/>
      <c r="D91" s="2">
        <f>-8466.55</f>
        <v>-8466.5499999999993</v>
      </c>
      <c r="E91" s="2"/>
      <c r="F91" s="21"/>
      <c r="G91" s="2"/>
      <c r="H91" s="2"/>
      <c r="I91" s="2"/>
      <c r="J91" s="21"/>
      <c r="K91" s="2"/>
      <c r="L91" s="2">
        <f t="shared" si="0"/>
        <v>-8466.5499999999993</v>
      </c>
      <c r="M91" s="2"/>
      <c r="N91" s="21">
        <f t="shared" si="1"/>
        <v>0</v>
      </c>
      <c r="O91" s="11"/>
      <c r="P91" s="2">
        <f>-8466.55</f>
        <v>-8466.5499999999993</v>
      </c>
      <c r="Q91" s="2"/>
      <c r="R91" s="21"/>
      <c r="S91" s="2"/>
      <c r="T91" s="2"/>
      <c r="U91" s="2"/>
      <c r="V91" s="21"/>
      <c r="W91" s="2"/>
      <c r="X91" s="2">
        <f t="shared" si="2"/>
        <v>-8466.5499999999993</v>
      </c>
      <c r="Y91" s="2"/>
      <c r="Z91" s="21">
        <f t="shared" si="3"/>
        <v>0</v>
      </c>
    </row>
    <row r="92" spans="1:26" s="24" customFormat="1" hidden="1" outlineLevel="1" x14ac:dyDescent="0.25">
      <c r="A92" s="46"/>
      <c r="B92" s="11" t="str">
        <f>CONCATENATE("          ", "4311", " - ", "SALES RETURN NON TAXABLE-NO VA")</f>
        <v xml:space="preserve">          4311 - SALES RETURN NON TAXABLE-NO VA</v>
      </c>
      <c r="C92" s="11"/>
      <c r="D92" s="2">
        <f>-79.06</f>
        <v>-79.06</v>
      </c>
      <c r="E92" s="2"/>
      <c r="F92" s="21"/>
      <c r="G92" s="2"/>
      <c r="H92" s="2"/>
      <c r="I92" s="2"/>
      <c r="J92" s="21"/>
      <c r="K92" s="2"/>
      <c r="L92" s="2">
        <f t="shared" si="0"/>
        <v>-79.06</v>
      </c>
      <c r="M92" s="2"/>
      <c r="N92" s="21">
        <f t="shared" si="1"/>
        <v>0</v>
      </c>
      <c r="O92" s="11"/>
      <c r="P92" s="2">
        <f>-111.04</f>
        <v>-111.04</v>
      </c>
      <c r="Q92" s="2"/>
      <c r="R92" s="21"/>
      <c r="S92" s="2"/>
      <c r="T92" s="2"/>
      <c r="U92" s="2"/>
      <c r="V92" s="21"/>
      <c r="W92" s="2"/>
      <c r="X92" s="2">
        <f t="shared" si="2"/>
        <v>-111.04</v>
      </c>
      <c r="Y92" s="2"/>
      <c r="Z92" s="21">
        <f t="shared" si="3"/>
        <v>0</v>
      </c>
    </row>
    <row r="93" spans="1:26" s="24" customFormat="1" hidden="1" outlineLevel="1" x14ac:dyDescent="0.25">
      <c r="A93" s="46"/>
      <c r="B93" s="11" t="str">
        <f>CONCATENATE("          ", "4327", " - ", "SALES RETURN NON TAXABLE-SCHOO")</f>
        <v xml:space="preserve">          4327 - SALES RETURN NON TAXABLE-SCHOO</v>
      </c>
      <c r="C93" s="11"/>
      <c r="D93" s="2">
        <f>-13.58</f>
        <v>-13.58</v>
      </c>
      <c r="E93" s="2"/>
      <c r="F93" s="21"/>
      <c r="G93" s="2"/>
      <c r="H93" s="2"/>
      <c r="I93" s="2"/>
      <c r="J93" s="21"/>
      <c r="K93" s="2"/>
      <c r="L93" s="2">
        <f t="shared" si="0"/>
        <v>-13.58</v>
      </c>
      <c r="M93" s="2"/>
      <c r="N93" s="21">
        <f t="shared" si="1"/>
        <v>0</v>
      </c>
      <c r="O93" s="11"/>
      <c r="P93" s="2">
        <f>-13.58</f>
        <v>-13.58</v>
      </c>
      <c r="Q93" s="2"/>
      <c r="R93" s="21"/>
      <c r="S93" s="2"/>
      <c r="T93" s="2"/>
      <c r="U93" s="2"/>
      <c r="V93" s="21"/>
      <c r="W93" s="2"/>
      <c r="X93" s="2">
        <f t="shared" si="2"/>
        <v>-13.58</v>
      </c>
      <c r="Y93" s="2"/>
      <c r="Z93" s="21">
        <f t="shared" si="3"/>
        <v>0</v>
      </c>
    </row>
    <row r="94" spans="1:26" s="24" customFormat="1" hidden="1" outlineLevel="1" x14ac:dyDescent="0.25">
      <c r="A94" s="46"/>
      <c r="B94" s="11" t="str">
        <f>CONCATENATE("          ", "4340", " - ", "SALES RETURN NON TAXABLE-LOGO")</f>
        <v xml:space="preserve">          4340 - SALES RETURN NON TAXABLE-LOGO</v>
      </c>
      <c r="C94" s="11"/>
      <c r="D94" s="2">
        <f>-44.95</f>
        <v>-44.95</v>
      </c>
      <c r="E94" s="2"/>
      <c r="F94" s="21"/>
      <c r="G94" s="2"/>
      <c r="H94" s="2"/>
      <c r="I94" s="2"/>
      <c r="J94" s="21"/>
      <c r="K94" s="2"/>
      <c r="L94" s="2">
        <f t="shared" si="0"/>
        <v>-44.95</v>
      </c>
      <c r="M94" s="2"/>
      <c r="N94" s="21">
        <f t="shared" si="1"/>
        <v>0</v>
      </c>
      <c r="O94" s="11"/>
      <c r="P94" s="2">
        <f>-268.5</f>
        <v>-268.5</v>
      </c>
      <c r="Q94" s="2"/>
      <c r="R94" s="21"/>
      <c r="S94" s="2"/>
      <c r="T94" s="2"/>
      <c r="U94" s="2"/>
      <c r="V94" s="21"/>
      <c r="W94" s="2"/>
      <c r="X94" s="2">
        <f t="shared" si="2"/>
        <v>-268.5</v>
      </c>
      <c r="Y94" s="2"/>
      <c r="Z94" s="21">
        <f t="shared" si="3"/>
        <v>0</v>
      </c>
    </row>
    <row r="95" spans="1:26" s="24" customFormat="1" hidden="1" outlineLevel="1" x14ac:dyDescent="0.25">
      <c r="A95" s="46"/>
      <c r="B95" s="11" t="str">
        <f>CONCATENATE("          ", "4341", " - ", "SALES RETURN NON TAXABLE-LOGO")</f>
        <v xml:space="preserve">          4341 - SALES RETURN NON TAXABLE-LOGO</v>
      </c>
      <c r="C95" s="11"/>
      <c r="D95" s="2">
        <f>-3.95</f>
        <v>-3.95</v>
      </c>
      <c r="E95" s="2"/>
      <c r="F95" s="21"/>
      <c r="G95" s="2"/>
      <c r="H95" s="2"/>
      <c r="I95" s="2"/>
      <c r="J95" s="21"/>
      <c r="K95" s="2"/>
      <c r="L95" s="2">
        <f t="shared" si="0"/>
        <v>-3.95</v>
      </c>
      <c r="M95" s="2"/>
      <c r="N95" s="21">
        <f t="shared" si="1"/>
        <v>0</v>
      </c>
      <c r="O95" s="11"/>
      <c r="P95" s="2">
        <f>-3.95</f>
        <v>-3.95</v>
      </c>
      <c r="Q95" s="2"/>
      <c r="R95" s="21"/>
      <c r="S95" s="2"/>
      <c r="T95" s="2"/>
      <c r="U95" s="2"/>
      <c r="V95" s="21"/>
      <c r="W95" s="2"/>
      <c r="X95" s="2">
        <f t="shared" si="2"/>
        <v>-3.95</v>
      </c>
      <c r="Y95" s="2"/>
      <c r="Z95" s="21">
        <f t="shared" si="3"/>
        <v>0</v>
      </c>
    </row>
    <row r="96" spans="1:26" s="24" customFormat="1" hidden="1" outlineLevel="1" x14ac:dyDescent="0.25">
      <c r="A96" s="46"/>
      <c r="B96" s="11" t="str">
        <f>CONCATENATE("          ", "4346", " - ", "SALES RETURN NON TAXABLE-COIN-")</f>
        <v xml:space="preserve">          4346 - SALES RETURN NON TAXABLE-COIN-</v>
      </c>
      <c r="C96" s="11"/>
      <c r="D96" s="2">
        <f>-8.15</f>
        <v>-8.15</v>
      </c>
      <c r="E96" s="2"/>
      <c r="F96" s="21"/>
      <c r="G96" s="2"/>
      <c r="H96" s="2"/>
      <c r="I96" s="2"/>
      <c r="J96" s="21"/>
      <c r="K96" s="2"/>
      <c r="L96" s="2">
        <f t="shared" si="0"/>
        <v>-8.15</v>
      </c>
      <c r="M96" s="2"/>
      <c r="N96" s="21">
        <f t="shared" si="1"/>
        <v>0</v>
      </c>
      <c r="O96" s="11"/>
      <c r="P96" s="2">
        <f>-8.15</f>
        <v>-8.15</v>
      </c>
      <c r="Q96" s="2"/>
      <c r="R96" s="21"/>
      <c r="S96" s="2"/>
      <c r="T96" s="2"/>
      <c r="U96" s="2"/>
      <c r="V96" s="21"/>
      <c r="W96" s="2"/>
      <c r="X96" s="2">
        <f t="shared" si="2"/>
        <v>-8.15</v>
      </c>
      <c r="Y96" s="2"/>
      <c r="Z96" s="21">
        <f t="shared" si="3"/>
        <v>0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collapsed="1" x14ac:dyDescent="0.25">
      <c r="A98" s="10"/>
      <c r="B98" s="28" t="s">
        <v>8</v>
      </c>
      <c r="C98" s="10"/>
      <c r="D98" s="4">
        <f>SUM(OSRRefD16x_0)</f>
        <v>1836476.3300000005</v>
      </c>
      <c r="E98" s="4"/>
      <c r="F98" s="12">
        <f t="shared" ref="F98:F148" si="4">IF(D$12=0,0,D98/D$12)</f>
        <v>0.64853647374291301</v>
      </c>
      <c r="G98" s="4"/>
      <c r="H98" s="4">
        <f>SUM(OSRRefH16x_0)</f>
        <v>1940613.8266399999</v>
      </c>
      <c r="I98" s="4"/>
      <c r="J98" s="12">
        <f t="shared" ref="J98:J148" si="5">IF(H$12=0,0,H98/H$12)</f>
        <v>0.64455409912577732</v>
      </c>
      <c r="K98" s="4"/>
      <c r="L98" s="4">
        <f t="shared" ref="L98:L148" si="6">+D98-H98</f>
        <v>-104137.49663999933</v>
      </c>
      <c r="M98" s="4"/>
      <c r="N98" s="12">
        <f t="shared" ref="N98:N148" si="7">IF(H98=0,0,L98/H98)</f>
        <v>-5.3662142983029314E-2</v>
      </c>
      <c r="O98" s="10"/>
      <c r="P98" s="4">
        <f>SUM(OSRRefP16x_0)</f>
        <v>2055665.0800000015</v>
      </c>
      <c r="Q98" s="4"/>
      <c r="R98" s="12">
        <f t="shared" ref="R98:R148" si="8">IF(P$12=0,0,P98/P$12)</f>
        <v>0.63397782178562523</v>
      </c>
      <c r="S98" s="4"/>
      <c r="T98" s="4">
        <f>SUM(OSRRefT16x_0)</f>
        <v>2178591.39096</v>
      </c>
      <c r="U98" s="4"/>
      <c r="V98" s="12">
        <f t="shared" ref="V98:V148" si="9">IF(T$12=0,0,T98/T$12)</f>
        <v>0.63014813717137863</v>
      </c>
      <c r="W98" s="4"/>
      <c r="X98" s="4">
        <f t="shared" ref="X98:X148" si="10">+P98-T98</f>
        <v>-122926.31095999852</v>
      </c>
      <c r="Y98" s="4"/>
      <c r="Z98" s="12">
        <f t="shared" ref="Z98:Z148" si="11">IF(T98=0,0,X98/T98)</f>
        <v>-5.6424674893179871E-2</v>
      </c>
    </row>
    <row r="99" spans="1:26" s="24" customFormat="1" hidden="1" outlineLevel="1" x14ac:dyDescent="0.25">
      <c r="A99" s="46"/>
      <c r="B99" s="11" t="str">
        <f>CONCATENATE("          ", "5000", " - ", "PURCHASES @ COST")</f>
        <v xml:space="preserve">          5000 - PURCHASES @ COST</v>
      </c>
      <c r="C99" s="11"/>
      <c r="D99" s="2"/>
      <c r="E99" s="2"/>
      <c r="F99" s="21">
        <f t="shared" si="4"/>
        <v>0</v>
      </c>
      <c r="G99" s="2"/>
      <c r="H99" s="2">
        <v>1940613.8266399999</v>
      </c>
      <c r="I99" s="2"/>
      <c r="J99" s="21">
        <f t="shared" si="5"/>
        <v>0.64455409912577732</v>
      </c>
      <c r="K99" s="2"/>
      <c r="L99" s="2">
        <f t="shared" si="6"/>
        <v>-1940613.8266399999</v>
      </c>
      <c r="M99" s="2"/>
      <c r="N99" s="21">
        <f t="shared" si="7"/>
        <v>-1</v>
      </c>
      <c r="O99" s="11"/>
      <c r="P99" s="2"/>
      <c r="Q99" s="2"/>
      <c r="R99" s="21">
        <f t="shared" si="8"/>
        <v>0</v>
      </c>
      <c r="S99" s="2"/>
      <c r="T99" s="2">
        <v>2178591.39096</v>
      </c>
      <c r="U99" s="2"/>
      <c r="V99" s="21">
        <f t="shared" si="9"/>
        <v>0.63014813717137863</v>
      </c>
      <c r="W99" s="2"/>
      <c r="X99" s="2">
        <f t="shared" si="10"/>
        <v>-2178591.39096</v>
      </c>
      <c r="Y99" s="2"/>
      <c r="Z99" s="21">
        <f t="shared" si="11"/>
        <v>-1</v>
      </c>
    </row>
    <row r="100" spans="1:26" s="24" customFormat="1" hidden="1" outlineLevel="1" x14ac:dyDescent="0.25">
      <c r="A100" s="46"/>
      <c r="B100" s="11" t="str">
        <f>CONCATENATE("          ", "5001", " - ", "PURCHASES @ COST-NEW TEXT")</f>
        <v xml:space="preserve">          5001 - PURCHASES @ COST-NEW TEXT</v>
      </c>
      <c r="C100" s="11"/>
      <c r="D100" s="2">
        <v>1483764.14</v>
      </c>
      <c r="E100" s="2"/>
      <c r="F100" s="21">
        <f t="shared" si="4"/>
        <v>0.52397907204270122</v>
      </c>
      <c r="G100" s="2"/>
      <c r="H100" s="2"/>
      <c r="I100" s="2"/>
      <c r="J100" s="21">
        <f t="shared" si="5"/>
        <v>0</v>
      </c>
      <c r="K100" s="2"/>
      <c r="L100" s="2">
        <f t="shared" si="6"/>
        <v>1483764.14</v>
      </c>
      <c r="M100" s="2"/>
      <c r="N100" s="21">
        <f t="shared" si="7"/>
        <v>0</v>
      </c>
      <c r="O100" s="11"/>
      <c r="P100" s="2">
        <v>1827758.7</v>
      </c>
      <c r="Q100" s="2"/>
      <c r="R100" s="21">
        <f t="shared" si="8"/>
        <v>0.56369030667959064</v>
      </c>
      <c r="S100" s="2"/>
      <c r="T100" s="2"/>
      <c r="U100" s="2"/>
      <c r="V100" s="21">
        <f t="shared" si="9"/>
        <v>0</v>
      </c>
      <c r="W100" s="2"/>
      <c r="X100" s="2">
        <f t="shared" si="10"/>
        <v>1827758.7</v>
      </c>
      <c r="Y100" s="2"/>
      <c r="Z100" s="21">
        <f t="shared" si="11"/>
        <v>0</v>
      </c>
    </row>
    <row r="101" spans="1:26" s="24" customFormat="1" hidden="1" outlineLevel="1" x14ac:dyDescent="0.25">
      <c r="A101" s="46"/>
      <c r="B101" s="11" t="str">
        <f>CONCATENATE("          ", "5002", " - ", "PURCHASES @ COST-USED TEXT")</f>
        <v xml:space="preserve">          5002 - PURCHASES @ COST-USED TEXT</v>
      </c>
      <c r="C101" s="11"/>
      <c r="D101" s="2">
        <v>224687.41999999998</v>
      </c>
      <c r="E101" s="2"/>
      <c r="F101" s="21">
        <f t="shared" si="4"/>
        <v>7.9346509770258145E-2</v>
      </c>
      <c r="G101" s="2"/>
      <c r="H101" s="2"/>
      <c r="I101" s="2"/>
      <c r="J101" s="21">
        <f t="shared" si="5"/>
        <v>0</v>
      </c>
      <c r="K101" s="2"/>
      <c r="L101" s="2">
        <f t="shared" si="6"/>
        <v>224687.41999999998</v>
      </c>
      <c r="M101" s="2"/>
      <c r="N101" s="21">
        <f t="shared" si="7"/>
        <v>0</v>
      </c>
      <c r="O101" s="11"/>
      <c r="P101" s="2">
        <v>334980.67</v>
      </c>
      <c r="Q101" s="2"/>
      <c r="R101" s="21">
        <f t="shared" si="8"/>
        <v>0.10330978405630609</v>
      </c>
      <c r="S101" s="2"/>
      <c r="T101" s="2"/>
      <c r="U101" s="2"/>
      <c r="V101" s="21">
        <f t="shared" si="9"/>
        <v>0</v>
      </c>
      <c r="W101" s="2"/>
      <c r="X101" s="2">
        <f t="shared" si="10"/>
        <v>334980.67</v>
      </c>
      <c r="Y101" s="2"/>
      <c r="Z101" s="21">
        <f t="shared" si="11"/>
        <v>0</v>
      </c>
    </row>
    <row r="102" spans="1:26" s="24" customFormat="1" hidden="1" outlineLevel="1" x14ac:dyDescent="0.25">
      <c r="A102" s="46"/>
      <c r="B102" s="11" t="str">
        <f>CONCATENATE("          ", "5003", " - ", "PURCHASES @ COST-RENTAL TEXT")</f>
        <v xml:space="preserve">          5003 - PURCHASES @ COST-RENTAL TEXT</v>
      </c>
      <c r="C102" s="11"/>
      <c r="D102" s="2">
        <v>-38374.199999999997</v>
      </c>
      <c r="E102" s="2"/>
      <c r="F102" s="21">
        <f t="shared" si="4"/>
        <v>-1.3551532325333746E-2</v>
      </c>
      <c r="G102" s="2"/>
      <c r="H102" s="2"/>
      <c r="I102" s="2"/>
      <c r="J102" s="21">
        <f t="shared" si="5"/>
        <v>0</v>
      </c>
      <c r="K102" s="2"/>
      <c r="L102" s="2">
        <f t="shared" si="6"/>
        <v>-38374.199999999997</v>
      </c>
      <c r="M102" s="2"/>
      <c r="N102" s="21">
        <f t="shared" si="7"/>
        <v>0</v>
      </c>
      <c r="O102" s="11"/>
      <c r="P102" s="2">
        <v>-78.400000000000006</v>
      </c>
      <c r="Q102" s="2"/>
      <c r="R102" s="21">
        <f t="shared" si="8"/>
        <v>-2.4178968505897366E-5</v>
      </c>
      <c r="S102" s="2"/>
      <c r="T102" s="2"/>
      <c r="U102" s="2"/>
      <c r="V102" s="21">
        <f t="shared" si="9"/>
        <v>0</v>
      </c>
      <c r="W102" s="2"/>
      <c r="X102" s="2">
        <f t="shared" si="10"/>
        <v>-78.400000000000006</v>
      </c>
      <c r="Y102" s="2"/>
      <c r="Z102" s="21">
        <f t="shared" si="11"/>
        <v>0</v>
      </c>
    </row>
    <row r="103" spans="1:26" s="24" customFormat="1" hidden="1" outlineLevel="1" x14ac:dyDescent="0.25">
      <c r="A103" s="46"/>
      <c r="B103" s="11" t="str">
        <f>CONCATENATE("          ", "5004", " - ", "PURCHASES @ COST-DIGITAL TEXT")</f>
        <v xml:space="preserve">          5004 - PURCHASES @ COST-DIGITAL TEXT</v>
      </c>
      <c r="C103" s="11"/>
      <c r="D103" s="2">
        <v>169007.92</v>
      </c>
      <c r="E103" s="2"/>
      <c r="F103" s="21">
        <f t="shared" si="4"/>
        <v>5.96837534363562E-2</v>
      </c>
      <c r="G103" s="2"/>
      <c r="H103" s="2"/>
      <c r="I103" s="2"/>
      <c r="J103" s="21">
        <f t="shared" si="5"/>
        <v>0</v>
      </c>
      <c r="K103" s="2"/>
      <c r="L103" s="2">
        <f t="shared" si="6"/>
        <v>169007.92</v>
      </c>
      <c r="M103" s="2"/>
      <c r="N103" s="21">
        <f t="shared" si="7"/>
        <v>0</v>
      </c>
      <c r="O103" s="11"/>
      <c r="P103" s="2">
        <v>302966.49000000005</v>
      </c>
      <c r="Q103" s="2"/>
      <c r="R103" s="21">
        <f t="shared" si="8"/>
        <v>9.3436444133319765E-2</v>
      </c>
      <c r="S103" s="2"/>
      <c r="T103" s="2"/>
      <c r="U103" s="2"/>
      <c r="V103" s="21">
        <f t="shared" si="9"/>
        <v>0</v>
      </c>
      <c r="W103" s="2"/>
      <c r="X103" s="2">
        <f t="shared" si="10"/>
        <v>302966.49000000005</v>
      </c>
      <c r="Y103" s="2"/>
      <c r="Z103" s="21">
        <f t="shared" si="11"/>
        <v>0</v>
      </c>
    </row>
    <row r="104" spans="1:26" s="24" customFormat="1" hidden="1" outlineLevel="1" x14ac:dyDescent="0.25">
      <c r="A104" s="46"/>
      <c r="B104" s="11" t="str">
        <f>CONCATENATE("          ", "5011", " - ", "PURCHASES @ COST-NO VALUE TEXT")</f>
        <v xml:space="preserve">          5011 - PURCHASES @ COST-NO VALUE TEXT</v>
      </c>
      <c r="C104" s="11"/>
      <c r="D104" s="2">
        <v>369</v>
      </c>
      <c r="E104" s="2"/>
      <c r="F104" s="21">
        <f t="shared" si="4"/>
        <v>1.3030930750473373E-4</v>
      </c>
      <c r="G104" s="2"/>
      <c r="H104" s="2"/>
      <c r="I104" s="2"/>
      <c r="J104" s="21">
        <f t="shared" si="5"/>
        <v>0</v>
      </c>
      <c r="K104" s="2"/>
      <c r="L104" s="2">
        <f t="shared" si="6"/>
        <v>369</v>
      </c>
      <c r="M104" s="2"/>
      <c r="N104" s="21">
        <f t="shared" si="7"/>
        <v>0</v>
      </c>
      <c r="O104" s="11"/>
      <c r="P104" s="2">
        <v>657</v>
      </c>
      <c r="Q104" s="2"/>
      <c r="R104" s="21">
        <f t="shared" si="8"/>
        <v>2.0262222332110419E-4</v>
      </c>
      <c r="S104" s="2"/>
      <c r="T104" s="2"/>
      <c r="U104" s="2"/>
      <c r="V104" s="21">
        <f t="shared" si="9"/>
        <v>0</v>
      </c>
      <c r="W104" s="2"/>
      <c r="X104" s="2">
        <f t="shared" si="10"/>
        <v>657</v>
      </c>
      <c r="Y104" s="2"/>
      <c r="Z104" s="21">
        <f t="shared" si="11"/>
        <v>0</v>
      </c>
    </row>
    <row r="105" spans="1:26" s="24" customFormat="1" hidden="1" outlineLevel="1" x14ac:dyDescent="0.25">
      <c r="A105" s="46"/>
      <c r="B105" s="11" t="str">
        <f>CONCATENATE("          ", "5013", " - ", "PURCHASES @ COST-TRADE BOOKS")</f>
        <v xml:space="preserve">          5013 - PURCHASES @ COST-TRADE BOOKS</v>
      </c>
      <c r="C105" s="11"/>
      <c r="D105" s="2"/>
      <c r="E105" s="2"/>
      <c r="F105" s="21">
        <f t="shared" si="4"/>
        <v>0</v>
      </c>
      <c r="G105" s="2"/>
      <c r="H105" s="2"/>
      <c r="I105" s="2"/>
      <c r="J105" s="21">
        <f t="shared" si="5"/>
        <v>0</v>
      </c>
      <c r="K105" s="2"/>
      <c r="L105" s="2">
        <f t="shared" si="6"/>
        <v>0</v>
      </c>
      <c r="M105" s="2"/>
      <c r="N105" s="21">
        <f t="shared" si="7"/>
        <v>0</v>
      </c>
      <c r="O105" s="11"/>
      <c r="P105" s="2">
        <v>204.9</v>
      </c>
      <c r="Q105" s="2"/>
      <c r="R105" s="21">
        <f t="shared" si="8"/>
        <v>6.3192227638499617E-5</v>
      </c>
      <c r="S105" s="2"/>
      <c r="T105" s="2"/>
      <c r="U105" s="2"/>
      <c r="V105" s="21">
        <f t="shared" si="9"/>
        <v>0</v>
      </c>
      <c r="W105" s="2"/>
      <c r="X105" s="2">
        <f t="shared" si="10"/>
        <v>204.9</v>
      </c>
      <c r="Y105" s="2"/>
      <c r="Z105" s="21">
        <f t="shared" si="11"/>
        <v>0</v>
      </c>
    </row>
    <row r="106" spans="1:26" s="24" customFormat="1" hidden="1" outlineLevel="1" x14ac:dyDescent="0.25">
      <c r="A106" s="46"/>
      <c r="B106" s="11" t="str">
        <f>CONCATENATE("          ", "5014", " - ", "PURCHASES @ COST-REMAINDERS")</f>
        <v xml:space="preserve">          5014 - PURCHASES @ COST-REMAINDERS</v>
      </c>
      <c r="C106" s="11"/>
      <c r="D106" s="2">
        <v>133.84</v>
      </c>
      <c r="E106" s="2"/>
      <c r="F106" s="21">
        <f t="shared" si="4"/>
        <v>4.7264492456459515E-5</v>
      </c>
      <c r="G106" s="2"/>
      <c r="H106" s="2"/>
      <c r="I106" s="2"/>
      <c r="J106" s="21">
        <f t="shared" si="5"/>
        <v>0</v>
      </c>
      <c r="K106" s="2"/>
      <c r="L106" s="2">
        <f t="shared" si="6"/>
        <v>133.84</v>
      </c>
      <c r="M106" s="2"/>
      <c r="N106" s="21">
        <f t="shared" si="7"/>
        <v>0</v>
      </c>
      <c r="O106" s="11"/>
      <c r="P106" s="2">
        <v>234.32</v>
      </c>
      <c r="Q106" s="2"/>
      <c r="R106" s="21">
        <f t="shared" si="8"/>
        <v>7.2265508932421813E-5</v>
      </c>
      <c r="S106" s="2"/>
      <c r="T106" s="2"/>
      <c r="U106" s="2"/>
      <c r="V106" s="21">
        <f t="shared" si="9"/>
        <v>0</v>
      </c>
      <c r="W106" s="2"/>
      <c r="X106" s="2">
        <f t="shared" si="10"/>
        <v>234.32</v>
      </c>
      <c r="Y106" s="2"/>
      <c r="Z106" s="21">
        <f t="shared" si="11"/>
        <v>0</v>
      </c>
    </row>
    <row r="107" spans="1:26" s="24" customFormat="1" hidden="1" outlineLevel="1" x14ac:dyDescent="0.25">
      <c r="A107" s="46"/>
      <c r="B107" s="11" t="str">
        <f>CONCATENATE("          ", "5017", " - ", "PURCHASES @ COST-DORM/HOUSEWAR")</f>
        <v xml:space="preserve">          5017 - PURCHASES @ COST-DORM/HOUSEWAR</v>
      </c>
      <c r="C107" s="11"/>
      <c r="D107" s="2">
        <v>139.86000000000001</v>
      </c>
      <c r="E107" s="2"/>
      <c r="F107" s="21">
        <f t="shared" si="4"/>
        <v>4.9390405820086885E-5</v>
      </c>
      <c r="G107" s="2"/>
      <c r="H107" s="2"/>
      <c r="I107" s="2"/>
      <c r="J107" s="21">
        <f t="shared" si="5"/>
        <v>0</v>
      </c>
      <c r="K107" s="2"/>
      <c r="L107" s="2">
        <f t="shared" si="6"/>
        <v>139.86000000000001</v>
      </c>
      <c r="M107" s="2"/>
      <c r="N107" s="21">
        <f t="shared" si="7"/>
        <v>0</v>
      </c>
      <c r="O107" s="11"/>
      <c r="P107" s="2">
        <v>139.86000000000001</v>
      </c>
      <c r="Q107" s="2"/>
      <c r="R107" s="21">
        <f t="shared" si="8"/>
        <v>4.3133552745341911E-5</v>
      </c>
      <c r="S107" s="2"/>
      <c r="T107" s="2"/>
      <c r="U107" s="2"/>
      <c r="V107" s="21">
        <f t="shared" si="9"/>
        <v>0</v>
      </c>
      <c r="W107" s="2"/>
      <c r="X107" s="2">
        <f t="shared" si="10"/>
        <v>139.86000000000001</v>
      </c>
      <c r="Y107" s="2"/>
      <c r="Z107" s="21">
        <f t="shared" si="11"/>
        <v>0</v>
      </c>
    </row>
    <row r="108" spans="1:26" s="24" customFormat="1" hidden="1" outlineLevel="1" x14ac:dyDescent="0.25">
      <c r="A108" s="46"/>
      <c r="B108" s="11" t="str">
        <f>CONCATENATE("          ", "5018", " - ", "PURCHASES @ COST-STUDY GUIDES")</f>
        <v xml:space="preserve">          5018 - PURCHASES @ COST-STUDY GUIDES</v>
      </c>
      <c r="C108" s="11"/>
      <c r="D108" s="2"/>
      <c r="E108" s="2"/>
      <c r="F108" s="21">
        <f t="shared" si="4"/>
        <v>0</v>
      </c>
      <c r="G108" s="2"/>
      <c r="H108" s="2"/>
      <c r="I108" s="2"/>
      <c r="J108" s="21">
        <f t="shared" si="5"/>
        <v>0</v>
      </c>
      <c r="K108" s="2"/>
      <c r="L108" s="2">
        <f t="shared" si="6"/>
        <v>0</v>
      </c>
      <c r="M108" s="2"/>
      <c r="N108" s="21">
        <f t="shared" si="7"/>
        <v>0</v>
      </c>
      <c r="O108" s="11"/>
      <c r="P108" s="2">
        <v>503.93</v>
      </c>
      <c r="Q108" s="2"/>
      <c r="R108" s="21">
        <f t="shared" si="8"/>
        <v>1.554146377446028E-4</v>
      </c>
      <c r="S108" s="2"/>
      <c r="T108" s="2"/>
      <c r="U108" s="2"/>
      <c r="V108" s="21">
        <f t="shared" si="9"/>
        <v>0</v>
      </c>
      <c r="W108" s="2"/>
      <c r="X108" s="2">
        <f t="shared" si="10"/>
        <v>503.93</v>
      </c>
      <c r="Y108" s="2"/>
      <c r="Z108" s="21">
        <f t="shared" si="11"/>
        <v>0</v>
      </c>
    </row>
    <row r="109" spans="1:26" s="24" customFormat="1" hidden="1" outlineLevel="1" x14ac:dyDescent="0.25">
      <c r="A109" s="46"/>
      <c r="B109" s="11" t="str">
        <f>CONCATENATE("          ", "5025", " - ", "PURCHASES @ COST-TEST FORMS")</f>
        <v xml:space="preserve">          5025 - PURCHASES @ COST-TEST FORMS</v>
      </c>
      <c r="C109" s="11"/>
      <c r="D109" s="2">
        <v>878.02</v>
      </c>
      <c r="E109" s="2"/>
      <c r="F109" s="21">
        <f t="shared" si="4"/>
        <v>3.1006552351031517E-4</v>
      </c>
      <c r="G109" s="2"/>
      <c r="H109" s="2"/>
      <c r="I109" s="2"/>
      <c r="J109" s="21">
        <f t="shared" si="5"/>
        <v>0</v>
      </c>
      <c r="K109" s="2"/>
      <c r="L109" s="2">
        <f t="shared" si="6"/>
        <v>878.02</v>
      </c>
      <c r="M109" s="2"/>
      <c r="N109" s="21">
        <f t="shared" si="7"/>
        <v>0</v>
      </c>
      <c r="O109" s="11"/>
      <c r="P109" s="2">
        <v>1757.14</v>
      </c>
      <c r="Q109" s="2"/>
      <c r="R109" s="21">
        <f t="shared" si="8"/>
        <v>5.4191113163842473E-4</v>
      </c>
      <c r="S109" s="2"/>
      <c r="T109" s="2"/>
      <c r="U109" s="2"/>
      <c r="V109" s="21">
        <f t="shared" si="9"/>
        <v>0</v>
      </c>
      <c r="W109" s="2"/>
      <c r="X109" s="2">
        <f t="shared" si="10"/>
        <v>1757.14</v>
      </c>
      <c r="Y109" s="2"/>
      <c r="Z109" s="21">
        <f t="shared" si="11"/>
        <v>0</v>
      </c>
    </row>
    <row r="110" spans="1:26" s="24" customFormat="1" hidden="1" outlineLevel="1" x14ac:dyDescent="0.25">
      <c r="A110" s="46"/>
      <c r="B110" s="11" t="str">
        <f>CONCATENATE("          ", "5026", " - ", "PURCHASES @ COST-WRITING INSTR")</f>
        <v xml:space="preserve">          5026 - PURCHASES @ COST-WRITING INSTR</v>
      </c>
      <c r="C110" s="11"/>
      <c r="D110" s="2">
        <v>2205.4899999999998</v>
      </c>
      <c r="E110" s="2"/>
      <c r="F110" s="21">
        <f t="shared" si="4"/>
        <v>7.7885060869543399E-4</v>
      </c>
      <c r="G110" s="2"/>
      <c r="H110" s="2"/>
      <c r="I110" s="2"/>
      <c r="J110" s="21">
        <f t="shared" si="5"/>
        <v>0</v>
      </c>
      <c r="K110" s="2"/>
      <c r="L110" s="2">
        <f t="shared" si="6"/>
        <v>2205.4899999999998</v>
      </c>
      <c r="M110" s="2"/>
      <c r="N110" s="21">
        <f t="shared" si="7"/>
        <v>0</v>
      </c>
      <c r="O110" s="11"/>
      <c r="P110" s="2">
        <v>12536.53</v>
      </c>
      <c r="Q110" s="2"/>
      <c r="R110" s="21">
        <f t="shared" si="8"/>
        <v>3.8663311740208864E-3</v>
      </c>
      <c r="S110" s="2"/>
      <c r="T110" s="2"/>
      <c r="U110" s="2"/>
      <c r="V110" s="21">
        <f t="shared" si="9"/>
        <v>0</v>
      </c>
      <c r="W110" s="2"/>
      <c r="X110" s="2">
        <f t="shared" si="10"/>
        <v>12536.53</v>
      </c>
      <c r="Y110" s="2"/>
      <c r="Z110" s="21">
        <f t="shared" si="11"/>
        <v>0</v>
      </c>
    </row>
    <row r="111" spans="1:26" s="24" customFormat="1" hidden="1" outlineLevel="1" x14ac:dyDescent="0.25">
      <c r="A111" s="46"/>
      <c r="B111" s="11" t="str">
        <f>CONCATENATE("          ", "5027", " - ", "PURCHASES @ COST-SCHOOL SUPPLI")</f>
        <v xml:space="preserve">          5027 - PURCHASES @ COST-SCHOOL SUPPLI</v>
      </c>
      <c r="C111" s="11"/>
      <c r="D111" s="2">
        <v>-588.74</v>
      </c>
      <c r="E111" s="2"/>
      <c r="F111" s="21">
        <f t="shared" si="4"/>
        <v>-2.0790867669468003E-4</v>
      </c>
      <c r="G111" s="2"/>
      <c r="H111" s="2"/>
      <c r="I111" s="2"/>
      <c r="J111" s="21">
        <f t="shared" si="5"/>
        <v>0</v>
      </c>
      <c r="K111" s="2"/>
      <c r="L111" s="2">
        <f t="shared" si="6"/>
        <v>-588.74</v>
      </c>
      <c r="M111" s="2"/>
      <c r="N111" s="21">
        <f t="shared" si="7"/>
        <v>0</v>
      </c>
      <c r="O111" s="11"/>
      <c r="P111" s="2">
        <v>49526.729999999996</v>
      </c>
      <c r="Q111" s="2"/>
      <c r="R111" s="21">
        <f t="shared" si="8"/>
        <v>1.5274301592730639E-2</v>
      </c>
      <c r="S111" s="2"/>
      <c r="T111" s="2"/>
      <c r="U111" s="2"/>
      <c r="V111" s="21">
        <f t="shared" si="9"/>
        <v>0</v>
      </c>
      <c r="W111" s="2"/>
      <c r="X111" s="2">
        <f t="shared" si="10"/>
        <v>49526.729999999996</v>
      </c>
      <c r="Y111" s="2"/>
      <c r="Z111" s="21">
        <f t="shared" si="11"/>
        <v>0</v>
      </c>
    </row>
    <row r="112" spans="1:26" s="24" customFormat="1" hidden="1" outlineLevel="1" x14ac:dyDescent="0.25">
      <c r="A112" s="46"/>
      <c r="B112" s="11" t="str">
        <f>CONCATENATE("          ", "5028", " - ", "PURCHASES @ COST-ART/TECH")</f>
        <v xml:space="preserve">          5028 - PURCHASES @ COST-ART/TECH</v>
      </c>
      <c r="C112" s="11"/>
      <c r="D112" s="2">
        <v>27987.119999999999</v>
      </c>
      <c r="E112" s="2"/>
      <c r="F112" s="21">
        <f t="shared" si="4"/>
        <v>9.8834206673492769E-3</v>
      </c>
      <c r="G112" s="2"/>
      <c r="H112" s="2"/>
      <c r="I112" s="2"/>
      <c r="J112" s="21">
        <f t="shared" si="5"/>
        <v>0</v>
      </c>
      <c r="K112" s="2"/>
      <c r="L112" s="2">
        <f t="shared" si="6"/>
        <v>27987.119999999999</v>
      </c>
      <c r="M112" s="2"/>
      <c r="N112" s="21">
        <f t="shared" si="7"/>
        <v>0</v>
      </c>
      <c r="O112" s="11"/>
      <c r="P112" s="2">
        <v>56014.77</v>
      </c>
      <c r="Q112" s="2"/>
      <c r="R112" s="21">
        <f t="shared" si="8"/>
        <v>1.7275246934886281E-2</v>
      </c>
      <c r="S112" s="2"/>
      <c r="T112" s="2"/>
      <c r="U112" s="2"/>
      <c r="V112" s="21">
        <f t="shared" si="9"/>
        <v>0</v>
      </c>
      <c r="W112" s="2"/>
      <c r="X112" s="2">
        <f t="shared" si="10"/>
        <v>56014.77</v>
      </c>
      <c r="Y112" s="2"/>
      <c r="Z112" s="21">
        <f t="shared" si="11"/>
        <v>0</v>
      </c>
    </row>
    <row r="113" spans="1:26" s="24" customFormat="1" hidden="1" outlineLevel="1" x14ac:dyDescent="0.25">
      <c r="A113" s="46"/>
      <c r="B113" s="11" t="str">
        <f>CONCATENATE("          ", "5031", " - ", "PURCHASES @ COST-FOOD")</f>
        <v xml:space="preserve">          5031 - PURCHASES @ COST-FOOD</v>
      </c>
      <c r="C113" s="11"/>
      <c r="D113" s="2">
        <v>2679.04</v>
      </c>
      <c r="E113" s="2"/>
      <c r="F113" s="21">
        <f t="shared" si="4"/>
        <v>9.460808866598423E-4</v>
      </c>
      <c r="G113" s="2"/>
      <c r="H113" s="2"/>
      <c r="I113" s="2"/>
      <c r="J113" s="21">
        <f t="shared" si="5"/>
        <v>0</v>
      </c>
      <c r="K113" s="2"/>
      <c r="L113" s="2">
        <f t="shared" si="6"/>
        <v>2679.04</v>
      </c>
      <c r="M113" s="2"/>
      <c r="N113" s="21">
        <f t="shared" si="7"/>
        <v>0</v>
      </c>
      <c r="O113" s="11"/>
      <c r="P113" s="2">
        <v>2679.04</v>
      </c>
      <c r="Q113" s="2"/>
      <c r="R113" s="21">
        <f t="shared" si="8"/>
        <v>8.262298952300928E-4</v>
      </c>
      <c r="S113" s="2"/>
      <c r="T113" s="2"/>
      <c r="U113" s="2"/>
      <c r="V113" s="21">
        <f t="shared" si="9"/>
        <v>0</v>
      </c>
      <c r="W113" s="2"/>
      <c r="X113" s="2">
        <f t="shared" si="10"/>
        <v>2679.04</v>
      </c>
      <c r="Y113" s="2"/>
      <c r="Z113" s="21">
        <f t="shared" si="11"/>
        <v>0</v>
      </c>
    </row>
    <row r="114" spans="1:26" s="24" customFormat="1" hidden="1" outlineLevel="1" x14ac:dyDescent="0.25">
      <c r="A114" s="46"/>
      <c r="B114" s="11" t="str">
        <f>CONCATENATE("          ", "5032", " - ", "PURCHASES @ COST-JUICE")</f>
        <v xml:space="preserve">          5032 - PURCHASES @ COST-JUICE</v>
      </c>
      <c r="C114" s="11"/>
      <c r="D114" s="2">
        <v>227.18</v>
      </c>
      <c r="E114" s="2"/>
      <c r="F114" s="21">
        <f t="shared" si="4"/>
        <v>8.0226743845326304E-5</v>
      </c>
      <c r="G114" s="2"/>
      <c r="H114" s="2"/>
      <c r="I114" s="2"/>
      <c r="J114" s="21">
        <f t="shared" si="5"/>
        <v>0</v>
      </c>
      <c r="K114" s="2"/>
      <c r="L114" s="2">
        <f t="shared" si="6"/>
        <v>227.18</v>
      </c>
      <c r="M114" s="2"/>
      <c r="N114" s="21">
        <f t="shared" si="7"/>
        <v>0</v>
      </c>
      <c r="O114" s="11"/>
      <c r="P114" s="2">
        <v>341.6</v>
      </c>
      <c r="Q114" s="2"/>
      <c r="R114" s="21">
        <f t="shared" si="8"/>
        <v>1.0535121991855281E-4</v>
      </c>
      <c r="S114" s="2"/>
      <c r="T114" s="2"/>
      <c r="U114" s="2"/>
      <c r="V114" s="21">
        <f t="shared" si="9"/>
        <v>0</v>
      </c>
      <c r="W114" s="2"/>
      <c r="X114" s="2">
        <f t="shared" si="10"/>
        <v>341.6</v>
      </c>
      <c r="Y114" s="2"/>
      <c r="Z114" s="21">
        <f t="shared" si="11"/>
        <v>0</v>
      </c>
    </row>
    <row r="115" spans="1:26" s="24" customFormat="1" hidden="1" outlineLevel="1" x14ac:dyDescent="0.25">
      <c r="A115" s="46"/>
      <c r="B115" s="11" t="str">
        <f>CONCATENATE("          ", "5033", " - ", "PURCHASES @ COST-CANDY")</f>
        <v xml:space="preserve">          5033 - PURCHASES @ COST-CANDY</v>
      </c>
      <c r="C115" s="11"/>
      <c r="D115" s="2">
        <v>986.46</v>
      </c>
      <c r="E115" s="2"/>
      <c r="F115" s="21">
        <f t="shared" si="4"/>
        <v>3.4836021539598813E-4</v>
      </c>
      <c r="G115" s="2"/>
      <c r="H115" s="2"/>
      <c r="I115" s="2"/>
      <c r="J115" s="21">
        <f t="shared" si="5"/>
        <v>0</v>
      </c>
      <c r="K115" s="2"/>
      <c r="L115" s="2">
        <f t="shared" si="6"/>
        <v>986.46</v>
      </c>
      <c r="M115" s="2"/>
      <c r="N115" s="21">
        <f t="shared" si="7"/>
        <v>0</v>
      </c>
      <c r="O115" s="11"/>
      <c r="P115" s="2">
        <v>986.46</v>
      </c>
      <c r="Q115" s="2"/>
      <c r="R115" s="21">
        <f t="shared" si="8"/>
        <v>3.0422940398376933E-4</v>
      </c>
      <c r="S115" s="2"/>
      <c r="T115" s="2"/>
      <c r="U115" s="2"/>
      <c r="V115" s="21">
        <f t="shared" si="9"/>
        <v>0</v>
      </c>
      <c r="W115" s="2"/>
      <c r="X115" s="2">
        <f t="shared" si="10"/>
        <v>986.46</v>
      </c>
      <c r="Y115" s="2"/>
      <c r="Z115" s="21">
        <f t="shared" si="11"/>
        <v>0</v>
      </c>
    </row>
    <row r="116" spans="1:26" s="24" customFormat="1" hidden="1" outlineLevel="1" x14ac:dyDescent="0.25">
      <c r="A116" s="46"/>
      <c r="B116" s="11" t="str">
        <f>CONCATENATE("          ", "5034", " - ", "PURCHASES @ COST-SODA")</f>
        <v xml:space="preserve">          5034 - PURCHASES @ COST-SODA</v>
      </c>
      <c r="C116" s="11"/>
      <c r="D116" s="2">
        <v>350.04</v>
      </c>
      <c r="E116" s="2"/>
      <c r="F116" s="21">
        <f t="shared" si="4"/>
        <v>1.2361373983457179E-4</v>
      </c>
      <c r="G116" s="2"/>
      <c r="H116" s="2"/>
      <c r="I116" s="2"/>
      <c r="J116" s="21">
        <f t="shared" si="5"/>
        <v>0</v>
      </c>
      <c r="K116" s="2"/>
      <c r="L116" s="2">
        <f t="shared" si="6"/>
        <v>350.04</v>
      </c>
      <c r="M116" s="2"/>
      <c r="N116" s="21">
        <f t="shared" si="7"/>
        <v>0</v>
      </c>
      <c r="O116" s="11"/>
      <c r="P116" s="2">
        <v>288.5</v>
      </c>
      <c r="Q116" s="2"/>
      <c r="R116" s="21">
        <f t="shared" si="8"/>
        <v>8.8974903239175883E-5</v>
      </c>
      <c r="S116" s="2"/>
      <c r="T116" s="2"/>
      <c r="U116" s="2"/>
      <c r="V116" s="21">
        <f t="shared" si="9"/>
        <v>0</v>
      </c>
      <c r="W116" s="2"/>
      <c r="X116" s="2">
        <f t="shared" si="10"/>
        <v>288.5</v>
      </c>
      <c r="Y116" s="2"/>
      <c r="Z116" s="21">
        <f t="shared" si="11"/>
        <v>0</v>
      </c>
    </row>
    <row r="117" spans="1:26" s="24" customFormat="1" hidden="1" outlineLevel="1" x14ac:dyDescent="0.25">
      <c r="A117" s="46"/>
      <c r="B117" s="11" t="str">
        <f>CONCATENATE("          ", "5035", " - ", "PURCHASES @ COST-HEALTH &amp; BEAU")</f>
        <v xml:space="preserve">          5035 - PURCHASES @ COST-HEALTH &amp; BEAU</v>
      </c>
      <c r="C117" s="11"/>
      <c r="D117" s="2">
        <v>76.73</v>
      </c>
      <c r="E117" s="2"/>
      <c r="F117" s="21">
        <f t="shared" si="4"/>
        <v>2.7096566842379996E-5</v>
      </c>
      <c r="G117" s="2"/>
      <c r="H117" s="2"/>
      <c r="I117" s="2"/>
      <c r="J117" s="21">
        <f t="shared" si="5"/>
        <v>0</v>
      </c>
      <c r="K117" s="2"/>
      <c r="L117" s="2">
        <f t="shared" si="6"/>
        <v>76.73</v>
      </c>
      <c r="M117" s="2"/>
      <c r="N117" s="21">
        <f t="shared" si="7"/>
        <v>0</v>
      </c>
      <c r="O117" s="11"/>
      <c r="P117" s="2">
        <v>76.73</v>
      </c>
      <c r="Q117" s="2"/>
      <c r="R117" s="21">
        <f t="shared" si="8"/>
        <v>2.3663931804304909E-5</v>
      </c>
      <c r="S117" s="2"/>
      <c r="T117" s="2"/>
      <c r="U117" s="2"/>
      <c r="V117" s="21">
        <f t="shared" si="9"/>
        <v>0</v>
      </c>
      <c r="W117" s="2"/>
      <c r="X117" s="2">
        <f t="shared" si="10"/>
        <v>76.73</v>
      </c>
      <c r="Y117" s="2"/>
      <c r="Z117" s="21">
        <f t="shared" si="11"/>
        <v>0</v>
      </c>
    </row>
    <row r="118" spans="1:26" s="24" customFormat="1" hidden="1" outlineLevel="1" x14ac:dyDescent="0.25">
      <c r="A118" s="46"/>
      <c r="B118" s="11" t="str">
        <f>CONCATENATE("          ", "5037", " - ", "PURCHASES @ COST-WATER")</f>
        <v xml:space="preserve">          5037 - PURCHASES @ COST-WATER</v>
      </c>
      <c r="C118" s="11"/>
      <c r="D118" s="2">
        <v>462.36</v>
      </c>
      <c r="E118" s="2"/>
      <c r="F118" s="21">
        <f t="shared" si="4"/>
        <v>1.6327862172869562E-4</v>
      </c>
      <c r="G118" s="2"/>
      <c r="H118" s="2"/>
      <c r="I118" s="2"/>
      <c r="J118" s="21">
        <f t="shared" si="5"/>
        <v>0</v>
      </c>
      <c r="K118" s="2"/>
      <c r="L118" s="2">
        <f t="shared" si="6"/>
        <v>462.36</v>
      </c>
      <c r="M118" s="2"/>
      <c r="N118" s="21">
        <f t="shared" si="7"/>
        <v>0</v>
      </c>
      <c r="O118" s="11"/>
      <c r="P118" s="2">
        <v>495.94</v>
      </c>
      <c r="Q118" s="2"/>
      <c r="R118" s="21">
        <f t="shared" si="8"/>
        <v>1.5295048011243289E-4</v>
      </c>
      <c r="S118" s="2"/>
      <c r="T118" s="2"/>
      <c r="U118" s="2"/>
      <c r="V118" s="21">
        <f t="shared" si="9"/>
        <v>0</v>
      </c>
      <c r="W118" s="2"/>
      <c r="X118" s="2">
        <f t="shared" si="10"/>
        <v>495.94</v>
      </c>
      <c r="Y118" s="2"/>
      <c r="Z118" s="21">
        <f t="shared" si="11"/>
        <v>0</v>
      </c>
    </row>
    <row r="119" spans="1:26" s="24" customFormat="1" hidden="1" outlineLevel="1" x14ac:dyDescent="0.25">
      <c r="A119" s="46"/>
      <c r="B119" s="11" t="str">
        <f>CONCATENATE("          ", "5040", " - ", "PURCHASES @ COST-LOGO CLOTHING")</f>
        <v xml:space="preserve">          5040 - PURCHASES @ COST-LOGO CLOTHING</v>
      </c>
      <c r="C119" s="11"/>
      <c r="D119" s="2">
        <v>106647.4</v>
      </c>
      <c r="E119" s="2"/>
      <c r="F119" s="21">
        <f t="shared" si="4"/>
        <v>3.7661649976098478E-2</v>
      </c>
      <c r="G119" s="2"/>
      <c r="H119" s="2"/>
      <c r="I119" s="2"/>
      <c r="J119" s="21">
        <f t="shared" si="5"/>
        <v>0</v>
      </c>
      <c r="K119" s="2"/>
      <c r="L119" s="2">
        <f t="shared" si="6"/>
        <v>106647.4</v>
      </c>
      <c r="M119" s="2"/>
      <c r="N119" s="21">
        <f t="shared" si="7"/>
        <v>0</v>
      </c>
      <c r="O119" s="11"/>
      <c r="P119" s="2">
        <v>185568.97</v>
      </c>
      <c r="Q119" s="2"/>
      <c r="R119" s="21">
        <f t="shared" si="8"/>
        <v>5.7230437261502717E-2</v>
      </c>
      <c r="S119" s="2"/>
      <c r="T119" s="2"/>
      <c r="U119" s="2"/>
      <c r="V119" s="21">
        <f t="shared" si="9"/>
        <v>0</v>
      </c>
      <c r="W119" s="2"/>
      <c r="X119" s="2">
        <f t="shared" si="10"/>
        <v>185568.97</v>
      </c>
      <c r="Y119" s="2"/>
      <c r="Z119" s="21">
        <f t="shared" si="11"/>
        <v>0</v>
      </c>
    </row>
    <row r="120" spans="1:26" s="24" customFormat="1" hidden="1" outlineLevel="1" x14ac:dyDescent="0.25">
      <c r="A120" s="46"/>
      <c r="B120" s="11" t="str">
        <f>CONCATENATE("          ", "5041", " - ", "PURCHASES @ COST-LOGO GIFTS")</f>
        <v xml:space="preserve">          5041 - PURCHASES @ COST-LOGO GIFTS</v>
      </c>
      <c r="C120" s="11"/>
      <c r="D120" s="2">
        <v>16578.89</v>
      </c>
      <c r="E120" s="2"/>
      <c r="F120" s="21">
        <f t="shared" si="4"/>
        <v>5.8546983064963545E-3</v>
      </c>
      <c r="G120" s="2"/>
      <c r="H120" s="2"/>
      <c r="I120" s="2"/>
      <c r="J120" s="21">
        <f t="shared" si="5"/>
        <v>0</v>
      </c>
      <c r="K120" s="2"/>
      <c r="L120" s="2">
        <f t="shared" si="6"/>
        <v>16578.89</v>
      </c>
      <c r="M120" s="2"/>
      <c r="N120" s="21">
        <f t="shared" si="7"/>
        <v>0</v>
      </c>
      <c r="O120" s="11"/>
      <c r="P120" s="2">
        <v>28529.16</v>
      </c>
      <c r="Q120" s="2"/>
      <c r="R120" s="21">
        <f t="shared" si="8"/>
        <v>8.7985415961697299E-3</v>
      </c>
      <c r="S120" s="2"/>
      <c r="T120" s="2"/>
      <c r="U120" s="2"/>
      <c r="V120" s="21">
        <f t="shared" si="9"/>
        <v>0</v>
      </c>
      <c r="W120" s="2"/>
      <c r="X120" s="2">
        <f t="shared" si="10"/>
        <v>28529.16</v>
      </c>
      <c r="Y120" s="2"/>
      <c r="Z120" s="21">
        <f t="shared" si="11"/>
        <v>0</v>
      </c>
    </row>
    <row r="121" spans="1:26" s="24" customFormat="1" hidden="1" outlineLevel="1" x14ac:dyDescent="0.25">
      <c r="A121" s="46"/>
      <c r="B121" s="11" t="str">
        <f>CONCATENATE("          ", "5042", " - ", "PURCHASES @ COST-EVERYDAY GIFT")</f>
        <v xml:space="preserve">          5042 - PURCHASES @ COST-EVERYDAY GIFT</v>
      </c>
      <c r="C121" s="11"/>
      <c r="D121" s="2">
        <v>15979.86</v>
      </c>
      <c r="E121" s="2"/>
      <c r="F121" s="21">
        <f t="shared" si="4"/>
        <v>5.6431558011452417E-3</v>
      </c>
      <c r="G121" s="2"/>
      <c r="H121" s="2"/>
      <c r="I121" s="2"/>
      <c r="J121" s="21">
        <f t="shared" si="5"/>
        <v>0</v>
      </c>
      <c r="K121" s="2"/>
      <c r="L121" s="2">
        <f t="shared" si="6"/>
        <v>15979.86</v>
      </c>
      <c r="M121" s="2"/>
      <c r="N121" s="21">
        <f t="shared" si="7"/>
        <v>0</v>
      </c>
      <c r="O121" s="11"/>
      <c r="P121" s="2">
        <v>23732.22</v>
      </c>
      <c r="Q121" s="2"/>
      <c r="R121" s="21">
        <f t="shared" si="8"/>
        <v>7.3191403055488215E-3</v>
      </c>
      <c r="S121" s="2"/>
      <c r="T121" s="2"/>
      <c r="U121" s="2"/>
      <c r="V121" s="21">
        <f t="shared" si="9"/>
        <v>0</v>
      </c>
      <c r="W121" s="2"/>
      <c r="X121" s="2">
        <f t="shared" si="10"/>
        <v>23732.22</v>
      </c>
      <c r="Y121" s="2"/>
      <c r="Z121" s="21">
        <f t="shared" si="11"/>
        <v>0</v>
      </c>
    </row>
    <row r="122" spans="1:26" s="24" customFormat="1" hidden="1" outlineLevel="1" x14ac:dyDescent="0.25">
      <c r="A122" s="46"/>
      <c r="B122" s="11" t="str">
        <f>CONCATENATE("          ", "5043", " - ", "PURCHASES @ COST-CARDS")</f>
        <v xml:space="preserve">          5043 - PURCHASES @ COST-CARDS</v>
      </c>
      <c r="C122" s="11"/>
      <c r="D122" s="2">
        <v>15.24</v>
      </c>
      <c r="E122" s="2"/>
      <c r="F122" s="21">
        <f t="shared" si="4"/>
        <v>5.3818803424719296E-6</v>
      </c>
      <c r="G122" s="2"/>
      <c r="H122" s="2"/>
      <c r="I122" s="2"/>
      <c r="J122" s="21">
        <f t="shared" si="5"/>
        <v>0</v>
      </c>
      <c r="K122" s="2"/>
      <c r="L122" s="2">
        <f t="shared" si="6"/>
        <v>15.24</v>
      </c>
      <c r="M122" s="2"/>
      <c r="N122" s="21">
        <f t="shared" si="7"/>
        <v>0</v>
      </c>
      <c r="O122" s="11"/>
      <c r="P122" s="2">
        <v>513.5</v>
      </c>
      <c r="Q122" s="2"/>
      <c r="R122" s="21">
        <f t="shared" si="8"/>
        <v>1.5836607560941704E-4</v>
      </c>
      <c r="S122" s="2"/>
      <c r="T122" s="2"/>
      <c r="U122" s="2"/>
      <c r="V122" s="21">
        <f t="shared" si="9"/>
        <v>0</v>
      </c>
      <c r="W122" s="2"/>
      <c r="X122" s="2">
        <f t="shared" si="10"/>
        <v>513.5</v>
      </c>
      <c r="Y122" s="2"/>
      <c r="Z122" s="21">
        <f t="shared" si="11"/>
        <v>0</v>
      </c>
    </row>
    <row r="123" spans="1:26" s="24" customFormat="1" hidden="1" outlineLevel="1" x14ac:dyDescent="0.25">
      <c r="A123" s="46"/>
      <c r="B123" s="11" t="str">
        <f>CONCATENATE("          ", "5044", " - ", "PURCHASES @ COST-ACCESSORIES")</f>
        <v xml:space="preserve">          5044 - PURCHASES @ COST-ACCESSORIES</v>
      </c>
      <c r="C123" s="11"/>
      <c r="D123" s="2">
        <v>13249.12</v>
      </c>
      <c r="E123" s="2"/>
      <c r="F123" s="21">
        <f t="shared" si="4"/>
        <v>4.6788174857645467E-3</v>
      </c>
      <c r="G123" s="2"/>
      <c r="H123" s="2"/>
      <c r="I123" s="2"/>
      <c r="J123" s="21">
        <f t="shared" si="5"/>
        <v>0</v>
      </c>
      <c r="K123" s="2"/>
      <c r="L123" s="2">
        <f t="shared" si="6"/>
        <v>13249.12</v>
      </c>
      <c r="M123" s="2"/>
      <c r="N123" s="21">
        <f t="shared" si="7"/>
        <v>0</v>
      </c>
      <c r="O123" s="11"/>
      <c r="P123" s="2">
        <v>18088.12</v>
      </c>
      <c r="Q123" s="2"/>
      <c r="R123" s="21">
        <f t="shared" si="8"/>
        <v>5.5784704567715844E-3</v>
      </c>
      <c r="S123" s="2"/>
      <c r="T123" s="2"/>
      <c r="U123" s="2"/>
      <c r="V123" s="21">
        <f t="shared" si="9"/>
        <v>0</v>
      </c>
      <c r="W123" s="2"/>
      <c r="X123" s="2">
        <f t="shared" si="10"/>
        <v>18088.12</v>
      </c>
      <c r="Y123" s="2"/>
      <c r="Z123" s="21">
        <f t="shared" si="11"/>
        <v>0</v>
      </c>
    </row>
    <row r="124" spans="1:26" s="24" customFormat="1" hidden="1" outlineLevel="1" x14ac:dyDescent="0.25">
      <c r="A124" s="46"/>
      <c r="B124" s="11" t="str">
        <f>CONCATENATE("          ", "5045", " - ", "PURCHASES @ COST-SPECIAL ORDER")</f>
        <v xml:space="preserve">          5045 - PURCHASES @ COST-SPECIAL ORDER</v>
      </c>
      <c r="C124" s="11"/>
      <c r="D124" s="2">
        <v>4152.78</v>
      </c>
      <c r="E124" s="2"/>
      <c r="F124" s="21">
        <f t="shared" si="4"/>
        <v>1.4665200163130299E-3</v>
      </c>
      <c r="G124" s="2"/>
      <c r="H124" s="2"/>
      <c r="I124" s="2"/>
      <c r="J124" s="21">
        <f t="shared" si="5"/>
        <v>0</v>
      </c>
      <c r="K124" s="2"/>
      <c r="L124" s="2">
        <f t="shared" si="6"/>
        <v>4152.78</v>
      </c>
      <c r="M124" s="2"/>
      <c r="N124" s="21">
        <f t="shared" si="7"/>
        <v>0</v>
      </c>
      <c r="O124" s="11"/>
      <c r="P124" s="2">
        <v>20145.63</v>
      </c>
      <c r="Q124" s="2"/>
      <c r="R124" s="21">
        <f t="shared" si="8"/>
        <v>6.2130172614982288E-3</v>
      </c>
      <c r="S124" s="2"/>
      <c r="T124" s="2"/>
      <c r="U124" s="2"/>
      <c r="V124" s="21">
        <f t="shared" si="9"/>
        <v>0</v>
      </c>
      <c r="W124" s="2"/>
      <c r="X124" s="2">
        <f t="shared" si="10"/>
        <v>20145.63</v>
      </c>
      <c r="Y124" s="2"/>
      <c r="Z124" s="21">
        <f t="shared" si="11"/>
        <v>0</v>
      </c>
    </row>
    <row r="125" spans="1:26" s="24" customFormat="1" hidden="1" outlineLevel="1" x14ac:dyDescent="0.25">
      <c r="A125" s="46"/>
      <c r="B125" s="11" t="str">
        <f>CONCATENATE("          ", "5053", " - ", "PURCHASES @ COST-FOOD")</f>
        <v xml:space="preserve">          5053 - PURCHASES @ COST-FOOD</v>
      </c>
      <c r="C125" s="11"/>
      <c r="D125" s="2">
        <v>95948.59</v>
      </c>
      <c r="E125" s="2"/>
      <c r="F125" s="21">
        <f t="shared" si="4"/>
        <v>3.3883453438904115E-2</v>
      </c>
      <c r="G125" s="2"/>
      <c r="H125" s="2"/>
      <c r="I125" s="2"/>
      <c r="J125" s="21">
        <f t="shared" si="5"/>
        <v>0</v>
      </c>
      <c r="K125" s="2"/>
      <c r="L125" s="2">
        <f t="shared" si="6"/>
        <v>95948.59</v>
      </c>
      <c r="M125" s="2"/>
      <c r="N125" s="21">
        <f t="shared" si="7"/>
        <v>0</v>
      </c>
      <c r="O125" s="11"/>
      <c r="P125" s="2">
        <v>137505.66</v>
      </c>
      <c r="Q125" s="2"/>
      <c r="R125" s="21">
        <f t="shared" si="8"/>
        <v>4.2407462021972334E-2</v>
      </c>
      <c r="S125" s="2"/>
      <c r="T125" s="2"/>
      <c r="U125" s="2"/>
      <c r="V125" s="21">
        <f t="shared" si="9"/>
        <v>0</v>
      </c>
      <c r="W125" s="2"/>
      <c r="X125" s="2">
        <f t="shared" si="10"/>
        <v>137505.66</v>
      </c>
      <c r="Y125" s="2"/>
      <c r="Z125" s="21">
        <f t="shared" si="11"/>
        <v>0</v>
      </c>
    </row>
    <row r="126" spans="1:26" s="24" customFormat="1" hidden="1" outlineLevel="1" x14ac:dyDescent="0.25">
      <c r="A126" s="46"/>
      <c r="B126" s="11" t="str">
        <f>CONCATENATE("          ", "5059", " - ", "PURCHASES @ COST-FOOD")</f>
        <v xml:space="preserve">          5059 - PURCHASES @ COST-FOOD</v>
      </c>
      <c r="C126" s="11"/>
      <c r="D126" s="2">
        <v>-29750.09</v>
      </c>
      <c r="E126" s="2"/>
      <c r="F126" s="21">
        <f t="shared" si="4"/>
        <v>-1.0505998986730361E-2</v>
      </c>
      <c r="G126" s="2"/>
      <c r="H126" s="2"/>
      <c r="I126" s="2"/>
      <c r="J126" s="21">
        <f t="shared" si="5"/>
        <v>0</v>
      </c>
      <c r="K126" s="2"/>
      <c r="L126" s="2">
        <f t="shared" si="6"/>
        <v>-29750.09</v>
      </c>
      <c r="M126" s="2"/>
      <c r="N126" s="21">
        <f t="shared" si="7"/>
        <v>0</v>
      </c>
      <c r="O126" s="11"/>
      <c r="P126" s="2">
        <v>-46040.84</v>
      </c>
      <c r="Q126" s="2"/>
      <c r="R126" s="21">
        <f t="shared" si="8"/>
        <v>-1.4199234953380862E-2</v>
      </c>
      <c r="S126" s="2"/>
      <c r="T126" s="2"/>
      <c r="U126" s="2"/>
      <c r="V126" s="21">
        <f t="shared" si="9"/>
        <v>0</v>
      </c>
      <c r="W126" s="2"/>
      <c r="X126" s="2">
        <f t="shared" si="10"/>
        <v>-46040.84</v>
      </c>
      <c r="Y126" s="2"/>
      <c r="Z126" s="21">
        <f t="shared" si="11"/>
        <v>0</v>
      </c>
    </row>
    <row r="127" spans="1:26" s="24" customFormat="1" hidden="1" outlineLevel="1" x14ac:dyDescent="0.25">
      <c r="A127" s="46"/>
      <c r="B127" s="11" t="str">
        <f>CONCATENATE("          ", "5081", " - ", "PURCHASES @ COST-ELECTRONICS")</f>
        <v xml:space="preserve">          5081 - PURCHASES @ COST-ELECTRONICS</v>
      </c>
      <c r="C127" s="11"/>
      <c r="D127" s="2">
        <v>304.16000000000003</v>
      </c>
      <c r="E127" s="2"/>
      <c r="F127" s="21">
        <f t="shared" si="4"/>
        <v>1.0741159612639515E-4</v>
      </c>
      <c r="G127" s="2"/>
      <c r="H127" s="2"/>
      <c r="I127" s="2"/>
      <c r="J127" s="21">
        <f t="shared" si="5"/>
        <v>0</v>
      </c>
      <c r="K127" s="2"/>
      <c r="L127" s="2">
        <f t="shared" si="6"/>
        <v>304.16000000000003</v>
      </c>
      <c r="M127" s="2"/>
      <c r="N127" s="21">
        <f t="shared" si="7"/>
        <v>0</v>
      </c>
      <c r="O127" s="11"/>
      <c r="P127" s="2">
        <v>304.16000000000003</v>
      </c>
      <c r="Q127" s="2"/>
      <c r="R127" s="21">
        <f t="shared" si="8"/>
        <v>9.3804528836144687E-5</v>
      </c>
      <c r="S127" s="2"/>
      <c r="T127" s="2"/>
      <c r="U127" s="2"/>
      <c r="V127" s="21">
        <f t="shared" si="9"/>
        <v>0</v>
      </c>
      <c r="W127" s="2"/>
      <c r="X127" s="2">
        <f t="shared" si="10"/>
        <v>304.16000000000003</v>
      </c>
      <c r="Y127" s="2"/>
      <c r="Z127" s="21">
        <f t="shared" si="11"/>
        <v>0</v>
      </c>
    </row>
    <row r="128" spans="1:26" s="24" customFormat="1" hidden="1" outlineLevel="1" x14ac:dyDescent="0.25">
      <c r="A128" s="46"/>
      <c r="B128" s="11" t="str">
        <f>CONCATENATE("          ", "5082", " - ", "PURCHASES @ COST-COMPUTER HARD")</f>
        <v xml:space="preserve">          5082 - PURCHASES @ COST-COMPUTER HARD</v>
      </c>
      <c r="C128" s="11"/>
      <c r="D128" s="2">
        <v>130.6</v>
      </c>
      <c r="E128" s="2"/>
      <c r="F128" s="21">
        <f t="shared" si="4"/>
        <v>4.6120313171052098E-5</v>
      </c>
      <c r="G128" s="2"/>
      <c r="H128" s="2"/>
      <c r="I128" s="2"/>
      <c r="J128" s="21">
        <f t="shared" si="5"/>
        <v>0</v>
      </c>
      <c r="K128" s="2"/>
      <c r="L128" s="2">
        <f t="shared" si="6"/>
        <v>130.6</v>
      </c>
      <c r="M128" s="2"/>
      <c r="N128" s="21">
        <f t="shared" si="7"/>
        <v>0</v>
      </c>
      <c r="O128" s="11"/>
      <c r="P128" s="2">
        <v>130.6</v>
      </c>
      <c r="Q128" s="2"/>
      <c r="R128" s="21">
        <f t="shared" si="8"/>
        <v>4.0277720495793311E-5</v>
      </c>
      <c r="S128" s="2"/>
      <c r="T128" s="2"/>
      <c r="U128" s="2"/>
      <c r="V128" s="21">
        <f t="shared" si="9"/>
        <v>0</v>
      </c>
      <c r="W128" s="2"/>
      <c r="X128" s="2">
        <f t="shared" si="10"/>
        <v>130.6</v>
      </c>
      <c r="Y128" s="2"/>
      <c r="Z128" s="21">
        <f t="shared" si="11"/>
        <v>0</v>
      </c>
    </row>
    <row r="129" spans="1:26" s="24" customFormat="1" hidden="1" outlineLevel="1" x14ac:dyDescent="0.25">
      <c r="A129" s="46"/>
      <c r="B129" s="11" t="str">
        <f>CONCATENATE("          ", "5083", " - ", "PURCHASES @ COST-COMPUTER EQUI")</f>
        <v xml:space="preserve">          5083 - PURCHASES @ COST-COMPUTER EQUI</v>
      </c>
      <c r="C129" s="11"/>
      <c r="D129" s="2">
        <v>81.45</v>
      </c>
      <c r="E129" s="2"/>
      <c r="F129" s="21">
        <f t="shared" si="4"/>
        <v>2.8763395924825371E-5</v>
      </c>
      <c r="G129" s="2"/>
      <c r="H129" s="2"/>
      <c r="I129" s="2"/>
      <c r="J129" s="21">
        <f t="shared" si="5"/>
        <v>0</v>
      </c>
      <c r="K129" s="2"/>
      <c r="L129" s="2">
        <f t="shared" si="6"/>
        <v>81.45</v>
      </c>
      <c r="M129" s="2"/>
      <c r="N129" s="21">
        <f t="shared" si="7"/>
        <v>0</v>
      </c>
      <c r="O129" s="11"/>
      <c r="P129" s="2">
        <v>81.45</v>
      </c>
      <c r="Q129" s="2"/>
      <c r="R129" s="21">
        <f t="shared" si="8"/>
        <v>2.5119604398027301E-5</v>
      </c>
      <c r="S129" s="2"/>
      <c r="T129" s="2"/>
      <c r="U129" s="2"/>
      <c r="V129" s="21">
        <f t="shared" si="9"/>
        <v>0</v>
      </c>
      <c r="W129" s="2"/>
      <c r="X129" s="2">
        <f t="shared" si="10"/>
        <v>81.45</v>
      </c>
      <c r="Y129" s="2"/>
      <c r="Z129" s="21">
        <f t="shared" si="11"/>
        <v>0</v>
      </c>
    </row>
    <row r="130" spans="1:26" s="24" customFormat="1" hidden="1" outlineLevel="1" x14ac:dyDescent="0.25">
      <c r="A130" s="46"/>
      <c r="B130" s="11" t="str">
        <f>CONCATENATE("          ", "5086", " - ", "PURCHASES @ COST-COMPUTER SUPP")</f>
        <v xml:space="preserve">          5086 - PURCHASES @ COST-COMPUTER SUPP</v>
      </c>
      <c r="C130" s="11"/>
      <c r="D130" s="2">
        <v>58</v>
      </c>
      <c r="E130" s="2"/>
      <c r="F130" s="21">
        <f t="shared" si="4"/>
        <v>2.0482221775811804E-5</v>
      </c>
      <c r="G130" s="2"/>
      <c r="H130" s="2"/>
      <c r="I130" s="2"/>
      <c r="J130" s="21">
        <f t="shared" si="5"/>
        <v>0</v>
      </c>
      <c r="K130" s="2"/>
      <c r="L130" s="2">
        <f t="shared" si="6"/>
        <v>58</v>
      </c>
      <c r="M130" s="2"/>
      <c r="N130" s="21">
        <f t="shared" si="7"/>
        <v>0</v>
      </c>
      <c r="O130" s="11"/>
      <c r="P130" s="2">
        <v>58</v>
      </c>
      <c r="Q130" s="2"/>
      <c r="R130" s="21">
        <f t="shared" si="8"/>
        <v>1.78875022109955E-5</v>
      </c>
      <c r="S130" s="2"/>
      <c r="T130" s="2"/>
      <c r="U130" s="2"/>
      <c r="V130" s="21">
        <f t="shared" si="9"/>
        <v>0</v>
      </c>
      <c r="W130" s="2"/>
      <c r="X130" s="2">
        <f t="shared" si="10"/>
        <v>58</v>
      </c>
      <c r="Y130" s="2"/>
      <c r="Z130" s="21">
        <f t="shared" si="11"/>
        <v>0</v>
      </c>
    </row>
    <row r="131" spans="1:26" s="24" customFormat="1" hidden="1" outlineLevel="1" x14ac:dyDescent="0.25">
      <c r="A131" s="46"/>
      <c r="B131" s="11" t="str">
        <f>CONCATENATE("          ", "5092", " - ", "PURCHASES @ COST-GRAD MERCH")</f>
        <v xml:space="preserve">          5092 - PURCHASES @ COST-GRAD MERCH</v>
      </c>
      <c r="C131" s="11"/>
      <c r="D131" s="2">
        <v>-600.6</v>
      </c>
      <c r="E131" s="2"/>
      <c r="F131" s="21">
        <f t="shared" si="4"/>
        <v>-2.1209693790607881E-4</v>
      </c>
      <c r="G131" s="2"/>
      <c r="H131" s="2"/>
      <c r="I131" s="2"/>
      <c r="J131" s="21">
        <f t="shared" si="5"/>
        <v>0</v>
      </c>
      <c r="K131" s="2"/>
      <c r="L131" s="2">
        <f t="shared" si="6"/>
        <v>-600.6</v>
      </c>
      <c r="M131" s="2"/>
      <c r="N131" s="21">
        <f t="shared" si="7"/>
        <v>0</v>
      </c>
      <c r="O131" s="11"/>
      <c r="P131" s="2">
        <v>628</v>
      </c>
      <c r="Q131" s="2"/>
      <c r="R131" s="21">
        <f t="shared" si="8"/>
        <v>1.9367847221560643E-4</v>
      </c>
      <c r="S131" s="2"/>
      <c r="T131" s="2"/>
      <c r="U131" s="2"/>
      <c r="V131" s="21">
        <f t="shared" si="9"/>
        <v>0</v>
      </c>
      <c r="W131" s="2"/>
      <c r="X131" s="2">
        <f t="shared" si="10"/>
        <v>628</v>
      </c>
      <c r="Y131" s="2"/>
      <c r="Z131" s="21">
        <f t="shared" si="11"/>
        <v>0</v>
      </c>
    </row>
    <row r="132" spans="1:26" s="24" customFormat="1" hidden="1" outlineLevel="1" x14ac:dyDescent="0.25">
      <c r="A132" s="46"/>
      <c r="B132" s="11" t="str">
        <f>CONCATENATE("          ", "5095", " - ", "PURCHASES @ COST-CUSTOMER SERV")</f>
        <v xml:space="preserve">          5095 - PURCHASES @ COST-CUSTOMER SERV</v>
      </c>
      <c r="C132" s="11"/>
      <c r="D132" s="2"/>
      <c r="E132" s="2"/>
      <c r="F132" s="21">
        <f t="shared" si="4"/>
        <v>0</v>
      </c>
      <c r="G132" s="2"/>
      <c r="H132" s="2"/>
      <c r="I132" s="2"/>
      <c r="J132" s="21">
        <f t="shared" si="5"/>
        <v>0</v>
      </c>
      <c r="K132" s="2"/>
      <c r="L132" s="2">
        <f t="shared" si="6"/>
        <v>0</v>
      </c>
      <c r="M132" s="2"/>
      <c r="N132" s="21">
        <f t="shared" si="7"/>
        <v>0</v>
      </c>
      <c r="O132" s="11"/>
      <c r="P132" s="2">
        <v>0</v>
      </c>
      <c r="Q132" s="2"/>
      <c r="R132" s="21">
        <f t="shared" si="8"/>
        <v>0</v>
      </c>
      <c r="S132" s="2"/>
      <c r="T132" s="2"/>
      <c r="U132" s="2"/>
      <c r="V132" s="21">
        <f t="shared" si="9"/>
        <v>0</v>
      </c>
      <c r="W132" s="2"/>
      <c r="X132" s="2">
        <f t="shared" si="10"/>
        <v>0</v>
      </c>
      <c r="Y132" s="2"/>
      <c r="Z132" s="21">
        <f t="shared" si="11"/>
        <v>0</v>
      </c>
    </row>
    <row r="133" spans="1:26" s="24" customFormat="1" hidden="1" outlineLevel="1" x14ac:dyDescent="0.25">
      <c r="A133" s="46"/>
      <c r="B133" s="11" t="str">
        <f>CONCATENATE("          ", "5200", " - ", "PURCHASES OFFSET")</f>
        <v xml:space="preserve">          5200 - PURCHASES OFFSET</v>
      </c>
      <c r="C133" s="11"/>
      <c r="D133" s="2">
        <v>-1527442</v>
      </c>
      <c r="E133" s="2"/>
      <c r="F133" s="21">
        <f t="shared" si="4"/>
        <v>-0.53940354816706093</v>
      </c>
      <c r="G133" s="2"/>
      <c r="H133" s="2"/>
      <c r="I133" s="2"/>
      <c r="J133" s="21">
        <f t="shared" si="5"/>
        <v>0</v>
      </c>
      <c r="K133" s="2"/>
      <c r="L133" s="2">
        <f t="shared" si="6"/>
        <v>-1527442</v>
      </c>
      <c r="M133" s="2"/>
      <c r="N133" s="21">
        <f t="shared" si="7"/>
        <v>0</v>
      </c>
      <c r="O133" s="11"/>
      <c r="P133" s="2">
        <v>-2356311</v>
      </c>
      <c r="Q133" s="2"/>
      <c r="R133" s="21">
        <f t="shared" si="8"/>
        <v>-0.72669859003953474</v>
      </c>
      <c r="S133" s="2"/>
      <c r="T133" s="2"/>
      <c r="U133" s="2"/>
      <c r="V133" s="21">
        <f t="shared" si="9"/>
        <v>0</v>
      </c>
      <c r="W133" s="2"/>
      <c r="X133" s="2">
        <f t="shared" si="10"/>
        <v>-2356311</v>
      </c>
      <c r="Y133" s="2"/>
      <c r="Z133" s="21">
        <f t="shared" si="11"/>
        <v>0</v>
      </c>
    </row>
    <row r="134" spans="1:26" s="24" customFormat="1" hidden="1" outlineLevel="1" x14ac:dyDescent="0.25">
      <c r="A134" s="46"/>
      <c r="B134" s="11" t="str">
        <f>CONCATENATE("          ", "5300", " - ", "COG$ OFFSET")</f>
        <v xml:space="preserve">          5300 - COG$ OFFSET</v>
      </c>
      <c r="C134" s="11"/>
      <c r="D134" s="2">
        <v>1248264</v>
      </c>
      <c r="E134" s="2"/>
      <c r="F134" s="21">
        <f t="shared" si="4"/>
        <v>0.4408141393579646</v>
      </c>
      <c r="G134" s="2"/>
      <c r="H134" s="2"/>
      <c r="I134" s="2"/>
      <c r="J134" s="21">
        <f t="shared" si="5"/>
        <v>0</v>
      </c>
      <c r="K134" s="2"/>
      <c r="L134" s="2">
        <f t="shared" si="6"/>
        <v>1248264</v>
      </c>
      <c r="M134" s="2"/>
      <c r="N134" s="21">
        <f t="shared" si="7"/>
        <v>0</v>
      </c>
      <c r="O134" s="11"/>
      <c r="P134" s="2">
        <v>1429434</v>
      </c>
      <c r="Q134" s="2"/>
      <c r="R134" s="21">
        <f t="shared" si="8"/>
        <v>0.44084489371503688</v>
      </c>
      <c r="S134" s="2"/>
      <c r="T134" s="2"/>
      <c r="U134" s="2"/>
      <c r="V134" s="21">
        <f t="shared" si="9"/>
        <v>0</v>
      </c>
      <c r="W134" s="2"/>
      <c r="X134" s="2">
        <f t="shared" si="10"/>
        <v>1429434</v>
      </c>
      <c r="Y134" s="2"/>
      <c r="Z134" s="21">
        <f t="shared" si="11"/>
        <v>0</v>
      </c>
    </row>
    <row r="135" spans="1:26" s="24" customFormat="1" hidden="1" outlineLevel="1" x14ac:dyDescent="0.25">
      <c r="A135" s="46"/>
      <c r="B135" s="11" t="str">
        <f>CONCATENATE("          ", "5500", " - ", "FREIGHT-IN")</f>
        <v xml:space="preserve">          5500 - FREIGHT-IN</v>
      </c>
      <c r="C135" s="11"/>
      <c r="D135" s="2"/>
      <c r="E135" s="2"/>
      <c r="F135" s="21">
        <f t="shared" si="4"/>
        <v>0</v>
      </c>
      <c r="G135" s="2"/>
      <c r="H135" s="2"/>
      <c r="I135" s="2"/>
      <c r="J135" s="21">
        <f t="shared" si="5"/>
        <v>0</v>
      </c>
      <c r="K135" s="2"/>
      <c r="L135" s="2">
        <f t="shared" si="6"/>
        <v>0</v>
      </c>
      <c r="M135" s="2"/>
      <c r="N135" s="21">
        <f t="shared" si="7"/>
        <v>0</v>
      </c>
      <c r="O135" s="11"/>
      <c r="P135" s="2">
        <v>49</v>
      </c>
      <c r="Q135" s="2"/>
      <c r="R135" s="21">
        <f t="shared" si="8"/>
        <v>1.5111855316185853E-5</v>
      </c>
      <c r="S135" s="2"/>
      <c r="T135" s="2"/>
      <c r="U135" s="2"/>
      <c r="V135" s="21">
        <f t="shared" si="9"/>
        <v>0</v>
      </c>
      <c r="W135" s="2"/>
      <c r="X135" s="2">
        <f t="shared" si="10"/>
        <v>49</v>
      </c>
      <c r="Y135" s="2"/>
      <c r="Z135" s="21">
        <f t="shared" si="11"/>
        <v>0</v>
      </c>
    </row>
    <row r="136" spans="1:26" s="24" customFormat="1" hidden="1" outlineLevel="1" x14ac:dyDescent="0.25">
      <c r="A136" s="46"/>
      <c r="B136" s="11" t="str">
        <f>CONCATENATE("          ", "5501", " - ", "FREIGHT-IN-NEW TEXT")</f>
        <v xml:space="preserve">          5501 - FREIGHT-IN-NEW TEXT</v>
      </c>
      <c r="C136" s="11"/>
      <c r="D136" s="2">
        <v>11008.16</v>
      </c>
      <c r="E136" s="2"/>
      <c r="F136" s="21">
        <f t="shared" si="4"/>
        <v>3.887440939027939E-3</v>
      </c>
      <c r="G136" s="2"/>
      <c r="H136" s="2"/>
      <c r="I136" s="2"/>
      <c r="J136" s="21">
        <f t="shared" si="5"/>
        <v>0</v>
      </c>
      <c r="K136" s="2"/>
      <c r="L136" s="2">
        <f t="shared" si="6"/>
        <v>11008.16</v>
      </c>
      <c r="M136" s="2"/>
      <c r="N136" s="21">
        <f t="shared" si="7"/>
        <v>0</v>
      </c>
      <c r="O136" s="11"/>
      <c r="P136" s="2">
        <v>12724.24</v>
      </c>
      <c r="Q136" s="2"/>
      <c r="R136" s="21">
        <f t="shared" si="8"/>
        <v>3.9242219160902994E-3</v>
      </c>
      <c r="S136" s="2"/>
      <c r="T136" s="2"/>
      <c r="U136" s="2"/>
      <c r="V136" s="21">
        <f t="shared" si="9"/>
        <v>0</v>
      </c>
      <c r="W136" s="2"/>
      <c r="X136" s="2">
        <f t="shared" si="10"/>
        <v>12724.24</v>
      </c>
      <c r="Y136" s="2"/>
      <c r="Z136" s="21">
        <f t="shared" si="11"/>
        <v>0</v>
      </c>
    </row>
    <row r="137" spans="1:26" s="24" customFormat="1" hidden="1" outlineLevel="1" x14ac:dyDescent="0.25">
      <c r="A137" s="46"/>
      <c r="B137" s="11" t="str">
        <f>CONCATENATE("          ", "5502", " - ", "FREIGHT-IN-USED TEXT")</f>
        <v xml:space="preserve">          5502 - FREIGHT-IN-USED TEXT</v>
      </c>
      <c r="C137" s="11"/>
      <c r="D137" s="2">
        <v>3985.02</v>
      </c>
      <c r="E137" s="2"/>
      <c r="F137" s="21">
        <f t="shared" si="4"/>
        <v>1.4072769555352682E-3</v>
      </c>
      <c r="G137" s="2"/>
      <c r="H137" s="2"/>
      <c r="I137" s="2"/>
      <c r="J137" s="21">
        <f t="shared" si="5"/>
        <v>0</v>
      </c>
      <c r="K137" s="2"/>
      <c r="L137" s="2">
        <f t="shared" si="6"/>
        <v>3985.02</v>
      </c>
      <c r="M137" s="2"/>
      <c r="N137" s="21">
        <f t="shared" si="7"/>
        <v>0</v>
      </c>
      <c r="O137" s="11"/>
      <c r="P137" s="2">
        <v>4262.51</v>
      </c>
      <c r="Q137" s="2"/>
      <c r="R137" s="21">
        <f t="shared" si="8"/>
        <v>1.3145802939550073E-3</v>
      </c>
      <c r="S137" s="2"/>
      <c r="T137" s="2"/>
      <c r="U137" s="2"/>
      <c r="V137" s="21">
        <f t="shared" si="9"/>
        <v>0</v>
      </c>
      <c r="W137" s="2"/>
      <c r="X137" s="2">
        <f t="shared" si="10"/>
        <v>4262.51</v>
      </c>
      <c r="Y137" s="2"/>
      <c r="Z137" s="21">
        <f t="shared" si="11"/>
        <v>0</v>
      </c>
    </row>
    <row r="138" spans="1:26" s="24" customFormat="1" hidden="1" outlineLevel="1" x14ac:dyDescent="0.25">
      <c r="A138" s="46"/>
      <c r="B138" s="11" t="str">
        <f>CONCATENATE("          ", "5504", " - ", "FREIGHT-IN-DIGITAL TEXT")</f>
        <v xml:space="preserve">          5504 - FREIGHT-IN-DIGITAL TEXT</v>
      </c>
      <c r="C138" s="11"/>
      <c r="D138" s="2">
        <v>7.03</v>
      </c>
      <c r="E138" s="2"/>
      <c r="F138" s="21">
        <f t="shared" si="4"/>
        <v>2.482586535930293E-6</v>
      </c>
      <c r="G138" s="2"/>
      <c r="H138" s="2"/>
      <c r="I138" s="2"/>
      <c r="J138" s="21">
        <f t="shared" si="5"/>
        <v>0</v>
      </c>
      <c r="K138" s="2"/>
      <c r="L138" s="2">
        <f t="shared" si="6"/>
        <v>7.03</v>
      </c>
      <c r="M138" s="2"/>
      <c r="N138" s="21">
        <f t="shared" si="7"/>
        <v>0</v>
      </c>
      <c r="O138" s="11"/>
      <c r="P138" s="2">
        <v>7.03</v>
      </c>
      <c r="Q138" s="2"/>
      <c r="R138" s="21">
        <f t="shared" si="8"/>
        <v>2.1680886300568682E-6</v>
      </c>
      <c r="S138" s="2"/>
      <c r="T138" s="2"/>
      <c r="U138" s="2"/>
      <c r="V138" s="21">
        <f t="shared" si="9"/>
        <v>0</v>
      </c>
      <c r="W138" s="2"/>
      <c r="X138" s="2">
        <f t="shared" si="10"/>
        <v>7.03</v>
      </c>
      <c r="Y138" s="2"/>
      <c r="Z138" s="21">
        <f t="shared" si="11"/>
        <v>0</v>
      </c>
    </row>
    <row r="139" spans="1:26" s="24" customFormat="1" hidden="1" outlineLevel="1" x14ac:dyDescent="0.25">
      <c r="A139" s="46"/>
      <c r="B139" s="11" t="str">
        <f>CONCATENATE("          ", "5526", " - ", "FREIGHT-IN-WRITING INSTRUMENTS")</f>
        <v xml:space="preserve">          5526 - FREIGHT-IN-WRITING INSTRUMENTS</v>
      </c>
      <c r="C139" s="11"/>
      <c r="D139" s="2">
        <v>17.46</v>
      </c>
      <c r="E139" s="2"/>
      <c r="F139" s="21">
        <f t="shared" si="4"/>
        <v>6.1658550380288638E-6</v>
      </c>
      <c r="G139" s="2"/>
      <c r="H139" s="2"/>
      <c r="I139" s="2"/>
      <c r="J139" s="21">
        <f t="shared" si="5"/>
        <v>0</v>
      </c>
      <c r="K139" s="2"/>
      <c r="L139" s="2">
        <f t="shared" si="6"/>
        <v>17.46</v>
      </c>
      <c r="M139" s="2"/>
      <c r="N139" s="21">
        <f t="shared" si="7"/>
        <v>0</v>
      </c>
      <c r="O139" s="11"/>
      <c r="P139" s="2">
        <v>56.57</v>
      </c>
      <c r="Q139" s="2"/>
      <c r="R139" s="21">
        <f t="shared" si="8"/>
        <v>1.74464827599313E-5</v>
      </c>
      <c r="S139" s="2"/>
      <c r="T139" s="2"/>
      <c r="U139" s="2"/>
      <c r="V139" s="21">
        <f t="shared" si="9"/>
        <v>0</v>
      </c>
      <c r="W139" s="2"/>
      <c r="X139" s="2">
        <f t="shared" si="10"/>
        <v>56.57</v>
      </c>
      <c r="Y139" s="2"/>
      <c r="Z139" s="21">
        <f t="shared" si="11"/>
        <v>0</v>
      </c>
    </row>
    <row r="140" spans="1:26" s="24" customFormat="1" hidden="1" outlineLevel="1" x14ac:dyDescent="0.25">
      <c r="A140" s="46"/>
      <c r="B140" s="11" t="str">
        <f>CONCATENATE("          ", "5527", " - ", "FREIGHT-IN-SCHOOL SUPPLIES")</f>
        <v xml:space="preserve">          5527 - FREIGHT-IN-SCHOOL SUPPLIES</v>
      </c>
      <c r="C140" s="11"/>
      <c r="D140" s="2">
        <v>10.49</v>
      </c>
      <c r="E140" s="2"/>
      <c r="F140" s="21">
        <f t="shared" si="4"/>
        <v>3.7044570073838938E-6</v>
      </c>
      <c r="G140" s="2"/>
      <c r="H140" s="2"/>
      <c r="I140" s="2"/>
      <c r="J140" s="21">
        <f t="shared" si="5"/>
        <v>0</v>
      </c>
      <c r="K140" s="2"/>
      <c r="L140" s="2">
        <f t="shared" si="6"/>
        <v>10.49</v>
      </c>
      <c r="M140" s="2"/>
      <c r="N140" s="21">
        <f t="shared" si="7"/>
        <v>0</v>
      </c>
      <c r="O140" s="11"/>
      <c r="P140" s="2">
        <v>260.51</v>
      </c>
      <c r="Q140" s="2"/>
      <c r="R140" s="21">
        <f t="shared" si="8"/>
        <v>8.0342641396317891E-5</v>
      </c>
      <c r="S140" s="2"/>
      <c r="T140" s="2"/>
      <c r="U140" s="2"/>
      <c r="V140" s="21">
        <f t="shared" si="9"/>
        <v>0</v>
      </c>
      <c r="W140" s="2"/>
      <c r="X140" s="2">
        <f t="shared" si="10"/>
        <v>260.51</v>
      </c>
      <c r="Y140" s="2"/>
      <c r="Z140" s="21">
        <f t="shared" si="11"/>
        <v>0</v>
      </c>
    </row>
    <row r="141" spans="1:26" s="24" customFormat="1" hidden="1" outlineLevel="1" x14ac:dyDescent="0.25">
      <c r="A141" s="46"/>
      <c r="B141" s="11" t="str">
        <f>CONCATENATE("          ", "5528", " - ", "FREIGHT-IN-ART/TECH")</f>
        <v xml:space="preserve">          5528 - FREIGHT-IN-ART/TECH</v>
      </c>
      <c r="C141" s="11"/>
      <c r="D141" s="2">
        <v>255.45</v>
      </c>
      <c r="E141" s="2"/>
      <c r="F141" s="21">
        <f t="shared" si="4"/>
        <v>9.0210061252260783E-5</v>
      </c>
      <c r="G141" s="2"/>
      <c r="H141" s="2"/>
      <c r="I141" s="2"/>
      <c r="J141" s="21">
        <f t="shared" si="5"/>
        <v>0</v>
      </c>
      <c r="K141" s="2"/>
      <c r="L141" s="2">
        <f t="shared" si="6"/>
        <v>255.45</v>
      </c>
      <c r="M141" s="2"/>
      <c r="N141" s="21">
        <f t="shared" si="7"/>
        <v>0</v>
      </c>
      <c r="O141" s="11"/>
      <c r="P141" s="2">
        <v>299.8</v>
      </c>
      <c r="Q141" s="2"/>
      <c r="R141" s="21">
        <f t="shared" si="8"/>
        <v>9.2459882118214672E-5</v>
      </c>
      <c r="S141" s="2"/>
      <c r="T141" s="2"/>
      <c r="U141" s="2"/>
      <c r="V141" s="21">
        <f t="shared" si="9"/>
        <v>0</v>
      </c>
      <c r="W141" s="2"/>
      <c r="X141" s="2">
        <f t="shared" si="10"/>
        <v>299.8</v>
      </c>
      <c r="Y141" s="2"/>
      <c r="Z141" s="21">
        <f t="shared" si="11"/>
        <v>0</v>
      </c>
    </row>
    <row r="142" spans="1:26" s="24" customFormat="1" hidden="1" outlineLevel="1" x14ac:dyDescent="0.25">
      <c r="A142" s="46"/>
      <c r="B142" s="11" t="str">
        <f>CONCATENATE("          ", "5540", " - ", "FREIGHT-IN-LOGO CLOTHING")</f>
        <v xml:space="preserve">          5540 - FREIGHT-IN-LOGO CLOTHING</v>
      </c>
      <c r="C142" s="11"/>
      <c r="D142" s="2">
        <v>1936.72</v>
      </c>
      <c r="E142" s="2"/>
      <c r="F142" s="21">
        <f t="shared" si="4"/>
        <v>6.8393669926983171E-4</v>
      </c>
      <c r="G142" s="2"/>
      <c r="H142" s="2"/>
      <c r="I142" s="2"/>
      <c r="J142" s="21">
        <f t="shared" si="5"/>
        <v>0</v>
      </c>
      <c r="K142" s="2"/>
      <c r="L142" s="2">
        <f t="shared" si="6"/>
        <v>1936.72</v>
      </c>
      <c r="M142" s="2"/>
      <c r="N142" s="21">
        <f t="shared" si="7"/>
        <v>0</v>
      </c>
      <c r="O142" s="11"/>
      <c r="P142" s="2">
        <v>2331.94</v>
      </c>
      <c r="Q142" s="2"/>
      <c r="R142" s="21">
        <f t="shared" si="8"/>
        <v>7.1918244665360078E-4</v>
      </c>
      <c r="S142" s="2"/>
      <c r="T142" s="2"/>
      <c r="U142" s="2"/>
      <c r="V142" s="21">
        <f t="shared" si="9"/>
        <v>0</v>
      </c>
      <c r="W142" s="2"/>
      <c r="X142" s="2">
        <f t="shared" si="10"/>
        <v>2331.94</v>
      </c>
      <c r="Y142" s="2"/>
      <c r="Z142" s="21">
        <f t="shared" si="11"/>
        <v>0</v>
      </c>
    </row>
    <row r="143" spans="1:26" s="24" customFormat="1" hidden="1" outlineLevel="1" x14ac:dyDescent="0.25">
      <c r="A143" s="46"/>
      <c r="B143" s="11" t="str">
        <f>CONCATENATE("          ", "5541", " - ", "FREIGHT-IN-LOGO GIFTS")</f>
        <v xml:space="preserve">          5541 - FREIGHT-IN-LOGO GIFTS</v>
      </c>
      <c r="C143" s="11"/>
      <c r="D143" s="2">
        <v>405.92</v>
      </c>
      <c r="E143" s="2"/>
      <c r="F143" s="21">
        <f t="shared" si="4"/>
        <v>1.4334730109030221E-4</v>
      </c>
      <c r="G143" s="2"/>
      <c r="H143" s="2"/>
      <c r="I143" s="2"/>
      <c r="J143" s="21">
        <f t="shared" si="5"/>
        <v>0</v>
      </c>
      <c r="K143" s="2"/>
      <c r="L143" s="2">
        <f t="shared" si="6"/>
        <v>405.92</v>
      </c>
      <c r="M143" s="2"/>
      <c r="N143" s="21">
        <f t="shared" si="7"/>
        <v>0</v>
      </c>
      <c r="O143" s="11"/>
      <c r="P143" s="2">
        <v>720.41</v>
      </c>
      <c r="Q143" s="2"/>
      <c r="R143" s="21">
        <f t="shared" si="8"/>
        <v>2.2217819772109082E-4</v>
      </c>
      <c r="S143" s="2"/>
      <c r="T143" s="2"/>
      <c r="U143" s="2"/>
      <c r="V143" s="21">
        <f t="shared" si="9"/>
        <v>0</v>
      </c>
      <c r="W143" s="2"/>
      <c r="X143" s="2">
        <f t="shared" si="10"/>
        <v>720.41</v>
      </c>
      <c r="Y143" s="2"/>
      <c r="Z143" s="21">
        <f t="shared" si="11"/>
        <v>0</v>
      </c>
    </row>
    <row r="144" spans="1:26" s="24" customFormat="1" hidden="1" outlineLevel="1" x14ac:dyDescent="0.25">
      <c r="A144" s="46"/>
      <c r="B144" s="11" t="str">
        <f>CONCATENATE("          ", "5542", " - ", "FREIGHT-IN-EVERYDAY GIFTS")</f>
        <v xml:space="preserve">          5542 - FREIGHT-IN-EVERYDAY GIFTS</v>
      </c>
      <c r="C144" s="11"/>
      <c r="D144" s="2">
        <v>83.05</v>
      </c>
      <c r="E144" s="2"/>
      <c r="F144" s="21">
        <f t="shared" si="4"/>
        <v>2.9328422732433969E-5</v>
      </c>
      <c r="G144" s="2"/>
      <c r="H144" s="2"/>
      <c r="I144" s="2"/>
      <c r="J144" s="21">
        <f t="shared" si="5"/>
        <v>0</v>
      </c>
      <c r="K144" s="2"/>
      <c r="L144" s="2">
        <f t="shared" si="6"/>
        <v>83.05</v>
      </c>
      <c r="M144" s="2"/>
      <c r="N144" s="21">
        <f t="shared" si="7"/>
        <v>0</v>
      </c>
      <c r="O144" s="11"/>
      <c r="P144" s="2">
        <v>112.77</v>
      </c>
      <c r="Q144" s="2"/>
      <c r="R144" s="21">
        <f t="shared" si="8"/>
        <v>3.4778855591964869E-5</v>
      </c>
      <c r="S144" s="2"/>
      <c r="T144" s="2"/>
      <c r="U144" s="2"/>
      <c r="V144" s="21">
        <f t="shared" si="9"/>
        <v>0</v>
      </c>
      <c r="W144" s="2"/>
      <c r="X144" s="2">
        <f t="shared" si="10"/>
        <v>112.77</v>
      </c>
      <c r="Y144" s="2"/>
      <c r="Z144" s="21">
        <f t="shared" si="11"/>
        <v>0</v>
      </c>
    </row>
    <row r="145" spans="1:26" s="24" customFormat="1" hidden="1" outlineLevel="1" x14ac:dyDescent="0.25">
      <c r="A145" s="46"/>
      <c r="B145" s="11" t="str">
        <f>CONCATENATE("          ", "5543", " - ", "FREIGHT-IN-CARDS")</f>
        <v xml:space="preserve">          5543 - FREIGHT-IN-CARDS</v>
      </c>
      <c r="C145" s="11"/>
      <c r="D145" s="2">
        <v>4.58</v>
      </c>
      <c r="E145" s="2"/>
      <c r="F145" s="21">
        <f t="shared" si="4"/>
        <v>1.6173892367796217E-6</v>
      </c>
      <c r="G145" s="2"/>
      <c r="H145" s="2"/>
      <c r="I145" s="2"/>
      <c r="J145" s="21">
        <f t="shared" si="5"/>
        <v>0</v>
      </c>
      <c r="K145" s="2"/>
      <c r="L145" s="2">
        <f t="shared" si="6"/>
        <v>4.58</v>
      </c>
      <c r="M145" s="2"/>
      <c r="N145" s="21">
        <f t="shared" si="7"/>
        <v>0</v>
      </c>
      <c r="O145" s="11"/>
      <c r="P145" s="2">
        <v>4.58</v>
      </c>
      <c r="Q145" s="2"/>
      <c r="R145" s="21">
        <f t="shared" si="8"/>
        <v>1.4124958642475757E-6</v>
      </c>
      <c r="S145" s="2"/>
      <c r="T145" s="2"/>
      <c r="U145" s="2"/>
      <c r="V145" s="21">
        <f t="shared" si="9"/>
        <v>0</v>
      </c>
      <c r="W145" s="2"/>
      <c r="X145" s="2">
        <f t="shared" si="10"/>
        <v>4.58</v>
      </c>
      <c r="Y145" s="2"/>
      <c r="Z145" s="21">
        <f t="shared" si="11"/>
        <v>0</v>
      </c>
    </row>
    <row r="146" spans="1:26" s="24" customFormat="1" hidden="1" outlineLevel="1" x14ac:dyDescent="0.25">
      <c r="A146" s="46"/>
      <c r="B146" s="11" t="str">
        <f>CONCATENATE("          ", "5544", " - ", "FREIGHT-IN-ACCESSORIES")</f>
        <v xml:space="preserve">          5544 - FREIGHT-IN-ACCESSORIES</v>
      </c>
      <c r="C146" s="11"/>
      <c r="D146" s="2">
        <v>84.93</v>
      </c>
      <c r="E146" s="2"/>
      <c r="F146" s="21">
        <f t="shared" si="4"/>
        <v>2.999232923137408E-5</v>
      </c>
      <c r="G146" s="2"/>
      <c r="H146" s="2"/>
      <c r="I146" s="2"/>
      <c r="J146" s="21">
        <f t="shared" si="5"/>
        <v>0</v>
      </c>
      <c r="K146" s="2"/>
      <c r="L146" s="2">
        <f t="shared" si="6"/>
        <v>84.93</v>
      </c>
      <c r="M146" s="2"/>
      <c r="N146" s="21">
        <f t="shared" si="7"/>
        <v>0</v>
      </c>
      <c r="O146" s="11"/>
      <c r="P146" s="2">
        <v>101.66</v>
      </c>
      <c r="Q146" s="2"/>
      <c r="R146" s="21">
        <f t="shared" si="8"/>
        <v>3.1352473702927626E-5</v>
      </c>
      <c r="S146" s="2"/>
      <c r="T146" s="2"/>
      <c r="U146" s="2"/>
      <c r="V146" s="21">
        <f t="shared" si="9"/>
        <v>0</v>
      </c>
      <c r="W146" s="2"/>
      <c r="X146" s="2">
        <f t="shared" si="10"/>
        <v>101.66</v>
      </c>
      <c r="Y146" s="2"/>
      <c r="Z146" s="21">
        <f t="shared" si="11"/>
        <v>0</v>
      </c>
    </row>
    <row r="147" spans="1:26" s="24" customFormat="1" hidden="1" outlineLevel="1" x14ac:dyDescent="0.25">
      <c r="A147" s="46"/>
      <c r="B147" s="11" t="str">
        <f>CONCATENATE("          ", "5545", " - ", "FREIGHT-IN-SPECIAL ORDERS")</f>
        <v xml:space="preserve">          5545 - FREIGHT-IN-SPECIAL ORDERS</v>
      </c>
      <c r="C147" s="11"/>
      <c r="D147" s="2">
        <v>8.8699999999999992</v>
      </c>
      <c r="E147" s="2"/>
      <c r="F147" s="21">
        <f t="shared" si="4"/>
        <v>3.1323673646801845E-6</v>
      </c>
      <c r="G147" s="2"/>
      <c r="H147" s="2"/>
      <c r="I147" s="2"/>
      <c r="J147" s="21">
        <f t="shared" si="5"/>
        <v>0</v>
      </c>
      <c r="K147" s="2"/>
      <c r="L147" s="2">
        <f t="shared" si="6"/>
        <v>8.8699999999999992</v>
      </c>
      <c r="M147" s="2"/>
      <c r="N147" s="21">
        <f t="shared" si="7"/>
        <v>0</v>
      </c>
      <c r="O147" s="11"/>
      <c r="P147" s="2">
        <v>235.95</v>
      </c>
      <c r="Q147" s="2"/>
      <c r="R147" s="21">
        <f t="shared" si="8"/>
        <v>7.2768209425592894E-5</v>
      </c>
      <c r="S147" s="2"/>
      <c r="T147" s="2"/>
      <c r="U147" s="2"/>
      <c r="V147" s="21">
        <f t="shared" si="9"/>
        <v>0</v>
      </c>
      <c r="W147" s="2"/>
      <c r="X147" s="2">
        <f t="shared" si="10"/>
        <v>235.95</v>
      </c>
      <c r="Y147" s="2"/>
      <c r="Z147" s="21">
        <f t="shared" si="11"/>
        <v>0</v>
      </c>
    </row>
    <row r="148" spans="1:26" s="24" customFormat="1" hidden="1" outlineLevel="1" x14ac:dyDescent="0.25">
      <c r="A148" s="46"/>
      <c r="B148" s="11" t="str">
        <f>CONCATENATE("          ", "5592", " - ", "FREIGHT-IN-GRAD MERCH")</f>
        <v xml:space="preserve">          5592 - FREIGHT-IN-GRAD MERCH</v>
      </c>
      <c r="C148" s="11"/>
      <c r="D148" s="2">
        <v>59.57</v>
      </c>
      <c r="E148" s="2"/>
      <c r="F148" s="21">
        <f t="shared" si="4"/>
        <v>2.1036654330777745E-5</v>
      </c>
      <c r="G148" s="2"/>
      <c r="H148" s="2"/>
      <c r="I148" s="2"/>
      <c r="J148" s="21">
        <f t="shared" si="5"/>
        <v>0</v>
      </c>
      <c r="K148" s="2"/>
      <c r="L148" s="2">
        <f t="shared" si="6"/>
        <v>59.57</v>
      </c>
      <c r="M148" s="2"/>
      <c r="N148" s="21">
        <f t="shared" si="7"/>
        <v>0</v>
      </c>
      <c r="O148" s="11"/>
      <c r="P148" s="2">
        <v>59.57</v>
      </c>
      <c r="Q148" s="2"/>
      <c r="R148" s="21">
        <f t="shared" si="8"/>
        <v>1.8371698391534515E-5</v>
      </c>
      <c r="S148" s="2"/>
      <c r="T148" s="2"/>
      <c r="U148" s="2"/>
      <c r="V148" s="21">
        <f t="shared" si="9"/>
        <v>0</v>
      </c>
      <c r="W148" s="2"/>
      <c r="X148" s="2">
        <f t="shared" si="10"/>
        <v>59.57</v>
      </c>
      <c r="Y148" s="2"/>
      <c r="Z148" s="21">
        <f t="shared" si="11"/>
        <v>0</v>
      </c>
    </row>
    <row r="149" spans="1:26" x14ac:dyDescent="0.25">
      <c r="A149" s="9"/>
      <c r="B149" s="10"/>
      <c r="C149" s="10"/>
      <c r="D149" s="3"/>
      <c r="E149" s="3"/>
      <c r="F149" s="8"/>
      <c r="G149" s="3"/>
      <c r="H149" s="3"/>
      <c r="I149" s="3"/>
      <c r="J149" s="8"/>
      <c r="K149" s="3"/>
      <c r="L149" s="3"/>
      <c r="M149" s="3"/>
      <c r="N149" s="8"/>
      <c r="O149" s="10"/>
      <c r="P149" s="3"/>
      <c r="Q149" s="3"/>
      <c r="R149" s="8"/>
      <c r="S149" s="3"/>
      <c r="T149" s="3"/>
      <c r="U149" s="3"/>
      <c r="V149" s="8"/>
      <c r="W149" s="3"/>
      <c r="X149" s="3"/>
      <c r="Y149" s="3"/>
      <c r="Z149" s="8"/>
    </row>
    <row r="150" spans="1:26" s="23" customFormat="1" x14ac:dyDescent="0.25">
      <c r="A150" s="10"/>
      <c r="B150" s="29" t="s">
        <v>6</v>
      </c>
      <c r="C150" s="29"/>
      <c r="D150" s="22">
        <f>D12-D98</f>
        <v>995247.71999999974</v>
      </c>
      <c r="E150" s="14"/>
      <c r="F150" s="20">
        <f>IF(D$12=0,0,D150/D$12)</f>
        <v>0.35146352625708699</v>
      </c>
      <c r="G150" s="14"/>
      <c r="H150" s="22">
        <f>H12-H98</f>
        <v>1070171.1939999999</v>
      </c>
      <c r="I150" s="14"/>
      <c r="J150" s="20">
        <f>IF(H$12=0,0,H150/H$12)</f>
        <v>0.35544590087422268</v>
      </c>
      <c r="K150" s="15"/>
      <c r="L150" s="22">
        <f>+D150-H150</f>
        <v>-74923.474000000162</v>
      </c>
      <c r="M150" s="15"/>
      <c r="N150" s="20">
        <f>IF(H150=0,0,L150/H150)</f>
        <v>-7.0010736992421954E-2</v>
      </c>
      <c r="O150" s="28"/>
      <c r="P150" s="22">
        <f>P12-P98</f>
        <v>1186822.2899999996</v>
      </c>
      <c r="Q150" s="14"/>
      <c r="R150" s="20">
        <f>IF(P$12=0,0,P150/P$12)</f>
        <v>0.36602217821437472</v>
      </c>
      <c r="S150" s="14"/>
      <c r="T150" s="22">
        <f>T12-T98</f>
        <v>1278677.2454900001</v>
      </c>
      <c r="U150" s="14"/>
      <c r="V150" s="20">
        <f>IF(T$12=0,0,T150/T$12)</f>
        <v>0.36985186282862131</v>
      </c>
      <c r="W150" s="15"/>
      <c r="X150" s="22">
        <f>+P150-T150</f>
        <v>-91854.955490000546</v>
      </c>
      <c r="Y150" s="15"/>
      <c r="Z150" s="20">
        <f>IF(T150=0,0,X150/T150)</f>
        <v>-7.1835919356491668E-2</v>
      </c>
    </row>
    <row r="151" spans="1:26" x14ac:dyDescent="0.25">
      <c r="A151" s="9"/>
      <c r="B151" s="10"/>
      <c r="C151" s="9"/>
      <c r="D151" s="1"/>
      <c r="E151" s="1"/>
      <c r="F151" s="5"/>
      <c r="G151" s="1"/>
      <c r="H151" s="1"/>
      <c r="I151" s="1"/>
      <c r="J151" s="5"/>
      <c r="K151" s="1"/>
      <c r="L151" s="1"/>
      <c r="M151" s="1"/>
      <c r="N151" s="5"/>
      <c r="O151" s="36"/>
      <c r="P151" s="1"/>
      <c r="Q151" s="1"/>
      <c r="R151" s="5"/>
      <c r="S151" s="1"/>
      <c r="T151" s="1"/>
      <c r="U151" s="1"/>
      <c r="V151" s="5"/>
      <c r="W151" s="1"/>
      <c r="X151" s="1"/>
      <c r="Y151" s="1"/>
      <c r="Z151" s="5"/>
    </row>
    <row r="152" spans="1:26" s="23" customFormat="1" x14ac:dyDescent="0.25">
      <c r="A152" s="10"/>
      <c r="B152" s="28" t="s">
        <v>9</v>
      </c>
      <c r="C152" s="10"/>
      <c r="D152" s="19">
        <f>SUM(OSRRefD22x_0)</f>
        <v>498090.2200000002</v>
      </c>
      <c r="E152" s="19"/>
      <c r="F152" s="34">
        <f t="shared" ref="F152:F163" si="12">IF(D$12=0,0,D152/D$12)</f>
        <v>0.17589645431729131</v>
      </c>
      <c r="G152" s="19"/>
      <c r="H152" s="19">
        <f>SUM(OSRRefH22x_0)</f>
        <v>514328.90851781919</v>
      </c>
      <c r="I152" s="19"/>
      <c r="J152" s="34">
        <f t="shared" ref="J152:J163" si="13">IF(H$12=0,0,H152/H$12)</f>
        <v>0.1708288386556702</v>
      </c>
      <c r="K152" s="4"/>
      <c r="L152" s="19">
        <f t="shared" ref="L152:L163" si="14">+D152-H152</f>
        <v>-16238.688517818984</v>
      </c>
      <c r="M152" s="4"/>
      <c r="N152" s="34">
        <f t="shared" ref="N152:N163" si="15">IF(H152=0,0,L152/H152)</f>
        <v>-3.157257593125623E-2</v>
      </c>
      <c r="O152" s="10"/>
      <c r="P152" s="19">
        <f>SUM(OSRRefP22x_0)</f>
        <v>938579.19000000006</v>
      </c>
      <c r="Q152" s="19"/>
      <c r="R152" s="34">
        <f t="shared" ref="R152:R163" si="16">IF(P$12=0,0,P152/P$12)</f>
        <v>0.28946271269516149</v>
      </c>
      <c r="S152" s="19"/>
      <c r="T152" s="19">
        <f>SUM(OSRRefT22x_0)</f>
        <v>1016877.1806674813</v>
      </c>
      <c r="U152" s="19"/>
      <c r="V152" s="34">
        <f t="shared" ref="V152:V163" si="17">IF(T$12=0,0,T152/T$12)</f>
        <v>0.29412732639475575</v>
      </c>
      <c r="W152" s="4"/>
      <c r="X152" s="19">
        <f t="shared" ref="X152:X163" si="18">+P152-T152</f>
        <v>-78297.990667481208</v>
      </c>
      <c r="Y152" s="4"/>
      <c r="Z152" s="34">
        <f t="shared" ref="Z152:Z163" si="19">IF(T152=0,0,X152/T152)</f>
        <v>-7.6998473518784416E-2</v>
      </c>
    </row>
    <row r="153" spans="1:26" s="26" customFormat="1" outlineLevel="1" collapsed="1" x14ac:dyDescent="0.25">
      <c r="A153" s="25"/>
      <c r="B153" s="13" t="str">
        <f>CONCATENATE("     ","*Benefits                                         ")</f>
        <v xml:space="preserve">     *Benefits                                         </v>
      </c>
      <c r="C153" s="13"/>
      <c r="D153" s="1">
        <f>SUM(OSRRefD22_0x_0)</f>
        <v>66531.62000000001</v>
      </c>
      <c r="E153" s="1"/>
      <c r="F153" s="5">
        <f t="shared" si="12"/>
        <v>2.3495093033517867E-2</v>
      </c>
      <c r="G153" s="1"/>
      <c r="H153" s="1">
        <f>SUM(OSRRefH22_0x_0)</f>
        <v>61820.450780668405</v>
      </c>
      <c r="I153" s="1"/>
      <c r="J153" s="5">
        <f t="shared" si="13"/>
        <v>2.0533000648291815E-2</v>
      </c>
      <c r="K153" s="1"/>
      <c r="L153" s="1">
        <f t="shared" si="14"/>
        <v>4711.1692193316048</v>
      </c>
      <c r="M153" s="1"/>
      <c r="N153" s="5">
        <f t="shared" si="15"/>
        <v>7.6207293215092717E-2</v>
      </c>
      <c r="O153" s="13"/>
      <c r="P153" s="1">
        <f>SUM(OSRRefP22_0x_0)</f>
        <v>136133.72</v>
      </c>
      <c r="Q153" s="1"/>
      <c r="R153" s="5">
        <f t="shared" si="16"/>
        <v>4.198434857743176E-2</v>
      </c>
      <c r="S153" s="1"/>
      <c r="T153" s="1">
        <f>SUM(OSRRefT22_0x_0)</f>
        <v>131842.63964084204</v>
      </c>
      <c r="U153" s="1"/>
      <c r="V153" s="5">
        <f t="shared" si="17"/>
        <v>3.8134913281202519E-2</v>
      </c>
      <c r="W153" s="1"/>
      <c r="X153" s="1">
        <f t="shared" si="18"/>
        <v>4291.0803591579606</v>
      </c>
      <c r="Y153" s="1"/>
      <c r="Z153" s="5">
        <f t="shared" si="19"/>
        <v>3.254698457833876E-2</v>
      </c>
    </row>
    <row r="154" spans="1:26" s="24" customFormat="1" hidden="1" outlineLevel="2" x14ac:dyDescent="0.25">
      <c r="A154" s="27"/>
      <c r="B154" s="11" t="str">
        <f>CONCATENATE("          ", "6111", " - ", "F.I.C.A.")</f>
        <v xml:space="preserve">          6111 - F.I.C.A.</v>
      </c>
      <c r="C154" s="11"/>
      <c r="D154" s="6">
        <v>16701.11</v>
      </c>
      <c r="E154" s="2"/>
      <c r="F154" s="7">
        <f t="shared" si="12"/>
        <v>5.8978592917625569E-3</v>
      </c>
      <c r="G154" s="2"/>
      <c r="H154" s="6">
        <v>12407.50084025885</v>
      </c>
      <c r="I154" s="2"/>
      <c r="J154" s="7">
        <f t="shared" si="13"/>
        <v>4.1210185234751163E-3</v>
      </c>
      <c r="K154" s="2"/>
      <c r="L154" s="6">
        <f t="shared" si="14"/>
        <v>4293.6091597411505</v>
      </c>
      <c r="M154" s="2"/>
      <c r="N154" s="7">
        <f t="shared" si="15"/>
        <v>0.34604947563731742</v>
      </c>
      <c r="O154" s="11"/>
      <c r="P154" s="6">
        <v>29745.16</v>
      </c>
      <c r="Q154" s="2"/>
      <c r="R154" s="7">
        <f t="shared" si="16"/>
        <v>9.1735623321795665E-3</v>
      </c>
      <c r="S154" s="2"/>
      <c r="T154" s="6">
        <v>29717.212528333093</v>
      </c>
      <c r="U154" s="2"/>
      <c r="V154" s="7">
        <f t="shared" si="17"/>
        <v>8.5955751933836956E-3</v>
      </c>
      <c r="W154" s="2"/>
      <c r="X154" s="6">
        <f t="shared" si="18"/>
        <v>27.947471666906495</v>
      </c>
      <c r="Y154" s="2"/>
      <c r="Z154" s="7">
        <f t="shared" si="19"/>
        <v>9.4044727917400441E-4</v>
      </c>
    </row>
    <row r="155" spans="1:26" s="24" customFormat="1" hidden="1" outlineLevel="2" x14ac:dyDescent="0.25">
      <c r="A155" s="27"/>
      <c r="B155" s="11" t="str">
        <f>CONCATENATE("          ", "6112", " - ", "COMPENSATION INSURANCE")</f>
        <v xml:space="preserve">          6112 - COMPENSATION INSURANCE</v>
      </c>
      <c r="C155" s="11"/>
      <c r="D155" s="6">
        <v>3702.03</v>
      </c>
      <c r="E155" s="2"/>
      <c r="F155" s="7">
        <f t="shared" si="12"/>
        <v>1.3073413703570444E-3</v>
      </c>
      <c r="G155" s="2"/>
      <c r="H155" s="6">
        <v>4727.9532484230758</v>
      </c>
      <c r="I155" s="2"/>
      <c r="J155" s="7">
        <f t="shared" si="13"/>
        <v>1.5703390365008722E-3</v>
      </c>
      <c r="K155" s="2"/>
      <c r="L155" s="6">
        <f t="shared" si="14"/>
        <v>-1025.9232484230756</v>
      </c>
      <c r="M155" s="2"/>
      <c r="N155" s="7">
        <f t="shared" si="15"/>
        <v>-0.21699098838704761</v>
      </c>
      <c r="O155" s="11"/>
      <c r="P155" s="6">
        <v>6365.96</v>
      </c>
      <c r="Q155" s="2"/>
      <c r="R155" s="7">
        <f t="shared" si="16"/>
        <v>1.9632952340536019E-3</v>
      </c>
      <c r="S155" s="2"/>
      <c r="T155" s="6">
        <v>8990.5189989519204</v>
      </c>
      <c r="U155" s="2"/>
      <c r="V155" s="7">
        <f t="shared" si="17"/>
        <v>2.6004687353955763E-3</v>
      </c>
      <c r="W155" s="2"/>
      <c r="X155" s="6">
        <f t="shared" si="18"/>
        <v>-2624.5589989519203</v>
      </c>
      <c r="Y155" s="2"/>
      <c r="Z155" s="7">
        <f t="shared" si="19"/>
        <v>-0.29192519355755558</v>
      </c>
    </row>
    <row r="156" spans="1:26" s="24" customFormat="1" hidden="1" outlineLevel="2" x14ac:dyDescent="0.25">
      <c r="A156" s="27"/>
      <c r="B156" s="11" t="str">
        <f>CONCATENATE("          ", "6113", " - ", "GROUP INSURANCE")</f>
        <v xml:space="preserve">          6113 - GROUP INSURANCE</v>
      </c>
      <c r="C156" s="11"/>
      <c r="D156" s="6">
        <v>25376.27</v>
      </c>
      <c r="E156" s="2"/>
      <c r="F156" s="7">
        <f t="shared" si="12"/>
        <v>8.961420516946204E-3</v>
      </c>
      <c r="G156" s="2"/>
      <c r="H156" s="6">
        <v>24508.81923076923</v>
      </c>
      <c r="I156" s="2"/>
      <c r="J156" s="7">
        <f t="shared" si="13"/>
        <v>8.1403418253885862E-3</v>
      </c>
      <c r="K156" s="2"/>
      <c r="L156" s="6">
        <f t="shared" si="14"/>
        <v>867.45076923077067</v>
      </c>
      <c r="M156" s="2"/>
      <c r="N156" s="7">
        <f t="shared" si="15"/>
        <v>3.5393413328608771E-2</v>
      </c>
      <c r="O156" s="11"/>
      <c r="P156" s="6">
        <v>50752.54</v>
      </c>
      <c r="Q156" s="2"/>
      <c r="R156" s="7">
        <f t="shared" si="16"/>
        <v>1.5652347783855821E-2</v>
      </c>
      <c r="S156" s="2"/>
      <c r="T156" s="6">
        <v>49489.330769230772</v>
      </c>
      <c r="U156" s="2"/>
      <c r="V156" s="7">
        <f t="shared" si="17"/>
        <v>1.431457487782827E-2</v>
      </c>
      <c r="W156" s="2"/>
      <c r="X156" s="6">
        <f t="shared" si="18"/>
        <v>1263.2092307692292</v>
      </c>
      <c r="Y156" s="2"/>
      <c r="Z156" s="7">
        <f t="shared" si="19"/>
        <v>2.5524880032417211E-2</v>
      </c>
    </row>
    <row r="157" spans="1:26" s="24" customFormat="1" hidden="1" outlineLevel="2" x14ac:dyDescent="0.25">
      <c r="A157" s="27"/>
      <c r="B157" s="11" t="str">
        <f>CONCATENATE("          ", "6114", " - ", "STATE UNEMPLOYMENT INSURANCE")</f>
        <v xml:space="preserve">          6114 - STATE UNEMPLOYMENT INSURANCE</v>
      </c>
      <c r="C157" s="11"/>
      <c r="D157" s="6">
        <v>570.70000000000005</v>
      </c>
      <c r="E157" s="2"/>
      <c r="F157" s="7">
        <f t="shared" si="12"/>
        <v>2.0153799943889306E-4</v>
      </c>
      <c r="G157" s="2"/>
      <c r="H157" s="6">
        <v>665.17397920991198</v>
      </c>
      <c r="I157" s="2"/>
      <c r="J157" s="7">
        <f t="shared" si="13"/>
        <v>2.2093041338053308E-4</v>
      </c>
      <c r="K157" s="2"/>
      <c r="L157" s="6">
        <f t="shared" si="14"/>
        <v>-94.473979209911931</v>
      </c>
      <c r="M157" s="2"/>
      <c r="N157" s="7">
        <f t="shared" si="15"/>
        <v>-0.14202897612159651</v>
      </c>
      <c r="O157" s="11"/>
      <c r="P157" s="6">
        <v>1016.17</v>
      </c>
      <c r="Q157" s="2"/>
      <c r="R157" s="7">
        <f t="shared" si="16"/>
        <v>3.1339212278874647E-4</v>
      </c>
      <c r="S157" s="2"/>
      <c r="T157" s="6">
        <v>1266.610404879232</v>
      </c>
      <c r="U157" s="2"/>
      <c r="V157" s="7">
        <f t="shared" si="17"/>
        <v>3.6636158137246042E-4</v>
      </c>
      <c r="W157" s="2"/>
      <c r="X157" s="6">
        <f t="shared" si="18"/>
        <v>-250.44040487923201</v>
      </c>
      <c r="Y157" s="2"/>
      <c r="Z157" s="7">
        <f t="shared" si="19"/>
        <v>-0.19772489150135383</v>
      </c>
    </row>
    <row r="158" spans="1:26" s="24" customFormat="1" hidden="1" outlineLevel="2" x14ac:dyDescent="0.25">
      <c r="A158" s="27"/>
      <c r="B158" s="11" t="str">
        <f>CONCATENATE("          ", "6115", " - ", "P.E.R.S.")</f>
        <v xml:space="preserve">          6115 - P.E.R.S.</v>
      </c>
      <c r="C158" s="11"/>
      <c r="D158" s="6">
        <v>7688.58</v>
      </c>
      <c r="E158" s="2"/>
      <c r="F158" s="7">
        <f t="shared" si="12"/>
        <v>2.7151586327770882E-3</v>
      </c>
      <c r="G158" s="2"/>
      <c r="H158" s="6">
        <v>7507.6447402307613</v>
      </c>
      <c r="I158" s="2"/>
      <c r="J158" s="7">
        <f t="shared" si="13"/>
        <v>2.4935837958416801E-3</v>
      </c>
      <c r="K158" s="2"/>
      <c r="L158" s="6">
        <f t="shared" si="14"/>
        <v>180.93525976923866</v>
      </c>
      <c r="M158" s="2"/>
      <c r="N158" s="7">
        <f t="shared" si="15"/>
        <v>2.4100136065265825E-2</v>
      </c>
      <c r="O158" s="11"/>
      <c r="P158" s="6">
        <v>15300.969999999998</v>
      </c>
      <c r="Q158" s="2"/>
      <c r="R158" s="7">
        <f t="shared" si="16"/>
        <v>4.7188988742306167E-3</v>
      </c>
      <c r="S158" s="2"/>
      <c r="T158" s="6">
        <v>16892.200665519216</v>
      </c>
      <c r="U158" s="2"/>
      <c r="V158" s="7">
        <f t="shared" si="17"/>
        <v>4.8859959817483265E-3</v>
      </c>
      <c r="W158" s="2"/>
      <c r="X158" s="6">
        <f t="shared" si="18"/>
        <v>-1591.2306655192187</v>
      </c>
      <c r="Y158" s="2"/>
      <c r="Z158" s="7">
        <f t="shared" si="19"/>
        <v>-9.4199133495215859E-2</v>
      </c>
    </row>
    <row r="159" spans="1:26" s="24" customFormat="1" hidden="1" outlineLevel="2" x14ac:dyDescent="0.25">
      <c r="A159" s="27"/>
      <c r="B159" s="11" t="str">
        <f>CONCATENATE("          ", "6116", " - ", "EDUCATIONAL BENEFITS")</f>
        <v xml:space="preserve">          6116 - EDUCATIONAL BENEFITS</v>
      </c>
      <c r="C159" s="11"/>
      <c r="D159" s="6"/>
      <c r="E159" s="2"/>
      <c r="F159" s="7">
        <f t="shared" si="12"/>
        <v>0</v>
      </c>
      <c r="G159" s="2"/>
      <c r="H159" s="6">
        <v>0</v>
      </c>
      <c r="I159" s="2"/>
      <c r="J159" s="7">
        <f t="shared" si="13"/>
        <v>0</v>
      </c>
      <c r="K159" s="2"/>
      <c r="L159" s="6">
        <f t="shared" si="14"/>
        <v>0</v>
      </c>
      <c r="M159" s="2"/>
      <c r="N159" s="7">
        <f t="shared" si="15"/>
        <v>0</v>
      </c>
      <c r="O159" s="11"/>
      <c r="P159" s="6"/>
      <c r="Q159" s="2"/>
      <c r="R159" s="7">
        <f t="shared" si="16"/>
        <v>0</v>
      </c>
      <c r="S159" s="2"/>
      <c r="T159" s="6">
        <v>0</v>
      </c>
      <c r="U159" s="2"/>
      <c r="V159" s="7">
        <f t="shared" si="17"/>
        <v>0</v>
      </c>
      <c r="W159" s="2"/>
      <c r="X159" s="6">
        <f t="shared" si="18"/>
        <v>0</v>
      </c>
      <c r="Y159" s="2"/>
      <c r="Z159" s="7">
        <f t="shared" si="19"/>
        <v>0</v>
      </c>
    </row>
    <row r="160" spans="1:26" s="24" customFormat="1" hidden="1" outlineLevel="2" x14ac:dyDescent="0.25">
      <c r="A160" s="27"/>
      <c r="B160" s="11" t="str">
        <f>CONCATENATE("          ", "6117", " - ", "RETIREMENT STAFF HOURLY")</f>
        <v xml:space="preserve">          6117 - RETIREMENT STAFF HOURLY</v>
      </c>
      <c r="C160" s="11"/>
      <c r="D160" s="6">
        <v>94.68</v>
      </c>
      <c r="E160" s="2"/>
      <c r="F160" s="7">
        <f t="shared" si="12"/>
        <v>3.3435461340238995E-5</v>
      </c>
      <c r="G160" s="2"/>
      <c r="H160" s="6"/>
      <c r="I160" s="2"/>
      <c r="J160" s="7">
        <f t="shared" si="13"/>
        <v>0</v>
      </c>
      <c r="K160" s="2"/>
      <c r="L160" s="6">
        <f t="shared" si="14"/>
        <v>94.68</v>
      </c>
      <c r="M160" s="2"/>
      <c r="N160" s="7">
        <f t="shared" si="15"/>
        <v>0</v>
      </c>
      <c r="O160" s="11"/>
      <c r="P160" s="6">
        <v>315.37</v>
      </c>
      <c r="Q160" s="2"/>
      <c r="R160" s="7">
        <f t="shared" si="16"/>
        <v>9.7261751246235361E-5</v>
      </c>
      <c r="S160" s="2"/>
      <c r="T160" s="6"/>
      <c r="U160" s="2"/>
      <c r="V160" s="7">
        <f t="shared" si="17"/>
        <v>0</v>
      </c>
      <c r="W160" s="2"/>
      <c r="X160" s="6">
        <f t="shared" si="18"/>
        <v>315.37</v>
      </c>
      <c r="Y160" s="2"/>
      <c r="Z160" s="7">
        <f t="shared" si="19"/>
        <v>0</v>
      </c>
    </row>
    <row r="161" spans="1:26" s="24" customFormat="1" hidden="1" outlineLevel="2" x14ac:dyDescent="0.25">
      <c r="A161" s="27"/>
      <c r="B161" s="11" t="str">
        <f>CONCATENATE("          ", "6118", " - ", "VACATION")</f>
        <v xml:space="preserve">          6118 - VACATION</v>
      </c>
      <c r="C161" s="11"/>
      <c r="D161" s="6">
        <v>5761.83</v>
      </c>
      <c r="E161" s="2"/>
      <c r="F161" s="7">
        <f t="shared" si="12"/>
        <v>2.0347427568021678E-3</v>
      </c>
      <c r="G161" s="2"/>
      <c r="H161" s="6">
        <v>5007.0878912461503</v>
      </c>
      <c r="I161" s="2"/>
      <c r="J161" s="7">
        <f t="shared" si="13"/>
        <v>1.6630506186661571E-3</v>
      </c>
      <c r="K161" s="2"/>
      <c r="L161" s="6">
        <f t="shared" si="14"/>
        <v>754.74210875384961</v>
      </c>
      <c r="M161" s="2"/>
      <c r="N161" s="7">
        <f t="shared" si="15"/>
        <v>0.15073474345704194</v>
      </c>
      <c r="O161" s="11"/>
      <c r="P161" s="6">
        <v>14462.61</v>
      </c>
      <c r="Q161" s="2"/>
      <c r="R161" s="7">
        <f t="shared" si="16"/>
        <v>4.4603442819269937E-3</v>
      </c>
      <c r="S161" s="2"/>
      <c r="T161" s="6">
        <v>11263.63025530384</v>
      </c>
      <c r="U161" s="2"/>
      <c r="V161" s="7">
        <f t="shared" si="17"/>
        <v>3.2579563348220418E-3</v>
      </c>
      <c r="W161" s="2"/>
      <c r="X161" s="6">
        <f t="shared" si="18"/>
        <v>3198.9797446961602</v>
      </c>
      <c r="Y161" s="2"/>
      <c r="Z161" s="7">
        <f t="shared" si="19"/>
        <v>0.28400965516333587</v>
      </c>
    </row>
    <row r="162" spans="1:26" s="24" customFormat="1" hidden="1" outlineLevel="2" x14ac:dyDescent="0.25">
      <c r="A162" s="27"/>
      <c r="B162" s="11" t="str">
        <f>CONCATENATE("          ", "6119", " - ", "SICK LEAVE")</f>
        <v xml:space="preserve">          6119 - SICK LEAVE</v>
      </c>
      <c r="C162" s="11"/>
      <c r="D162" s="6">
        <v>4119.29</v>
      </c>
      <c r="E162" s="2"/>
      <c r="F162" s="7">
        <f t="shared" si="12"/>
        <v>1.4546932989462724E-3</v>
      </c>
      <c r="G162" s="2"/>
      <c r="H162" s="6">
        <v>5446.2708505304299</v>
      </c>
      <c r="I162" s="2"/>
      <c r="J162" s="7">
        <f t="shared" si="13"/>
        <v>1.8089205350745106E-3</v>
      </c>
      <c r="K162" s="2"/>
      <c r="L162" s="6">
        <f t="shared" si="14"/>
        <v>-1326.98085053043</v>
      </c>
      <c r="M162" s="2"/>
      <c r="N162" s="7">
        <f t="shared" si="15"/>
        <v>-0.24364944141571493</v>
      </c>
      <c r="O162" s="11"/>
      <c r="P162" s="6">
        <v>13362.91</v>
      </c>
      <c r="Q162" s="2"/>
      <c r="R162" s="7">
        <f t="shared" si="16"/>
        <v>4.1211910719023076E-3</v>
      </c>
      <c r="S162" s="2"/>
      <c r="T162" s="6">
        <v>10998.136018623964</v>
      </c>
      <c r="U162" s="2"/>
      <c r="V162" s="7">
        <f t="shared" si="17"/>
        <v>3.1811632751561629E-3</v>
      </c>
      <c r="W162" s="2"/>
      <c r="X162" s="6">
        <f t="shared" si="18"/>
        <v>2364.7739813760363</v>
      </c>
      <c r="Y162" s="2"/>
      <c r="Z162" s="7">
        <f t="shared" si="19"/>
        <v>0.21501588790787715</v>
      </c>
    </row>
    <row r="163" spans="1:26" s="24" customFormat="1" hidden="1" outlineLevel="2" x14ac:dyDescent="0.25">
      <c r="A163" s="27"/>
      <c r="B163" s="11" t="str">
        <f>CONCATENATE("          ", "6156", " - ", "EMPLOYEE MEALS")</f>
        <v xml:space="preserve">          6156 - EMPLOYEE MEALS</v>
      </c>
      <c r="C163" s="11"/>
      <c r="D163" s="6">
        <v>2517.13</v>
      </c>
      <c r="E163" s="2"/>
      <c r="F163" s="7">
        <f t="shared" si="12"/>
        <v>8.8890370514739948E-4</v>
      </c>
      <c r="G163" s="2"/>
      <c r="H163" s="6">
        <v>1550</v>
      </c>
      <c r="I163" s="2"/>
      <c r="J163" s="7">
        <f t="shared" si="13"/>
        <v>5.1481589996436145E-4</v>
      </c>
      <c r="K163" s="2"/>
      <c r="L163" s="6">
        <f t="shared" si="14"/>
        <v>967.13000000000011</v>
      </c>
      <c r="M163" s="2"/>
      <c r="N163" s="7">
        <f t="shared" si="15"/>
        <v>0.6239548387096775</v>
      </c>
      <c r="O163" s="11"/>
      <c r="P163" s="6">
        <v>4812.03</v>
      </c>
      <c r="Q163" s="2"/>
      <c r="R163" s="7">
        <f t="shared" si="16"/>
        <v>1.4840551252478737E-3</v>
      </c>
      <c r="S163" s="2"/>
      <c r="T163" s="6">
        <v>3225</v>
      </c>
      <c r="U163" s="2"/>
      <c r="V163" s="7">
        <f t="shared" si="17"/>
        <v>9.3281730149598709E-4</v>
      </c>
      <c r="W163" s="2"/>
      <c r="X163" s="6">
        <f t="shared" si="18"/>
        <v>1587.0299999999997</v>
      </c>
      <c r="Y163" s="2"/>
      <c r="Z163" s="7">
        <f t="shared" si="19"/>
        <v>0.49210232558139527</v>
      </c>
    </row>
    <row r="164" spans="1:26" s="26" customFormat="1" outlineLevel="1" collapsed="1" x14ac:dyDescent="0.25">
      <c r="A164" s="25"/>
      <c r="B164" s="13" t="str">
        <f>CONCATENATE("     ","*Payroll                                          ")</f>
        <v xml:space="preserve">     *Payroll                                          </v>
      </c>
      <c r="C164" s="13"/>
      <c r="D164" s="1">
        <f>SUM(OSRRefD22_1x_0)</f>
        <v>266009.22000000003</v>
      </c>
      <c r="E164" s="1"/>
      <c r="F164" s="5">
        <f t="shared" ref="F164:F174" si="20">IF(D$12=0,0,D164/D$12)</f>
        <v>9.3938962731908854E-2</v>
      </c>
      <c r="G164" s="1"/>
      <c r="H164" s="1">
        <f>SUM(OSRRefH22_1x_0)</f>
        <v>247428.95773715078</v>
      </c>
      <c r="I164" s="1"/>
      <c r="J164" s="5">
        <f t="shared" ref="J164:J174" si="21">IF(H$12=0,0,H164/H$12)</f>
        <v>8.2180878422384016E-2</v>
      </c>
      <c r="K164" s="1"/>
      <c r="L164" s="1">
        <f t="shared" ref="L164:L174" si="22">+D164-H164</f>
        <v>18580.262262849254</v>
      </c>
      <c r="M164" s="1"/>
      <c r="N164" s="5">
        <f t="shared" ref="N164:N174" si="23">IF(H164=0,0,L164/H164)</f>
        <v>7.5093321463963303E-2</v>
      </c>
      <c r="O164" s="13"/>
      <c r="P164" s="1">
        <f>SUM(OSRRefP22_1x_0)</f>
        <v>474075.54</v>
      </c>
      <c r="Q164" s="1"/>
      <c r="R164" s="5">
        <f t="shared" ref="R164:R174" si="24">IF(P$12=0,0,P164/P$12)</f>
        <v>0.14620736672291182</v>
      </c>
      <c r="S164" s="1"/>
      <c r="T164" s="1">
        <f>SUM(OSRRefT22_1x_0)</f>
        <v>468443.54102663923</v>
      </c>
      <c r="U164" s="1"/>
      <c r="V164" s="5">
        <f t="shared" ref="V164:V174" si="25">IF(T$12=0,0,T164/T$12)</f>
        <v>0.1354952681685874</v>
      </c>
      <c r="W164" s="1"/>
      <c r="X164" s="1">
        <f t="shared" ref="X164:X174" si="26">+P164-T164</f>
        <v>5631.9989733607508</v>
      </c>
      <c r="Y164" s="1"/>
      <c r="Z164" s="5">
        <f t="shared" ref="Z164:Z174" si="27">IF(T164=0,0,X164/T164)</f>
        <v>1.2022791393425302E-2</v>
      </c>
    </row>
    <row r="165" spans="1:26" s="24" customFormat="1" hidden="1" outlineLevel="2" x14ac:dyDescent="0.25">
      <c r="A165" s="27"/>
      <c r="B165" s="11" t="str">
        <f>CONCATENATE("          ", "6001", " - ", "ADMINISTRATIVE SALARIES")</f>
        <v xml:space="preserve">          6001 - ADMINISTRATIVE SALARIES</v>
      </c>
      <c r="C165" s="11"/>
      <c r="D165" s="6">
        <v>10181.280000000001</v>
      </c>
      <c r="E165" s="2"/>
      <c r="F165" s="7">
        <f t="shared" si="20"/>
        <v>3.5954350848558143E-3</v>
      </c>
      <c r="G165" s="2"/>
      <c r="H165" s="6">
        <v>37309.313363384616</v>
      </c>
      <c r="I165" s="2"/>
      <c r="J165" s="7">
        <f t="shared" si="21"/>
        <v>1.2391888862079502E-2</v>
      </c>
      <c r="K165" s="2"/>
      <c r="L165" s="6">
        <f t="shared" si="22"/>
        <v>-27128.033363384617</v>
      </c>
      <c r="M165" s="2"/>
      <c r="N165" s="7">
        <f t="shared" si="23"/>
        <v>-0.7271115686092493</v>
      </c>
      <c r="O165" s="11"/>
      <c r="P165" s="6">
        <v>23041.56</v>
      </c>
      <c r="Q165" s="2"/>
      <c r="R165" s="7">
        <f t="shared" si="24"/>
        <v>7.1061371628411288E-3</v>
      </c>
      <c r="S165" s="2"/>
      <c r="T165" s="6">
        <v>83945.955067615389</v>
      </c>
      <c r="U165" s="2"/>
      <c r="V165" s="7">
        <f t="shared" si="25"/>
        <v>2.4281004427186472E-2</v>
      </c>
      <c r="W165" s="2"/>
      <c r="X165" s="6">
        <f t="shared" si="26"/>
        <v>-60904.395067615391</v>
      </c>
      <c r="Y165" s="2"/>
      <c r="Z165" s="7">
        <f t="shared" si="27"/>
        <v>-0.72551911546612502</v>
      </c>
    </row>
    <row r="166" spans="1:26" s="24" customFormat="1" hidden="1" outlineLevel="2" x14ac:dyDescent="0.25">
      <c r="A166" s="27"/>
      <c r="B166" s="11" t="str">
        <f>CONCATENATE("          ", "6002", " - ", "STAFF SALARIES")</f>
        <v xml:space="preserve">          6002 - STAFF SALARIES</v>
      </c>
      <c r="C166" s="11"/>
      <c r="D166" s="6">
        <v>72251.13</v>
      </c>
      <c r="E166" s="2"/>
      <c r="F166" s="7">
        <f t="shared" si="20"/>
        <v>2.5514890831258786E-2</v>
      </c>
      <c r="G166" s="2"/>
      <c r="H166" s="6">
        <v>42691.71454564618</v>
      </c>
      <c r="I166" s="2"/>
      <c r="J166" s="7">
        <f t="shared" si="21"/>
        <v>1.4179595770863522E-2</v>
      </c>
      <c r="K166" s="2"/>
      <c r="L166" s="6">
        <f t="shared" si="22"/>
        <v>29559.415454353824</v>
      </c>
      <c r="M166" s="2"/>
      <c r="N166" s="7">
        <f t="shared" si="23"/>
        <v>0.69239232410656071</v>
      </c>
      <c r="O166" s="11"/>
      <c r="P166" s="6">
        <v>155662.78</v>
      </c>
      <c r="Q166" s="2"/>
      <c r="R166" s="7">
        <f t="shared" si="24"/>
        <v>4.8007212438270795E-2</v>
      </c>
      <c r="S166" s="2"/>
      <c r="T166" s="6">
        <v>96056.357727703871</v>
      </c>
      <c r="U166" s="2"/>
      <c r="V166" s="7">
        <f t="shared" si="25"/>
        <v>2.7783886017702306E-2</v>
      </c>
      <c r="W166" s="2"/>
      <c r="X166" s="6">
        <f t="shared" si="26"/>
        <v>59606.422272296128</v>
      </c>
      <c r="Y166" s="2"/>
      <c r="Z166" s="7">
        <f t="shared" si="27"/>
        <v>0.62053594038268312</v>
      </c>
    </row>
    <row r="167" spans="1:26" s="24" customFormat="1" hidden="1" outlineLevel="2" x14ac:dyDescent="0.25">
      <c r="A167" s="27"/>
      <c r="B167" s="11" t="str">
        <f>CONCATENATE("          ", "6003", " - ", "STAFF HOURLY-9 MONTH")</f>
        <v xml:space="preserve">          6003 - STAFF HOURLY-9 MONTH</v>
      </c>
      <c r="C167" s="11"/>
      <c r="D167" s="6"/>
      <c r="E167" s="2"/>
      <c r="F167" s="7">
        <f t="shared" si="20"/>
        <v>0</v>
      </c>
      <c r="G167" s="2"/>
      <c r="H167" s="6">
        <v>0</v>
      </c>
      <c r="I167" s="2"/>
      <c r="J167" s="7">
        <f t="shared" si="21"/>
        <v>0</v>
      </c>
      <c r="K167" s="2"/>
      <c r="L167" s="6">
        <f t="shared" si="22"/>
        <v>0</v>
      </c>
      <c r="M167" s="2"/>
      <c r="N167" s="7">
        <f t="shared" si="23"/>
        <v>0</v>
      </c>
      <c r="O167" s="11"/>
      <c r="P167" s="6"/>
      <c r="Q167" s="2"/>
      <c r="R167" s="7">
        <f t="shared" si="24"/>
        <v>0</v>
      </c>
      <c r="S167" s="2"/>
      <c r="T167" s="6">
        <v>0</v>
      </c>
      <c r="U167" s="2"/>
      <c r="V167" s="7">
        <f t="shared" si="25"/>
        <v>0</v>
      </c>
      <c r="W167" s="2"/>
      <c r="X167" s="6">
        <f t="shared" si="26"/>
        <v>0</v>
      </c>
      <c r="Y167" s="2"/>
      <c r="Z167" s="7">
        <f t="shared" si="27"/>
        <v>0</v>
      </c>
    </row>
    <row r="168" spans="1:26" s="24" customFormat="1" hidden="1" outlineLevel="2" x14ac:dyDescent="0.25">
      <c r="A168" s="27"/>
      <c r="B168" s="11" t="str">
        <f>CONCATENATE("          ", "6004", " - ", "STAFF HOURLY")</f>
        <v xml:space="preserve">          6004 - STAFF HOURLY</v>
      </c>
      <c r="C168" s="11"/>
      <c r="D168" s="6">
        <v>3084.96</v>
      </c>
      <c r="E168" s="2"/>
      <c r="F168" s="7">
        <f t="shared" si="20"/>
        <v>1.0894281877501446E-3</v>
      </c>
      <c r="G168" s="2"/>
      <c r="H168" s="6">
        <v>23308.312382</v>
      </c>
      <c r="I168" s="2"/>
      <c r="J168" s="7">
        <f t="shared" si="21"/>
        <v>7.7416063326385797E-3</v>
      </c>
      <c r="K168" s="2"/>
      <c r="L168" s="6">
        <f t="shared" si="22"/>
        <v>-20223.352382000001</v>
      </c>
      <c r="M168" s="2"/>
      <c r="N168" s="7">
        <f t="shared" si="23"/>
        <v>-0.8676455013370088</v>
      </c>
      <c r="O168" s="11"/>
      <c r="P168" s="6">
        <v>5090.8900000000003</v>
      </c>
      <c r="Q168" s="2"/>
      <c r="R168" s="7">
        <f t="shared" si="24"/>
        <v>1.5700570022574979E-3</v>
      </c>
      <c r="S168" s="2"/>
      <c r="T168" s="6">
        <v>51308.791922000004</v>
      </c>
      <c r="U168" s="2"/>
      <c r="V168" s="7">
        <f t="shared" si="25"/>
        <v>1.4840846146883456E-2</v>
      </c>
      <c r="W168" s="2"/>
      <c r="X168" s="6">
        <f t="shared" si="26"/>
        <v>-46217.901922000005</v>
      </c>
      <c r="Y168" s="2"/>
      <c r="Z168" s="7">
        <f t="shared" si="27"/>
        <v>-0.90077938284457748</v>
      </c>
    </row>
    <row r="169" spans="1:26" s="24" customFormat="1" hidden="1" outlineLevel="2" x14ac:dyDescent="0.25">
      <c r="A169" s="27"/>
      <c r="B169" s="11" t="str">
        <f>CONCATENATE("          ", "6005", " - ", "TEMPORARY WAGES-HOURLY")</f>
        <v xml:space="preserve">          6005 - TEMPORARY WAGES-HOURLY</v>
      </c>
      <c r="C169" s="11"/>
      <c r="D169" s="6">
        <v>22727.5</v>
      </c>
      <c r="E169" s="2"/>
      <c r="F169" s="7">
        <f t="shared" si="20"/>
        <v>8.0260292312028074E-3</v>
      </c>
      <c r="G169" s="2"/>
      <c r="H169" s="6">
        <v>4305.5600000000004</v>
      </c>
      <c r="I169" s="2"/>
      <c r="J169" s="7">
        <f t="shared" si="21"/>
        <v>1.4300456427422943E-3</v>
      </c>
      <c r="K169" s="2"/>
      <c r="L169" s="6">
        <f t="shared" si="22"/>
        <v>18421.939999999999</v>
      </c>
      <c r="M169" s="2"/>
      <c r="N169" s="7">
        <f t="shared" si="23"/>
        <v>4.2786397123719091</v>
      </c>
      <c r="O169" s="11"/>
      <c r="P169" s="6">
        <v>43563.55</v>
      </c>
      <c r="Q169" s="2"/>
      <c r="R169" s="7">
        <f t="shared" si="24"/>
        <v>1.3435225809376087E-2</v>
      </c>
      <c r="S169" s="2"/>
      <c r="T169" s="6">
        <v>7739.72</v>
      </c>
      <c r="U169" s="2"/>
      <c r="V169" s="7">
        <f t="shared" si="25"/>
        <v>2.2386805348014022E-3</v>
      </c>
      <c r="W169" s="2"/>
      <c r="X169" s="6">
        <f t="shared" si="26"/>
        <v>35823.83</v>
      </c>
      <c r="Y169" s="2"/>
      <c r="Z169" s="7">
        <f t="shared" si="27"/>
        <v>4.628569250567204</v>
      </c>
    </row>
    <row r="170" spans="1:26" s="24" customFormat="1" hidden="1" outlineLevel="2" x14ac:dyDescent="0.25">
      <c r="A170" s="27"/>
      <c r="B170" s="11" t="str">
        <f>CONCATENATE("          ", "6006", " - ", "TEMPORARY PART TIME")</f>
        <v xml:space="preserve">          6006 - TEMPORARY PART TIME</v>
      </c>
      <c r="C170" s="11"/>
      <c r="D170" s="6">
        <v>5537.06</v>
      </c>
      <c r="E170" s="2"/>
      <c r="F170" s="7">
        <f t="shared" si="20"/>
        <v>1.9553670845858019E-3</v>
      </c>
      <c r="G170" s="2"/>
      <c r="H170" s="6">
        <v>0</v>
      </c>
      <c r="I170" s="2"/>
      <c r="J170" s="7">
        <f t="shared" si="21"/>
        <v>0</v>
      </c>
      <c r="K170" s="2"/>
      <c r="L170" s="6">
        <f t="shared" si="22"/>
        <v>5537.06</v>
      </c>
      <c r="M170" s="2"/>
      <c r="N170" s="7">
        <f t="shared" si="23"/>
        <v>0</v>
      </c>
      <c r="O170" s="11"/>
      <c r="P170" s="6">
        <v>9455.25</v>
      </c>
      <c r="Q170" s="2"/>
      <c r="R170" s="7">
        <f t="shared" si="24"/>
        <v>2.9160483669054345E-3</v>
      </c>
      <c r="S170" s="2"/>
      <c r="T170" s="6">
        <v>0</v>
      </c>
      <c r="U170" s="2"/>
      <c r="V170" s="7">
        <f t="shared" si="25"/>
        <v>0</v>
      </c>
      <c r="W170" s="2"/>
      <c r="X170" s="6">
        <f t="shared" si="26"/>
        <v>9455.25</v>
      </c>
      <c r="Y170" s="2"/>
      <c r="Z170" s="7">
        <f t="shared" si="27"/>
        <v>0</v>
      </c>
    </row>
    <row r="171" spans="1:26" s="24" customFormat="1" hidden="1" outlineLevel="2" x14ac:dyDescent="0.25">
      <c r="A171" s="27"/>
      <c r="B171" s="11" t="str">
        <f>CONCATENATE("          ", "6007", " - ", "STUDENT HOURLY")</f>
        <v xml:space="preserve">          6007 - STUDENT HOURLY</v>
      </c>
      <c r="C171" s="11"/>
      <c r="D171" s="6">
        <v>148881.35</v>
      </c>
      <c r="E171" s="2"/>
      <c r="F171" s="7">
        <f t="shared" si="20"/>
        <v>5.2576221189349293E-2</v>
      </c>
      <c r="G171" s="2"/>
      <c r="H171" s="6">
        <v>50477.366249999999</v>
      </c>
      <c r="I171" s="2"/>
      <c r="J171" s="7">
        <f t="shared" si="21"/>
        <v>1.6765516602467376E-2</v>
      </c>
      <c r="K171" s="2"/>
      <c r="L171" s="6">
        <f t="shared" si="22"/>
        <v>98403.983750000014</v>
      </c>
      <c r="M171" s="2"/>
      <c r="N171" s="7">
        <f t="shared" si="23"/>
        <v>1.949467475435092</v>
      </c>
      <c r="O171" s="11"/>
      <c r="P171" s="6">
        <v>231807.97</v>
      </c>
      <c r="Q171" s="2"/>
      <c r="R171" s="7">
        <f t="shared" si="24"/>
        <v>7.1490785791403069E-2</v>
      </c>
      <c r="S171" s="2"/>
      <c r="T171" s="6">
        <v>138401.69011319999</v>
      </c>
      <c r="U171" s="2"/>
      <c r="V171" s="7">
        <f t="shared" si="25"/>
        <v>4.0032090261667923E-2</v>
      </c>
      <c r="W171" s="2"/>
      <c r="X171" s="6">
        <f t="shared" si="26"/>
        <v>93406.27988680001</v>
      </c>
      <c r="Y171" s="2"/>
      <c r="Z171" s="7">
        <f t="shared" si="27"/>
        <v>0.67489262457996124</v>
      </c>
    </row>
    <row r="172" spans="1:26" s="24" customFormat="1" hidden="1" outlineLevel="2" x14ac:dyDescent="0.25">
      <c r="A172" s="27"/>
      <c r="B172" s="11" t="str">
        <f>CONCATENATE("          ", "6008", " - ", "STUDENT HOURLY-FICA EXEMPT")</f>
        <v xml:space="preserve">          6008 - STUDENT HOURLY-FICA EXEMPT</v>
      </c>
      <c r="C172" s="11"/>
      <c r="D172" s="6">
        <v>3345.94</v>
      </c>
      <c r="E172" s="2"/>
      <c r="F172" s="7">
        <f t="shared" si="20"/>
        <v>1.1815911229062026E-3</v>
      </c>
      <c r="G172" s="2"/>
      <c r="H172" s="6">
        <v>89336.691196119995</v>
      </c>
      <c r="I172" s="2"/>
      <c r="J172" s="7">
        <f t="shared" si="21"/>
        <v>2.9672225211592747E-2</v>
      </c>
      <c r="K172" s="2"/>
      <c r="L172" s="6">
        <f t="shared" si="22"/>
        <v>-85990.751196119993</v>
      </c>
      <c r="M172" s="2"/>
      <c r="N172" s="7">
        <f t="shared" si="23"/>
        <v>-0.96254685555059682</v>
      </c>
      <c r="O172" s="11"/>
      <c r="P172" s="6">
        <v>5453.54</v>
      </c>
      <c r="Q172" s="2"/>
      <c r="R172" s="7">
        <f t="shared" si="24"/>
        <v>1.6819001518577998E-3</v>
      </c>
      <c r="S172" s="2"/>
      <c r="T172" s="6">
        <v>90991.026196120001</v>
      </c>
      <c r="U172" s="2"/>
      <c r="V172" s="7">
        <f t="shared" si="25"/>
        <v>2.631876078034584E-2</v>
      </c>
      <c r="W172" s="2"/>
      <c r="X172" s="6">
        <f t="shared" si="26"/>
        <v>-85537.486196120008</v>
      </c>
      <c r="Y172" s="2"/>
      <c r="Z172" s="7">
        <f t="shared" si="27"/>
        <v>-0.94006507863483635</v>
      </c>
    </row>
    <row r="173" spans="1:26" s="24" customFormat="1" hidden="1" outlineLevel="2" x14ac:dyDescent="0.25">
      <c r="A173" s="27"/>
      <c r="B173" s="11" t="str">
        <f>CONCATENATE("          ", "6009", " - ", "TEMPORARY-SEASONAL")</f>
        <v xml:space="preserve">          6009 - TEMPORARY-SEASONAL</v>
      </c>
      <c r="C173" s="11"/>
      <c r="D173" s="6"/>
      <c r="E173" s="2"/>
      <c r="F173" s="7">
        <f t="shared" si="20"/>
        <v>0</v>
      </c>
      <c r="G173" s="2"/>
      <c r="H173" s="6">
        <v>0</v>
      </c>
      <c r="I173" s="2"/>
      <c r="J173" s="7">
        <f t="shared" si="21"/>
        <v>0</v>
      </c>
      <c r="K173" s="2"/>
      <c r="L173" s="6">
        <f t="shared" si="22"/>
        <v>0</v>
      </c>
      <c r="M173" s="2"/>
      <c r="N173" s="7">
        <f t="shared" si="23"/>
        <v>0</v>
      </c>
      <c r="O173" s="11"/>
      <c r="P173" s="6"/>
      <c r="Q173" s="2"/>
      <c r="R173" s="7">
        <f t="shared" si="24"/>
        <v>0</v>
      </c>
      <c r="S173" s="2"/>
      <c r="T173" s="6">
        <v>0</v>
      </c>
      <c r="U173" s="2"/>
      <c r="V173" s="7">
        <f t="shared" si="25"/>
        <v>0</v>
      </c>
      <c r="W173" s="2"/>
      <c r="X173" s="6">
        <f t="shared" si="26"/>
        <v>0</v>
      </c>
      <c r="Y173" s="2"/>
      <c r="Z173" s="7">
        <f t="shared" si="27"/>
        <v>0</v>
      </c>
    </row>
    <row r="174" spans="1:26" s="24" customFormat="1" hidden="1" outlineLevel="2" x14ac:dyDescent="0.25">
      <c r="A174" s="27"/>
      <c r="B174" s="11" t="str">
        <f>CONCATENATE("          ", "6010", " - ", "GRATUITY")</f>
        <v xml:space="preserve">          6010 - GRATUITY</v>
      </c>
      <c r="C174" s="11"/>
      <c r="D174" s="6"/>
      <c r="E174" s="2"/>
      <c r="F174" s="7">
        <f t="shared" si="20"/>
        <v>0</v>
      </c>
      <c r="G174" s="2"/>
      <c r="H174" s="6">
        <v>0</v>
      </c>
      <c r="I174" s="2"/>
      <c r="J174" s="7">
        <f t="shared" si="21"/>
        <v>0</v>
      </c>
      <c r="K174" s="2"/>
      <c r="L174" s="6">
        <f t="shared" si="22"/>
        <v>0</v>
      </c>
      <c r="M174" s="2"/>
      <c r="N174" s="7">
        <f t="shared" si="23"/>
        <v>0</v>
      </c>
      <c r="O174" s="11"/>
      <c r="P174" s="6"/>
      <c r="Q174" s="2"/>
      <c r="R174" s="7">
        <f t="shared" si="24"/>
        <v>0</v>
      </c>
      <c r="S174" s="2"/>
      <c r="T174" s="6">
        <v>0</v>
      </c>
      <c r="U174" s="2"/>
      <c r="V174" s="7">
        <f t="shared" si="25"/>
        <v>0</v>
      </c>
      <c r="W174" s="2"/>
      <c r="X174" s="6">
        <f t="shared" si="26"/>
        <v>0</v>
      </c>
      <c r="Y174" s="2"/>
      <c r="Z174" s="7">
        <f t="shared" si="27"/>
        <v>0</v>
      </c>
    </row>
    <row r="175" spans="1:26" s="26" customFormat="1" outlineLevel="1" collapsed="1" x14ac:dyDescent="0.25">
      <c r="A175" s="25"/>
      <c r="B175" s="13" t="str">
        <f>CONCATENATE("     ","Advertising/Promo                                 ")</f>
        <v xml:space="preserve">     Advertising/Promo                                 </v>
      </c>
      <c r="C175" s="13"/>
      <c r="D175" s="1">
        <f>SUM(OSRRefD22_2x_0)</f>
        <v>6850.59</v>
      </c>
      <c r="E175" s="1"/>
      <c r="F175" s="5">
        <f t="shared" ref="F175:F179" si="28">IF(D$12=0,0,D175/D$12)</f>
        <v>2.4192293737096307E-3</v>
      </c>
      <c r="G175" s="1"/>
      <c r="H175" s="1">
        <f>SUM(OSRRefH22_2x_0)</f>
        <v>4870</v>
      </c>
      <c r="I175" s="1"/>
      <c r="J175" s="5">
        <f t="shared" ref="J175:J179" si="29">IF(H$12=0,0,H175/H$12)</f>
        <v>1.6175183437589936E-3</v>
      </c>
      <c r="K175" s="1"/>
      <c r="L175" s="1">
        <f t="shared" ref="L175:L179" si="30">+D175-H175</f>
        <v>1980.5900000000001</v>
      </c>
      <c r="M175" s="1"/>
      <c r="N175" s="5">
        <f t="shared" ref="N175:N179" si="31">IF(H175=0,0,L175/H175)</f>
        <v>0.40669199178644766</v>
      </c>
      <c r="O175" s="13"/>
      <c r="P175" s="1">
        <f>SUM(OSRRefP22_2x_0)</f>
        <v>7782.51</v>
      </c>
      <c r="Q175" s="1"/>
      <c r="R175" s="5">
        <f t="shared" ref="R175:R179" si="32">IF(P$12=0,0,P175/P$12)</f>
        <v>2.4001666350361136E-3</v>
      </c>
      <c r="S175" s="1"/>
      <c r="T175" s="1">
        <f>SUM(OSRRefT22_2x_0)</f>
        <v>9565</v>
      </c>
      <c r="U175" s="1"/>
      <c r="V175" s="5">
        <f t="shared" ref="V175:V179" si="33">IF(T$12=0,0,T175/T$12)</f>
        <v>2.7666348802508887E-3</v>
      </c>
      <c r="W175" s="1"/>
      <c r="X175" s="1">
        <f t="shared" ref="X175:X179" si="34">+P175-T175</f>
        <v>-1782.4899999999998</v>
      </c>
      <c r="Y175" s="1"/>
      <c r="Z175" s="5">
        <f t="shared" ref="Z175:Z179" si="35">IF(T175=0,0,X175/T175)</f>
        <v>-0.18635546262415054</v>
      </c>
    </row>
    <row r="176" spans="1:26" s="24" customFormat="1" hidden="1" outlineLevel="2" x14ac:dyDescent="0.25">
      <c r="A176" s="27"/>
      <c r="B176" s="11" t="str">
        <f>CONCATENATE("          ", "6362", " - ", "ADVERTISING EXPENSE")</f>
        <v xml:space="preserve">          6362 - ADVERTISING EXPENSE</v>
      </c>
      <c r="C176" s="11"/>
      <c r="D176" s="6">
        <v>6850.59</v>
      </c>
      <c r="E176" s="2"/>
      <c r="F176" s="7">
        <f t="shared" si="28"/>
        <v>2.4192293737096307E-3</v>
      </c>
      <c r="G176" s="2"/>
      <c r="H176" s="6">
        <v>4870</v>
      </c>
      <c r="I176" s="2"/>
      <c r="J176" s="7">
        <f t="shared" si="29"/>
        <v>1.6175183437589936E-3</v>
      </c>
      <c r="K176" s="2"/>
      <c r="L176" s="6">
        <f t="shared" si="30"/>
        <v>1980.5900000000001</v>
      </c>
      <c r="M176" s="2"/>
      <c r="N176" s="7">
        <f t="shared" si="31"/>
        <v>0.40669199178644766</v>
      </c>
      <c r="O176" s="11"/>
      <c r="P176" s="6">
        <v>7782.51</v>
      </c>
      <c r="Q176" s="2"/>
      <c r="R176" s="7">
        <f t="shared" si="32"/>
        <v>2.4001666350361136E-3</v>
      </c>
      <c r="S176" s="2"/>
      <c r="T176" s="6">
        <v>9565</v>
      </c>
      <c r="U176" s="2"/>
      <c r="V176" s="7">
        <f t="shared" si="33"/>
        <v>2.7666348802508887E-3</v>
      </c>
      <c r="W176" s="2"/>
      <c r="X176" s="6">
        <f t="shared" si="34"/>
        <v>-1782.4899999999998</v>
      </c>
      <c r="Y176" s="2"/>
      <c r="Z176" s="7">
        <f t="shared" si="35"/>
        <v>-0.18635546262415054</v>
      </c>
    </row>
    <row r="177" spans="1:26" s="26" customFormat="1" outlineLevel="1" collapsed="1" x14ac:dyDescent="0.25">
      <c r="A177" s="25"/>
      <c r="B177" s="13" t="str">
        <f>CONCATENATE("     ","Bad Debts/Over/Short                              ")</f>
        <v xml:space="preserve">     Bad Debts/Over/Short                              </v>
      </c>
      <c r="C177" s="13"/>
      <c r="D177" s="1">
        <f>SUM(OSRRefD22_3x_0)</f>
        <v>-68.97</v>
      </c>
      <c r="E177" s="1"/>
      <c r="F177" s="5">
        <f t="shared" si="28"/>
        <v>-2.4356186825478277E-5</v>
      </c>
      <c r="G177" s="1"/>
      <c r="H177" s="1">
        <f>SUM(OSRRefH22_3x_0)</f>
        <v>145</v>
      </c>
      <c r="I177" s="1"/>
      <c r="J177" s="5">
        <f t="shared" si="29"/>
        <v>4.8160197093440262E-5</v>
      </c>
      <c r="K177" s="1"/>
      <c r="L177" s="1">
        <f t="shared" si="30"/>
        <v>-213.97</v>
      </c>
      <c r="M177" s="1"/>
      <c r="N177" s="5">
        <f t="shared" si="31"/>
        <v>-1.4756551724137932</v>
      </c>
      <c r="O177" s="13"/>
      <c r="P177" s="1">
        <f>SUM(OSRRefP22_3x_0)</f>
        <v>-89.85</v>
      </c>
      <c r="Q177" s="1"/>
      <c r="R177" s="5">
        <f t="shared" si="32"/>
        <v>-2.7710208166516303E-5</v>
      </c>
      <c r="S177" s="1"/>
      <c r="T177" s="1">
        <f>SUM(OSRRefT22_3x_0)</f>
        <v>290</v>
      </c>
      <c r="U177" s="1"/>
      <c r="V177" s="5">
        <f t="shared" si="33"/>
        <v>8.3881245715918226E-5</v>
      </c>
      <c r="W177" s="1"/>
      <c r="X177" s="1">
        <f t="shared" si="34"/>
        <v>-379.85</v>
      </c>
      <c r="Y177" s="1"/>
      <c r="Z177" s="5">
        <f t="shared" si="35"/>
        <v>-1.3098275862068967</v>
      </c>
    </row>
    <row r="178" spans="1:26" s="24" customFormat="1" hidden="1" outlineLevel="2" x14ac:dyDescent="0.25">
      <c r="A178" s="27"/>
      <c r="B178" s="11" t="str">
        <f>CONCATENATE("          ", "6272", " - ", "CASH (OVER/SHORT)")</f>
        <v xml:space="preserve">          6272 - CASH (OVER/SHORT)</v>
      </c>
      <c r="C178" s="11"/>
      <c r="D178" s="6">
        <v>-68.97</v>
      </c>
      <c r="E178" s="2"/>
      <c r="F178" s="7">
        <f t="shared" si="28"/>
        <v>-2.4356186825478277E-5</v>
      </c>
      <c r="G178" s="2"/>
      <c r="H178" s="6">
        <v>135</v>
      </c>
      <c r="I178" s="2"/>
      <c r="J178" s="7">
        <f t="shared" si="29"/>
        <v>4.483880419044438E-5</v>
      </c>
      <c r="K178" s="2"/>
      <c r="L178" s="6">
        <f t="shared" si="30"/>
        <v>-203.97</v>
      </c>
      <c r="M178" s="2"/>
      <c r="N178" s="7">
        <f t="shared" si="31"/>
        <v>-1.5108888888888889</v>
      </c>
      <c r="O178" s="11"/>
      <c r="P178" s="6">
        <v>-89.85</v>
      </c>
      <c r="Q178" s="2"/>
      <c r="R178" s="7">
        <f t="shared" si="32"/>
        <v>-2.7710208166516303E-5</v>
      </c>
      <c r="S178" s="2"/>
      <c r="T178" s="6">
        <v>270</v>
      </c>
      <c r="U178" s="2"/>
      <c r="V178" s="7">
        <f t="shared" si="33"/>
        <v>7.8096332218268688E-5</v>
      </c>
      <c r="W178" s="2"/>
      <c r="X178" s="6">
        <f t="shared" si="34"/>
        <v>-359.85</v>
      </c>
      <c r="Y178" s="2"/>
      <c r="Z178" s="7">
        <f t="shared" si="35"/>
        <v>-1.3327777777777778</v>
      </c>
    </row>
    <row r="179" spans="1:26" s="24" customFormat="1" hidden="1" outlineLevel="2" x14ac:dyDescent="0.25">
      <c r="A179" s="27"/>
      <c r="B179" s="11" t="str">
        <f>CONCATENATE("          ", "6342", " - ", "BAD DEBT")</f>
        <v xml:space="preserve">          6342 - BAD DEBT</v>
      </c>
      <c r="C179" s="11"/>
      <c r="D179" s="6"/>
      <c r="E179" s="2"/>
      <c r="F179" s="7">
        <f t="shared" si="28"/>
        <v>0</v>
      </c>
      <c r="G179" s="2"/>
      <c r="H179" s="6">
        <v>10</v>
      </c>
      <c r="I179" s="2"/>
      <c r="J179" s="7">
        <f t="shared" si="29"/>
        <v>3.3213929029958803E-6</v>
      </c>
      <c r="K179" s="2"/>
      <c r="L179" s="6">
        <f t="shared" si="30"/>
        <v>-10</v>
      </c>
      <c r="M179" s="2"/>
      <c r="N179" s="7">
        <f t="shared" si="31"/>
        <v>-1</v>
      </c>
      <c r="O179" s="11"/>
      <c r="P179" s="6"/>
      <c r="Q179" s="2"/>
      <c r="R179" s="7">
        <f t="shared" si="32"/>
        <v>0</v>
      </c>
      <c r="S179" s="2"/>
      <c r="T179" s="6">
        <v>20</v>
      </c>
      <c r="U179" s="2"/>
      <c r="V179" s="7">
        <f t="shared" si="33"/>
        <v>5.7849134976495324E-6</v>
      </c>
      <c r="W179" s="2"/>
      <c r="X179" s="6">
        <f t="shared" si="34"/>
        <v>-20</v>
      </c>
      <c r="Y179" s="2"/>
      <c r="Z179" s="7">
        <f t="shared" si="35"/>
        <v>-1</v>
      </c>
    </row>
    <row r="180" spans="1:26" s="26" customFormat="1" outlineLevel="1" collapsed="1" x14ac:dyDescent="0.25">
      <c r="A180" s="25"/>
      <c r="B180" s="13" t="str">
        <f>CONCATENATE("     ","Bank/card Fees                                    ")</f>
        <v xml:space="preserve">     Bank/card Fees                                    </v>
      </c>
      <c r="C180" s="13"/>
      <c r="D180" s="1">
        <f>SUM(OSRRefD22_4x_0)</f>
        <v>38087.279999999999</v>
      </c>
      <c r="E180" s="1"/>
      <c r="F180" s="5">
        <f t="shared" ref="F180:F185" si="36">IF(D$12=0,0,D180/D$12)</f>
        <v>1.3450208893059335E-2</v>
      </c>
      <c r="G180" s="1"/>
      <c r="H180" s="1">
        <f>SUM(OSRRefH22_4x_0)</f>
        <v>35025</v>
      </c>
      <c r="I180" s="1"/>
      <c r="J180" s="5">
        <f t="shared" ref="J180:J185" si="37">IF(H$12=0,0,H180/H$12)</f>
        <v>1.163317864274307E-2</v>
      </c>
      <c r="K180" s="1"/>
      <c r="L180" s="1">
        <f t="shared" ref="L180:L185" si="38">+D180-H180</f>
        <v>3062.2799999999988</v>
      </c>
      <c r="M180" s="1"/>
      <c r="N180" s="5">
        <f t="shared" ref="N180:N185" si="39">IF(H180=0,0,L180/H180)</f>
        <v>8.7431263383297611E-2</v>
      </c>
      <c r="O180" s="13"/>
      <c r="P180" s="1">
        <f>SUM(OSRRefP22_4x_0)</f>
        <v>45422.630000000005</v>
      </c>
      <c r="Q180" s="1"/>
      <c r="R180" s="5">
        <f t="shared" ref="R180:R185" si="40">IF(P$12=0,0,P180/P$12)</f>
        <v>1.4008575768176389E-2</v>
      </c>
      <c r="S180" s="1"/>
      <c r="T180" s="1">
        <f>SUM(OSRRefT22_4x_0)</f>
        <v>41766</v>
      </c>
      <c r="U180" s="1"/>
      <c r="V180" s="5">
        <f t="shared" ref="V180:V185" si="41">IF(T$12=0,0,T180/T$12)</f>
        <v>1.2080634857141519E-2</v>
      </c>
      <c r="W180" s="1"/>
      <c r="X180" s="1">
        <f t="shared" ref="X180:X185" si="42">+P180-T180</f>
        <v>3656.6300000000047</v>
      </c>
      <c r="Y180" s="1"/>
      <c r="Z180" s="5">
        <f t="shared" ref="Z180:Z185" si="43">IF(T180=0,0,X180/T180)</f>
        <v>8.7550399846765423E-2</v>
      </c>
    </row>
    <row r="181" spans="1:26" s="24" customFormat="1" hidden="1" outlineLevel="2" x14ac:dyDescent="0.25">
      <c r="A181" s="27"/>
      <c r="B181" s="11" t="str">
        <f>CONCATENATE("          ", "6381", " - ", "BANK/CREDIT CARD FEES")</f>
        <v xml:space="preserve">          6381 - BANK/CREDIT CARD FEES</v>
      </c>
      <c r="C181" s="11"/>
      <c r="D181" s="6">
        <v>38087.279999999999</v>
      </c>
      <c r="E181" s="2"/>
      <c r="F181" s="7">
        <f t="shared" si="36"/>
        <v>1.3450208893059335E-2</v>
      </c>
      <c r="G181" s="2"/>
      <c r="H181" s="6">
        <v>35025</v>
      </c>
      <c r="I181" s="2"/>
      <c r="J181" s="7">
        <f t="shared" si="37"/>
        <v>1.163317864274307E-2</v>
      </c>
      <c r="K181" s="2"/>
      <c r="L181" s="6">
        <f t="shared" si="38"/>
        <v>3062.2799999999988</v>
      </c>
      <c r="M181" s="2"/>
      <c r="N181" s="7">
        <f t="shared" si="39"/>
        <v>8.7431263383297611E-2</v>
      </c>
      <c r="O181" s="11"/>
      <c r="P181" s="6">
        <v>45422.630000000005</v>
      </c>
      <c r="Q181" s="2"/>
      <c r="R181" s="7">
        <f t="shared" si="40"/>
        <v>1.4008575768176389E-2</v>
      </c>
      <c r="S181" s="2"/>
      <c r="T181" s="6">
        <v>41766</v>
      </c>
      <c r="U181" s="2"/>
      <c r="V181" s="7">
        <f t="shared" si="41"/>
        <v>1.2080634857141519E-2</v>
      </c>
      <c r="W181" s="2"/>
      <c r="X181" s="6">
        <f t="shared" si="42"/>
        <v>3656.6300000000047</v>
      </c>
      <c r="Y181" s="2"/>
      <c r="Z181" s="7">
        <f t="shared" si="43"/>
        <v>8.7550399846765423E-2</v>
      </c>
    </row>
    <row r="182" spans="1:26" s="26" customFormat="1" outlineLevel="1" collapsed="1" x14ac:dyDescent="0.25">
      <c r="A182" s="25"/>
      <c r="B182" s="13" t="str">
        <f>CONCATENATE("     ","Depreciation                                      ")</f>
        <v xml:space="preserve">     Depreciation                                      </v>
      </c>
      <c r="C182" s="13"/>
      <c r="D182" s="1">
        <f>SUM(OSRRefD22_5x_0)</f>
        <v>38010.910000000003</v>
      </c>
      <c r="E182" s="1"/>
      <c r="F182" s="5">
        <f t="shared" si="36"/>
        <v>1.3423239457248668E-2</v>
      </c>
      <c r="G182" s="1"/>
      <c r="H182" s="1">
        <f>SUM(OSRRefH22_5x_0)</f>
        <v>38458</v>
      </c>
      <c r="I182" s="1"/>
      <c r="J182" s="5">
        <f t="shared" si="37"/>
        <v>1.2773412826341556E-2</v>
      </c>
      <c r="K182" s="1"/>
      <c r="L182" s="1">
        <f t="shared" si="38"/>
        <v>-447.08999999999651</v>
      </c>
      <c r="M182" s="1"/>
      <c r="N182" s="5">
        <f t="shared" si="39"/>
        <v>-1.1625409537677376E-2</v>
      </c>
      <c r="O182" s="13"/>
      <c r="P182" s="1">
        <f>SUM(OSRRefP22_5x_0)</f>
        <v>76021.820000000007</v>
      </c>
      <c r="Q182" s="1"/>
      <c r="R182" s="5">
        <f t="shared" si="40"/>
        <v>2.3445525402308653E-2</v>
      </c>
      <c r="S182" s="1"/>
      <c r="T182" s="1">
        <f>SUM(OSRRefT22_5x_0)</f>
        <v>76916</v>
      </c>
      <c r="U182" s="1"/>
      <c r="V182" s="5">
        <f t="shared" si="41"/>
        <v>2.2247620329260573E-2</v>
      </c>
      <c r="W182" s="1"/>
      <c r="X182" s="1">
        <f t="shared" si="42"/>
        <v>-894.17999999999302</v>
      </c>
      <c r="Y182" s="1"/>
      <c r="Z182" s="5">
        <f t="shared" si="43"/>
        <v>-1.1625409537677376E-2</v>
      </c>
    </row>
    <row r="183" spans="1:26" s="24" customFormat="1" hidden="1" outlineLevel="2" x14ac:dyDescent="0.25">
      <c r="A183" s="27"/>
      <c r="B183" s="11" t="str">
        <f>CONCATENATE("          ", "6321", " - ", "BUILDING DEPRECIATION")</f>
        <v xml:space="preserve">          6321 - BUILDING DEPRECIATION</v>
      </c>
      <c r="C183" s="11"/>
      <c r="D183" s="6">
        <v>21477.030000000002</v>
      </c>
      <c r="E183" s="2"/>
      <c r="F183" s="7">
        <f t="shared" si="36"/>
        <v>7.5844360611338523E-3</v>
      </c>
      <c r="G183" s="2"/>
      <c r="H183" s="6">
        <v>21534</v>
      </c>
      <c r="I183" s="2"/>
      <c r="J183" s="7">
        <f t="shared" si="37"/>
        <v>7.1522874773113287E-3</v>
      </c>
      <c r="K183" s="2"/>
      <c r="L183" s="6">
        <f t="shared" si="38"/>
        <v>-56.969999999997526</v>
      </c>
      <c r="M183" s="2"/>
      <c r="N183" s="7">
        <f t="shared" si="39"/>
        <v>-2.6455837280578401E-3</v>
      </c>
      <c r="O183" s="11"/>
      <c r="P183" s="6">
        <v>42954.060000000005</v>
      </c>
      <c r="Q183" s="2"/>
      <c r="R183" s="7">
        <f t="shared" si="40"/>
        <v>1.3247255917607472E-2</v>
      </c>
      <c r="S183" s="2"/>
      <c r="T183" s="6">
        <v>43068</v>
      </c>
      <c r="U183" s="2"/>
      <c r="V183" s="7">
        <f t="shared" si="41"/>
        <v>1.2457232725838503E-2</v>
      </c>
      <c r="W183" s="2"/>
      <c r="X183" s="6">
        <f t="shared" si="42"/>
        <v>-113.93999999999505</v>
      </c>
      <c r="Y183" s="2"/>
      <c r="Z183" s="7">
        <f t="shared" si="43"/>
        <v>-2.6455837280578401E-3</v>
      </c>
    </row>
    <row r="184" spans="1:26" s="24" customFormat="1" hidden="1" outlineLevel="2" x14ac:dyDescent="0.25">
      <c r="A184" s="27"/>
      <c r="B184" s="11" t="str">
        <f>CONCATENATE("          ", "6322", " - ", "EQUIPMENT DEPRECIATION EXPENSE")</f>
        <v xml:space="preserve">          6322 - EQUIPMENT DEPRECIATION EXPENSE</v>
      </c>
      <c r="C184" s="11"/>
      <c r="D184" s="6">
        <v>16533.88</v>
      </c>
      <c r="E184" s="2"/>
      <c r="F184" s="7">
        <f t="shared" si="36"/>
        <v>5.8388033961148155E-3</v>
      </c>
      <c r="G184" s="2"/>
      <c r="H184" s="6">
        <v>16224</v>
      </c>
      <c r="I184" s="2"/>
      <c r="J184" s="7">
        <f t="shared" si="37"/>
        <v>5.3886278458205161E-3</v>
      </c>
      <c r="K184" s="2"/>
      <c r="L184" s="6">
        <f t="shared" si="38"/>
        <v>309.88000000000102</v>
      </c>
      <c r="M184" s="2"/>
      <c r="N184" s="7">
        <f t="shared" si="39"/>
        <v>1.9100098619329452E-2</v>
      </c>
      <c r="O184" s="11"/>
      <c r="P184" s="6">
        <v>33067.760000000002</v>
      </c>
      <c r="Q184" s="2"/>
      <c r="R184" s="7">
        <f t="shared" si="40"/>
        <v>1.0198269484701181E-2</v>
      </c>
      <c r="S184" s="2"/>
      <c r="T184" s="6">
        <v>32448</v>
      </c>
      <c r="U184" s="2"/>
      <c r="V184" s="7">
        <f t="shared" si="41"/>
        <v>9.3854436585866022E-3</v>
      </c>
      <c r="W184" s="2"/>
      <c r="X184" s="6">
        <f t="shared" si="42"/>
        <v>619.76000000000204</v>
      </c>
      <c r="Y184" s="2"/>
      <c r="Z184" s="7">
        <f t="shared" si="43"/>
        <v>1.9100098619329452E-2</v>
      </c>
    </row>
    <row r="185" spans="1:26" s="24" customFormat="1" hidden="1" outlineLevel="2" x14ac:dyDescent="0.25">
      <c r="A185" s="27"/>
      <c r="B185" s="11" t="str">
        <f>CONCATENATE("          ", "6324", " - ", "FURNITURE + FIXT DEPRECIATION")</f>
        <v xml:space="preserve">          6324 - FURNITURE + FIXT DEPRECIATION</v>
      </c>
      <c r="C185" s="11"/>
      <c r="D185" s="6"/>
      <c r="E185" s="2"/>
      <c r="F185" s="7">
        <f t="shared" si="36"/>
        <v>0</v>
      </c>
      <c r="G185" s="2"/>
      <c r="H185" s="6">
        <v>700</v>
      </c>
      <c r="I185" s="2"/>
      <c r="J185" s="7">
        <f t="shared" si="37"/>
        <v>2.324975032097116E-4</v>
      </c>
      <c r="K185" s="2"/>
      <c r="L185" s="6">
        <f t="shared" si="38"/>
        <v>-700</v>
      </c>
      <c r="M185" s="2"/>
      <c r="N185" s="7">
        <f t="shared" si="39"/>
        <v>-1</v>
      </c>
      <c r="O185" s="11"/>
      <c r="P185" s="6"/>
      <c r="Q185" s="2"/>
      <c r="R185" s="7">
        <f t="shared" si="40"/>
        <v>0</v>
      </c>
      <c r="S185" s="2"/>
      <c r="T185" s="6">
        <v>1400</v>
      </c>
      <c r="U185" s="2"/>
      <c r="V185" s="7">
        <f t="shared" si="41"/>
        <v>4.0494394483546725E-4</v>
      </c>
      <c r="W185" s="2"/>
      <c r="X185" s="6">
        <f t="shared" si="42"/>
        <v>-1400</v>
      </c>
      <c r="Y185" s="2"/>
      <c r="Z185" s="7">
        <f t="shared" si="43"/>
        <v>-1</v>
      </c>
    </row>
    <row r="186" spans="1:26" s="26" customFormat="1" outlineLevel="1" collapsed="1" x14ac:dyDescent="0.25">
      <c r="A186" s="25"/>
      <c r="B186" s="13" t="str">
        <f>CONCATENATE("     ","Discounts and Markdowns                           ")</f>
        <v xml:space="preserve">     Discounts and Markdowns                           </v>
      </c>
      <c r="C186" s="13"/>
      <c r="D186" s="1">
        <f>SUM(OSRRefD22_6x_0)</f>
        <v>34600.54</v>
      </c>
      <c r="E186" s="1"/>
      <c r="F186" s="5">
        <f t="shared" ref="F186:F188" si="44">IF(D$12=0,0,D186/D$12)</f>
        <v>1.2218895411083576E-2</v>
      </c>
      <c r="G186" s="1"/>
      <c r="H186" s="1">
        <f>SUM(OSRRefH22_6x_0)</f>
        <v>31725</v>
      </c>
      <c r="I186" s="1"/>
      <c r="J186" s="5">
        <f t="shared" ref="J186:J188" si="45">IF(H$12=0,0,H186/H$12)</f>
        <v>1.0537118984754431E-2</v>
      </c>
      <c r="K186" s="1"/>
      <c r="L186" s="1">
        <f t="shared" ref="L186:L188" si="46">+D186-H186</f>
        <v>2875.5400000000009</v>
      </c>
      <c r="M186" s="1"/>
      <c r="N186" s="5">
        <f t="shared" ref="N186:N188" si="47">IF(H186=0,0,L186/H186)</f>
        <v>9.0639558707643841E-2</v>
      </c>
      <c r="O186" s="13"/>
      <c r="P186" s="1">
        <f>SUM(OSRRefP22_6x_0)</f>
        <v>59103.5</v>
      </c>
      <c r="Q186" s="1"/>
      <c r="R186" s="5">
        <f t="shared" ref="R186:R188" si="48">IF(P$12=0,0,P186/P$12)</f>
        <v>1.8227827360820216E-2</v>
      </c>
      <c r="S186" s="1"/>
      <c r="T186" s="1">
        <f>SUM(OSRRefT22_6x_0)</f>
        <v>52450</v>
      </c>
      <c r="U186" s="1"/>
      <c r="V186" s="5">
        <f t="shared" ref="V186:V188" si="49">IF(T$12=0,0,T186/T$12)</f>
        <v>1.5170935647585898E-2</v>
      </c>
      <c r="W186" s="1"/>
      <c r="X186" s="1">
        <f t="shared" ref="X186:X188" si="50">+P186-T186</f>
        <v>6653.5</v>
      </c>
      <c r="Y186" s="1"/>
      <c r="Z186" s="5">
        <f t="shared" ref="Z186:Z188" si="51">IF(T186=0,0,X186/T186)</f>
        <v>0.12685414680648235</v>
      </c>
    </row>
    <row r="187" spans="1:26" s="24" customFormat="1" hidden="1" outlineLevel="2" x14ac:dyDescent="0.25">
      <c r="A187" s="27"/>
      <c r="B187" s="11" t="str">
        <f>CONCATENATE("          ", "6382", " - ", "DISCOUNTS/MARK DOWNS")</f>
        <v xml:space="preserve">          6382 - DISCOUNTS/MARK DOWNS</v>
      </c>
      <c r="C187" s="11"/>
      <c r="D187" s="6">
        <v>35406.39</v>
      </c>
      <c r="E187" s="2"/>
      <c r="F187" s="7">
        <f t="shared" si="44"/>
        <v>1.2503474694153196E-2</v>
      </c>
      <c r="G187" s="2"/>
      <c r="H187" s="6">
        <v>31725</v>
      </c>
      <c r="I187" s="2"/>
      <c r="J187" s="7">
        <f t="shared" si="45"/>
        <v>1.0537118984754431E-2</v>
      </c>
      <c r="K187" s="2"/>
      <c r="L187" s="6">
        <f t="shared" si="46"/>
        <v>3681.3899999999994</v>
      </c>
      <c r="M187" s="2"/>
      <c r="N187" s="7">
        <f t="shared" si="47"/>
        <v>0.11604066193853427</v>
      </c>
      <c r="O187" s="11"/>
      <c r="P187" s="6">
        <v>60353.06</v>
      </c>
      <c r="Q187" s="2"/>
      <c r="R187" s="7">
        <f t="shared" si="48"/>
        <v>1.8613198175695587E-2</v>
      </c>
      <c r="S187" s="2"/>
      <c r="T187" s="6">
        <v>52450</v>
      </c>
      <c r="U187" s="2"/>
      <c r="V187" s="7">
        <f t="shared" si="49"/>
        <v>1.5170935647585898E-2</v>
      </c>
      <c r="W187" s="2"/>
      <c r="X187" s="6">
        <f t="shared" si="50"/>
        <v>7903.0599999999977</v>
      </c>
      <c r="Y187" s="2"/>
      <c r="Z187" s="7">
        <f t="shared" si="51"/>
        <v>0.15067797902764532</v>
      </c>
    </row>
    <row r="188" spans="1:26" s="24" customFormat="1" hidden="1" outlineLevel="2" x14ac:dyDescent="0.25">
      <c r="A188" s="27"/>
      <c r="B188" s="11" t="str">
        <f>CONCATENATE("          ", "9175", " - ", "EARNED DISCOUNTS")</f>
        <v xml:space="preserve">          9175 - EARNED DISCOUNTS</v>
      </c>
      <c r="C188" s="11"/>
      <c r="D188" s="6">
        <v>-805.85</v>
      </c>
      <c r="E188" s="2"/>
      <c r="F188" s="7">
        <f t="shared" si="44"/>
        <v>-2.8457928306961969E-4</v>
      </c>
      <c r="G188" s="2"/>
      <c r="H188" s="6"/>
      <c r="I188" s="2"/>
      <c r="J188" s="7">
        <f t="shared" si="45"/>
        <v>0</v>
      </c>
      <c r="K188" s="2"/>
      <c r="L188" s="6">
        <f t="shared" si="46"/>
        <v>-805.85</v>
      </c>
      <c r="M188" s="2"/>
      <c r="N188" s="7">
        <f t="shared" si="47"/>
        <v>0</v>
      </c>
      <c r="O188" s="11"/>
      <c r="P188" s="6">
        <v>-1249.56</v>
      </c>
      <c r="Q188" s="2"/>
      <c r="R188" s="7">
        <f t="shared" si="48"/>
        <v>-3.8537081487537129E-4</v>
      </c>
      <c r="S188" s="2"/>
      <c r="T188" s="6"/>
      <c r="U188" s="2"/>
      <c r="V188" s="7">
        <f t="shared" si="49"/>
        <v>0</v>
      </c>
      <c r="W188" s="2"/>
      <c r="X188" s="6">
        <f t="shared" si="50"/>
        <v>-1249.56</v>
      </c>
      <c r="Y188" s="2"/>
      <c r="Z188" s="7">
        <f t="shared" si="51"/>
        <v>0</v>
      </c>
    </row>
    <row r="189" spans="1:26" s="26" customFormat="1" outlineLevel="1" collapsed="1" x14ac:dyDescent="0.25">
      <c r="A189" s="25"/>
      <c r="B189" s="13" t="str">
        <f>CONCATENATE("     ","Donations                                         ")</f>
        <v xml:space="preserve">     Donations                                         </v>
      </c>
      <c r="C189" s="13"/>
      <c r="D189" s="1">
        <f>SUM(OSRRefD22_7x_0)</f>
        <v>2691.56</v>
      </c>
      <c r="E189" s="1"/>
      <c r="F189" s="5">
        <f t="shared" ref="F189:F191" si="52">IF(D$12=0,0,D189/D$12)</f>
        <v>9.5050222142937959E-4</v>
      </c>
      <c r="G189" s="1"/>
      <c r="H189" s="1">
        <f>SUM(OSRRefH22_7x_0)</f>
        <v>1025</v>
      </c>
      <c r="I189" s="1"/>
      <c r="J189" s="5">
        <f t="shared" ref="J189:J191" si="53">IF(H$12=0,0,H189/H$12)</f>
        <v>3.4044277255707771E-4</v>
      </c>
      <c r="K189" s="1"/>
      <c r="L189" s="1">
        <f t="shared" ref="L189:L191" si="54">+D189-H189</f>
        <v>1666.56</v>
      </c>
      <c r="M189" s="1"/>
      <c r="N189" s="5">
        <f t="shared" ref="N189:N191" si="55">IF(H189=0,0,L189/H189)</f>
        <v>1.6259121951219511</v>
      </c>
      <c r="O189" s="13"/>
      <c r="P189" s="1">
        <f>SUM(OSRRefP22_7x_0)</f>
        <v>3616.98</v>
      </c>
      <c r="Q189" s="1"/>
      <c r="R189" s="5">
        <f t="shared" ref="R189:R191" si="56">IF(P$12=0,0,P189/P$12)</f>
        <v>1.1154954783987327E-3</v>
      </c>
      <c r="S189" s="1"/>
      <c r="T189" s="1">
        <f>SUM(OSRRefT22_7x_0)</f>
        <v>2125</v>
      </c>
      <c r="U189" s="1"/>
      <c r="V189" s="5">
        <f t="shared" ref="V189:V191" si="57">IF(T$12=0,0,T189/T$12)</f>
        <v>6.146470591252628E-4</v>
      </c>
      <c r="W189" s="1"/>
      <c r="X189" s="1">
        <f t="shared" ref="X189:X191" si="58">+P189-T189</f>
        <v>1491.98</v>
      </c>
      <c r="Y189" s="1"/>
      <c r="Z189" s="5">
        <f t="shared" ref="Z189:Z191" si="59">IF(T189=0,0,X189/T189)</f>
        <v>0.7021082352941177</v>
      </c>
    </row>
    <row r="190" spans="1:26" s="24" customFormat="1" hidden="1" outlineLevel="2" x14ac:dyDescent="0.25">
      <c r="A190" s="27"/>
      <c r="B190" s="11" t="str">
        <f>CONCATENATE("          ", "6395", " - ", "DONATION-OFF CAMPUS")</f>
        <v xml:space="preserve">          6395 - DONATION-OFF CAMPUS</v>
      </c>
      <c r="C190" s="11"/>
      <c r="D190" s="6"/>
      <c r="E190" s="2"/>
      <c r="F190" s="7">
        <f t="shared" si="52"/>
        <v>0</v>
      </c>
      <c r="G190" s="2"/>
      <c r="H190" s="6">
        <v>1025</v>
      </c>
      <c r="I190" s="2"/>
      <c r="J190" s="7">
        <f t="shared" si="53"/>
        <v>3.4044277255707771E-4</v>
      </c>
      <c r="K190" s="2"/>
      <c r="L190" s="6">
        <f t="shared" si="54"/>
        <v>-1025</v>
      </c>
      <c r="M190" s="2"/>
      <c r="N190" s="7">
        <f t="shared" si="55"/>
        <v>-1</v>
      </c>
      <c r="O190" s="11"/>
      <c r="P190" s="6"/>
      <c r="Q190" s="2"/>
      <c r="R190" s="7">
        <f t="shared" si="56"/>
        <v>0</v>
      </c>
      <c r="S190" s="2"/>
      <c r="T190" s="6">
        <v>2125</v>
      </c>
      <c r="U190" s="2"/>
      <c r="V190" s="7">
        <f t="shared" si="57"/>
        <v>6.146470591252628E-4</v>
      </c>
      <c r="W190" s="2"/>
      <c r="X190" s="6">
        <f t="shared" si="58"/>
        <v>-2125</v>
      </c>
      <c r="Y190" s="2"/>
      <c r="Z190" s="7">
        <f t="shared" si="59"/>
        <v>-1</v>
      </c>
    </row>
    <row r="191" spans="1:26" s="24" customFormat="1" hidden="1" outlineLevel="2" x14ac:dyDescent="0.25">
      <c r="A191" s="27"/>
      <c r="B191" s="11" t="str">
        <f>CONCATENATE("          ", "6399", " - ", "DONATION-ON CAMPUS")</f>
        <v xml:space="preserve">          6399 - DONATION-ON CAMPUS</v>
      </c>
      <c r="C191" s="11"/>
      <c r="D191" s="6">
        <v>2691.56</v>
      </c>
      <c r="E191" s="2"/>
      <c r="F191" s="7">
        <f t="shared" si="52"/>
        <v>9.5050222142937959E-4</v>
      </c>
      <c r="G191" s="2"/>
      <c r="H191" s="6"/>
      <c r="I191" s="2"/>
      <c r="J191" s="7">
        <f t="shared" si="53"/>
        <v>0</v>
      </c>
      <c r="K191" s="2"/>
      <c r="L191" s="6">
        <f t="shared" si="54"/>
        <v>2691.56</v>
      </c>
      <c r="M191" s="2"/>
      <c r="N191" s="7">
        <f t="shared" si="55"/>
        <v>0</v>
      </c>
      <c r="O191" s="11"/>
      <c r="P191" s="6">
        <v>3616.98</v>
      </c>
      <c r="Q191" s="2"/>
      <c r="R191" s="7">
        <f t="shared" si="56"/>
        <v>1.1154954783987327E-3</v>
      </c>
      <c r="S191" s="2"/>
      <c r="T191" s="6"/>
      <c r="U191" s="2"/>
      <c r="V191" s="7">
        <f t="shared" si="57"/>
        <v>0</v>
      </c>
      <c r="W191" s="2"/>
      <c r="X191" s="6">
        <f t="shared" si="58"/>
        <v>3616.98</v>
      </c>
      <c r="Y191" s="2"/>
      <c r="Z191" s="7">
        <f t="shared" si="59"/>
        <v>0</v>
      </c>
    </row>
    <row r="192" spans="1:26" s="26" customFormat="1" outlineLevel="1" collapsed="1" x14ac:dyDescent="0.25">
      <c r="A192" s="25"/>
      <c r="B192" s="13" t="str">
        <f>CONCATENATE("     ","Employees' Appreciation                           ")</f>
        <v xml:space="preserve">     Employees' Appreciation                           </v>
      </c>
      <c r="C192" s="13"/>
      <c r="D192" s="1">
        <f>SUM(OSRRefD22_8x_0)</f>
        <v>57.33</v>
      </c>
      <c r="E192" s="1"/>
      <c r="F192" s="5">
        <f t="shared" ref="F192:F198" si="60">IF(D$12=0,0,D192/D$12)</f>
        <v>2.0245616800125701E-5</v>
      </c>
      <c r="G192" s="1"/>
      <c r="H192" s="1">
        <f>SUM(OSRRefH22_8x_0)</f>
        <v>700</v>
      </c>
      <c r="I192" s="1"/>
      <c r="J192" s="5">
        <f t="shared" ref="J192:J198" si="61">IF(H$12=0,0,H192/H$12)</f>
        <v>2.324975032097116E-4</v>
      </c>
      <c r="K192" s="1"/>
      <c r="L192" s="1">
        <f t="shared" ref="L192:L198" si="62">+D192-H192</f>
        <v>-642.66999999999996</v>
      </c>
      <c r="M192" s="1"/>
      <c r="N192" s="5">
        <f t="shared" ref="N192:N198" si="63">IF(H192=0,0,L192/H192)</f>
        <v>-0.91809999999999992</v>
      </c>
      <c r="O192" s="13"/>
      <c r="P192" s="1">
        <f>SUM(OSRRefP22_8x_0)</f>
        <v>450.87</v>
      </c>
      <c r="Q192" s="1"/>
      <c r="R192" s="5">
        <f t="shared" ref="R192:R198" si="64">IF(P$12=0,0,P192/P$12)</f>
        <v>1.3905065727364726E-4</v>
      </c>
      <c r="S192" s="1"/>
      <c r="T192" s="1">
        <f>SUM(OSRRefT22_8x_0)</f>
        <v>1450</v>
      </c>
      <c r="U192" s="1"/>
      <c r="V192" s="5">
        <f t="shared" ref="V192:V198" si="65">IF(T$12=0,0,T192/T$12)</f>
        <v>4.1940622857959112E-4</v>
      </c>
      <c r="W192" s="1"/>
      <c r="X192" s="1">
        <f t="shared" ref="X192:X198" si="66">+P192-T192</f>
        <v>-999.13</v>
      </c>
      <c r="Y192" s="1"/>
      <c r="Z192" s="5">
        <f t="shared" ref="Z192:Z198" si="67">IF(T192=0,0,X192/T192)</f>
        <v>-0.6890551724137931</v>
      </c>
    </row>
    <row r="193" spans="1:26" s="24" customFormat="1" hidden="1" outlineLevel="2" x14ac:dyDescent="0.25">
      <c r="A193" s="27"/>
      <c r="B193" s="11" t="str">
        <f>CONCATENATE("          ", "6277", " - ", "EMPLOYEE APPRECIATION")</f>
        <v xml:space="preserve">          6277 - EMPLOYEE APPRECIATION</v>
      </c>
      <c r="C193" s="11"/>
      <c r="D193" s="6">
        <v>57.33</v>
      </c>
      <c r="E193" s="2"/>
      <c r="F193" s="7">
        <f t="shared" si="60"/>
        <v>2.0245616800125701E-5</v>
      </c>
      <c r="G193" s="2"/>
      <c r="H193" s="6">
        <v>700</v>
      </c>
      <c r="I193" s="2"/>
      <c r="J193" s="7">
        <f t="shared" si="61"/>
        <v>2.324975032097116E-4</v>
      </c>
      <c r="K193" s="2"/>
      <c r="L193" s="6">
        <f t="shared" si="62"/>
        <v>-642.66999999999996</v>
      </c>
      <c r="M193" s="2"/>
      <c r="N193" s="7">
        <f t="shared" si="63"/>
        <v>-0.91809999999999992</v>
      </c>
      <c r="O193" s="11"/>
      <c r="P193" s="6">
        <v>450.87</v>
      </c>
      <c r="Q193" s="2"/>
      <c r="R193" s="7">
        <f t="shared" si="64"/>
        <v>1.3905065727364726E-4</v>
      </c>
      <c r="S193" s="2"/>
      <c r="T193" s="6">
        <v>1450</v>
      </c>
      <c r="U193" s="2"/>
      <c r="V193" s="7">
        <f t="shared" si="65"/>
        <v>4.1940622857959112E-4</v>
      </c>
      <c r="W193" s="2"/>
      <c r="X193" s="6">
        <f t="shared" si="66"/>
        <v>-999.13</v>
      </c>
      <c r="Y193" s="2"/>
      <c r="Z193" s="7">
        <f t="shared" si="67"/>
        <v>-0.6890551724137931</v>
      </c>
    </row>
    <row r="194" spans="1:26" s="26" customFormat="1" outlineLevel="1" collapsed="1" x14ac:dyDescent="0.25">
      <c r="A194" s="25"/>
      <c r="B194" s="13" t="str">
        <f>CONCATENATE("     ","Equipment Rental                                  ")</f>
        <v xml:space="preserve">     Equipment Rental                                  </v>
      </c>
      <c r="C194" s="13"/>
      <c r="D194" s="1">
        <f>SUM(OSRRefD22_9x_0)</f>
        <v>1442.95</v>
      </c>
      <c r="E194" s="1"/>
      <c r="F194" s="5">
        <f t="shared" si="60"/>
        <v>5.0956589502426967E-4</v>
      </c>
      <c r="G194" s="1"/>
      <c r="H194" s="1">
        <f>SUM(OSRRefH22_9x_0)</f>
        <v>3305</v>
      </c>
      <c r="I194" s="1"/>
      <c r="J194" s="5">
        <f t="shared" si="61"/>
        <v>1.0977203544401384E-3</v>
      </c>
      <c r="K194" s="1"/>
      <c r="L194" s="1">
        <f t="shared" si="62"/>
        <v>-1862.05</v>
      </c>
      <c r="M194" s="1"/>
      <c r="N194" s="5">
        <f t="shared" si="63"/>
        <v>-0.5634039334341906</v>
      </c>
      <c r="O194" s="13"/>
      <c r="P194" s="1">
        <f>SUM(OSRRefP22_9x_0)</f>
        <v>2886.32</v>
      </c>
      <c r="Q194" s="1"/>
      <c r="R194" s="5">
        <f t="shared" si="64"/>
        <v>8.9015612726966434E-4</v>
      </c>
      <c r="S194" s="1"/>
      <c r="T194" s="1">
        <f>SUM(OSRRefT22_9x_0)</f>
        <v>6610</v>
      </c>
      <c r="U194" s="1"/>
      <c r="V194" s="5">
        <f t="shared" si="65"/>
        <v>1.9119139109731705E-3</v>
      </c>
      <c r="W194" s="1"/>
      <c r="X194" s="1">
        <f t="shared" si="66"/>
        <v>-3723.68</v>
      </c>
      <c r="Y194" s="1"/>
      <c r="Z194" s="5">
        <f t="shared" si="67"/>
        <v>-0.56334039334341901</v>
      </c>
    </row>
    <row r="195" spans="1:26" s="24" customFormat="1" hidden="1" outlineLevel="2" x14ac:dyDescent="0.25">
      <c r="A195" s="27"/>
      <c r="B195" s="11" t="str">
        <f>CONCATENATE("          ", "6351", " - ", "EQUIPMENT RENTAL")</f>
        <v xml:space="preserve">          6351 - EQUIPMENT RENTAL</v>
      </c>
      <c r="C195" s="11"/>
      <c r="D195" s="6">
        <v>1442.95</v>
      </c>
      <c r="E195" s="2"/>
      <c r="F195" s="7">
        <f t="shared" si="60"/>
        <v>5.0956589502426967E-4</v>
      </c>
      <c r="G195" s="2"/>
      <c r="H195" s="6">
        <v>3305</v>
      </c>
      <c r="I195" s="2"/>
      <c r="J195" s="7">
        <f t="shared" si="61"/>
        <v>1.0977203544401384E-3</v>
      </c>
      <c r="K195" s="2"/>
      <c r="L195" s="6">
        <f t="shared" si="62"/>
        <v>-1862.05</v>
      </c>
      <c r="M195" s="2"/>
      <c r="N195" s="7">
        <f t="shared" si="63"/>
        <v>-0.5634039334341906</v>
      </c>
      <c r="O195" s="11"/>
      <c r="P195" s="6">
        <v>2886.32</v>
      </c>
      <c r="Q195" s="2"/>
      <c r="R195" s="7">
        <f t="shared" si="64"/>
        <v>8.9015612726966434E-4</v>
      </c>
      <c r="S195" s="2"/>
      <c r="T195" s="6">
        <v>6610</v>
      </c>
      <c r="U195" s="2"/>
      <c r="V195" s="7">
        <f t="shared" si="65"/>
        <v>1.9119139109731705E-3</v>
      </c>
      <c r="W195" s="2"/>
      <c r="X195" s="6">
        <f t="shared" si="66"/>
        <v>-3723.68</v>
      </c>
      <c r="Y195" s="2"/>
      <c r="Z195" s="7">
        <f t="shared" si="67"/>
        <v>-0.56334039334341901</v>
      </c>
    </row>
    <row r="196" spans="1:26" s="26" customFormat="1" outlineLevel="1" collapsed="1" x14ac:dyDescent="0.25">
      <c r="A196" s="25"/>
      <c r="B196" s="13" t="str">
        <f>CONCATENATE("     ","Freight out/Postage                               ")</f>
        <v xml:space="preserve">     Freight out/Postage                               </v>
      </c>
      <c r="C196" s="13"/>
      <c r="D196" s="1">
        <f>SUM(OSRRefD22_10x_0)</f>
        <v>-12859.049999999997</v>
      </c>
      <c r="E196" s="1"/>
      <c r="F196" s="5">
        <f t="shared" si="60"/>
        <v>-4.541067481487116E-3</v>
      </c>
      <c r="G196" s="1"/>
      <c r="H196" s="1">
        <f>SUM(OSRRefH22_10x_0)</f>
        <v>-2210</v>
      </c>
      <c r="I196" s="1"/>
      <c r="J196" s="5">
        <f t="shared" si="61"/>
        <v>-7.3402783156208953E-4</v>
      </c>
      <c r="K196" s="1"/>
      <c r="L196" s="1">
        <f t="shared" si="62"/>
        <v>-10649.049999999997</v>
      </c>
      <c r="M196" s="1"/>
      <c r="N196" s="5">
        <f t="shared" si="63"/>
        <v>4.8185746606334829</v>
      </c>
      <c r="O196" s="13"/>
      <c r="P196" s="1">
        <f>SUM(OSRRefP22_10x_0)</f>
        <v>-15019.189999999999</v>
      </c>
      <c r="Q196" s="1"/>
      <c r="R196" s="5">
        <f t="shared" si="64"/>
        <v>-4.6319964540062321E-3</v>
      </c>
      <c r="S196" s="1"/>
      <c r="T196" s="1">
        <f>SUM(OSRRefT22_10x_0)</f>
        <v>-2920</v>
      </c>
      <c r="U196" s="1"/>
      <c r="V196" s="5">
        <f t="shared" si="65"/>
        <v>-8.4459737065683172E-4</v>
      </c>
      <c r="W196" s="1"/>
      <c r="X196" s="1">
        <f t="shared" si="66"/>
        <v>-12099.189999999999</v>
      </c>
      <c r="Y196" s="1"/>
      <c r="Z196" s="5">
        <f t="shared" si="67"/>
        <v>4.1435582191780815</v>
      </c>
    </row>
    <row r="197" spans="1:26" s="24" customFormat="1" hidden="1" outlineLevel="2" x14ac:dyDescent="0.25">
      <c r="A197" s="27"/>
      <c r="B197" s="11" t="str">
        <f>CONCATENATE("          ", "6305", " - ", "FREIGHT OUT")</f>
        <v xml:space="preserve">          6305 - FREIGHT OUT</v>
      </c>
      <c r="C197" s="11"/>
      <c r="D197" s="6">
        <v>2905</v>
      </c>
      <c r="E197" s="2"/>
      <c r="F197" s="7">
        <f t="shared" si="60"/>
        <v>1.0258767975643672E-3</v>
      </c>
      <c r="G197" s="2"/>
      <c r="H197" s="6">
        <v>-2250</v>
      </c>
      <c r="I197" s="2"/>
      <c r="J197" s="7">
        <f t="shared" si="61"/>
        <v>-7.47313403174073E-4</v>
      </c>
      <c r="K197" s="2"/>
      <c r="L197" s="6">
        <f t="shared" si="62"/>
        <v>5155</v>
      </c>
      <c r="M197" s="2"/>
      <c r="N197" s="7">
        <f t="shared" si="63"/>
        <v>-2.2911111111111113</v>
      </c>
      <c r="O197" s="11"/>
      <c r="P197" s="6">
        <v>4394.41</v>
      </c>
      <c r="Q197" s="2"/>
      <c r="R197" s="7">
        <f t="shared" si="64"/>
        <v>1.3552589412244953E-3</v>
      </c>
      <c r="S197" s="2"/>
      <c r="T197" s="6">
        <v>-3000</v>
      </c>
      <c r="U197" s="2"/>
      <c r="V197" s="7">
        <f t="shared" si="65"/>
        <v>-8.6773702464742987E-4</v>
      </c>
      <c r="W197" s="2"/>
      <c r="X197" s="6">
        <f t="shared" si="66"/>
        <v>7394.41</v>
      </c>
      <c r="Y197" s="2"/>
      <c r="Z197" s="7">
        <f t="shared" si="67"/>
        <v>-2.4648033333333332</v>
      </c>
    </row>
    <row r="198" spans="1:26" s="24" customFormat="1" hidden="1" outlineLevel="2" x14ac:dyDescent="0.25">
      <c r="A198" s="27"/>
      <c r="B198" s="11" t="str">
        <f>CONCATENATE("          ", "6307", " - ", "POSTAGE")</f>
        <v xml:space="preserve">          6307 - POSTAGE</v>
      </c>
      <c r="C198" s="11"/>
      <c r="D198" s="6">
        <v>-15764.049999999997</v>
      </c>
      <c r="E198" s="2"/>
      <c r="F198" s="7">
        <f t="shared" si="60"/>
        <v>-5.5669442790514832E-3</v>
      </c>
      <c r="G198" s="2"/>
      <c r="H198" s="6">
        <v>40</v>
      </c>
      <c r="I198" s="2"/>
      <c r="J198" s="7">
        <f t="shared" si="61"/>
        <v>1.3285571611983521E-5</v>
      </c>
      <c r="K198" s="2"/>
      <c r="L198" s="6">
        <f t="shared" si="62"/>
        <v>-15804.049999999997</v>
      </c>
      <c r="M198" s="2"/>
      <c r="N198" s="7">
        <f t="shared" si="63"/>
        <v>-395.10124999999994</v>
      </c>
      <c r="O198" s="11"/>
      <c r="P198" s="6">
        <v>-19413.599999999999</v>
      </c>
      <c r="Q198" s="2"/>
      <c r="R198" s="7">
        <f t="shared" si="64"/>
        <v>-5.9872553952307278E-3</v>
      </c>
      <c r="S198" s="2"/>
      <c r="T198" s="6">
        <v>80</v>
      </c>
      <c r="U198" s="2"/>
      <c r="V198" s="7">
        <f t="shared" si="65"/>
        <v>2.313965399059813E-5</v>
      </c>
      <c r="W198" s="2"/>
      <c r="X198" s="6">
        <f t="shared" si="66"/>
        <v>-19493.599999999999</v>
      </c>
      <c r="Y198" s="2"/>
      <c r="Z198" s="7">
        <f t="shared" si="67"/>
        <v>-243.67</v>
      </c>
    </row>
    <row r="199" spans="1:26" s="26" customFormat="1" outlineLevel="1" collapsed="1" x14ac:dyDescent="0.25">
      <c r="A199" s="25"/>
      <c r="B199" s="13" t="str">
        <f>CONCATENATE("     ","General                                           ")</f>
        <v xml:space="preserve">     General                                           </v>
      </c>
      <c r="C199" s="13"/>
      <c r="D199" s="1">
        <f>SUM(OSRRefD22_11x_0)</f>
        <v>-14987.02</v>
      </c>
      <c r="E199" s="1"/>
      <c r="F199" s="5">
        <f t="shared" ref="F199:F216" si="68">IF(D$12=0,0,D199/D$12)</f>
        <v>-5.2925425413539147E-3</v>
      </c>
      <c r="G199" s="1"/>
      <c r="H199" s="1">
        <f>SUM(OSRRefH22_11x_0)</f>
        <v>983</v>
      </c>
      <c r="I199" s="1"/>
      <c r="J199" s="5">
        <f t="shared" ref="J199:J216" si="69">IF(H$12=0,0,H199/H$12)</f>
        <v>3.2649292236449501E-4</v>
      </c>
      <c r="K199" s="1"/>
      <c r="L199" s="1">
        <f t="shared" ref="L199:L216" si="70">+D199-H199</f>
        <v>-15970.02</v>
      </c>
      <c r="M199" s="1"/>
      <c r="N199" s="5">
        <f t="shared" ref="N199:N216" si="71">IF(H199=0,0,L199/H199)</f>
        <v>-16.246205493387588</v>
      </c>
      <c r="O199" s="13"/>
      <c r="P199" s="1">
        <f>SUM(OSRRefP22_11x_0)</f>
        <v>-9782.0400000000009</v>
      </c>
      <c r="Q199" s="1"/>
      <c r="R199" s="5">
        <f t="shared" ref="R199:R216" si="72">IF(P$12=0,0,P199/P$12)</f>
        <v>-3.0168321056559728E-3</v>
      </c>
      <c r="S199" s="1"/>
      <c r="T199" s="1">
        <f>SUM(OSRRefT22_11x_0)</f>
        <v>2078</v>
      </c>
      <c r="U199" s="1"/>
      <c r="V199" s="5">
        <f t="shared" ref="V199:V216" si="73">IF(T$12=0,0,T199/T$12)</f>
        <v>6.0105251240578645E-4</v>
      </c>
      <c r="W199" s="1"/>
      <c r="X199" s="1">
        <f t="shared" ref="X199:X216" si="74">+P199-T199</f>
        <v>-11860.04</v>
      </c>
      <c r="Y199" s="1"/>
      <c r="Z199" s="5">
        <f t="shared" ref="Z199:Z216" si="75">IF(T199=0,0,X199/T199)</f>
        <v>-5.7074302213666988</v>
      </c>
    </row>
    <row r="200" spans="1:26" s="24" customFormat="1" hidden="1" outlineLevel="2" x14ac:dyDescent="0.25">
      <c r="A200" s="27"/>
      <c r="B200" s="11" t="str">
        <f>CONCATENATE("          ", "6279", " - ", "GENERAL EXPENSE")</f>
        <v xml:space="preserve">          6279 - GENERAL EXPENSE</v>
      </c>
      <c r="C200" s="11"/>
      <c r="D200" s="6">
        <v>-14987.02</v>
      </c>
      <c r="E200" s="2"/>
      <c r="F200" s="7">
        <f t="shared" si="68"/>
        <v>-5.2925425413539147E-3</v>
      </c>
      <c r="G200" s="2"/>
      <c r="H200" s="6">
        <v>983</v>
      </c>
      <c r="I200" s="2"/>
      <c r="J200" s="7">
        <f t="shared" si="69"/>
        <v>3.2649292236449501E-4</v>
      </c>
      <c r="K200" s="2"/>
      <c r="L200" s="6">
        <f t="shared" si="70"/>
        <v>-15970.02</v>
      </c>
      <c r="M200" s="2"/>
      <c r="N200" s="7">
        <f t="shared" si="71"/>
        <v>-16.246205493387588</v>
      </c>
      <c r="O200" s="11"/>
      <c r="P200" s="6">
        <v>-9782.0400000000009</v>
      </c>
      <c r="Q200" s="2"/>
      <c r="R200" s="7">
        <f t="shared" si="72"/>
        <v>-3.0168321056559728E-3</v>
      </c>
      <c r="S200" s="2"/>
      <c r="T200" s="6">
        <v>2078</v>
      </c>
      <c r="U200" s="2"/>
      <c r="V200" s="7">
        <f t="shared" si="73"/>
        <v>6.0105251240578645E-4</v>
      </c>
      <c r="W200" s="2"/>
      <c r="X200" s="6">
        <f t="shared" si="74"/>
        <v>-11860.04</v>
      </c>
      <c r="Y200" s="2"/>
      <c r="Z200" s="7">
        <f t="shared" si="75"/>
        <v>-5.7074302213666988</v>
      </c>
    </row>
    <row r="201" spans="1:26" s="26" customFormat="1" outlineLevel="1" collapsed="1" x14ac:dyDescent="0.25">
      <c r="A201" s="25"/>
      <c r="B201" s="13" t="str">
        <f>CONCATENATE("     ","Insurance                                         ")</f>
        <v xml:space="preserve">     Insurance                                         </v>
      </c>
      <c r="C201" s="13"/>
      <c r="D201" s="1">
        <f>SUM(OSRRefD22_12x_0)</f>
        <v>4288.28</v>
      </c>
      <c r="E201" s="1"/>
      <c r="F201" s="5">
        <f t="shared" si="68"/>
        <v>1.5143707240823834E-3</v>
      </c>
      <c r="G201" s="1"/>
      <c r="H201" s="1">
        <f>SUM(OSRRefH22_12x_0)</f>
        <v>4045</v>
      </c>
      <c r="I201" s="1"/>
      <c r="J201" s="5">
        <f t="shared" si="69"/>
        <v>1.3435034292618336E-3</v>
      </c>
      <c r="K201" s="1"/>
      <c r="L201" s="1">
        <f t="shared" si="70"/>
        <v>243.27999999999975</v>
      </c>
      <c r="M201" s="1"/>
      <c r="N201" s="5">
        <f t="shared" si="71"/>
        <v>6.0143386897404137E-2</v>
      </c>
      <c r="O201" s="13"/>
      <c r="P201" s="1">
        <f>SUM(OSRRefP22_12x_0)</f>
        <v>8576.56</v>
      </c>
      <c r="Q201" s="1"/>
      <c r="R201" s="5">
        <f t="shared" si="72"/>
        <v>2.6450557924609579E-3</v>
      </c>
      <c r="S201" s="1"/>
      <c r="T201" s="1">
        <f>SUM(OSRRefT22_12x_0)</f>
        <v>8090</v>
      </c>
      <c r="U201" s="1"/>
      <c r="V201" s="5">
        <f t="shared" si="73"/>
        <v>2.3399975097992357E-3</v>
      </c>
      <c r="W201" s="1"/>
      <c r="X201" s="1">
        <f t="shared" si="74"/>
        <v>486.55999999999949</v>
      </c>
      <c r="Y201" s="1"/>
      <c r="Z201" s="5">
        <f t="shared" si="75"/>
        <v>6.0143386897404137E-2</v>
      </c>
    </row>
    <row r="202" spans="1:26" s="24" customFormat="1" hidden="1" outlineLevel="2" x14ac:dyDescent="0.25">
      <c r="A202" s="27"/>
      <c r="B202" s="11" t="str">
        <f>CONCATENATE("          ", "6314", " - ", "LIABILITY INSURANCE")</f>
        <v xml:space="preserve">          6314 - LIABILITY INSURANCE</v>
      </c>
      <c r="C202" s="11"/>
      <c r="D202" s="6">
        <v>4288.28</v>
      </c>
      <c r="E202" s="2"/>
      <c r="F202" s="7">
        <f t="shared" si="68"/>
        <v>1.5143707240823834E-3</v>
      </c>
      <c r="G202" s="2"/>
      <c r="H202" s="6">
        <v>4045</v>
      </c>
      <c r="I202" s="2"/>
      <c r="J202" s="7">
        <f t="shared" si="69"/>
        <v>1.3435034292618336E-3</v>
      </c>
      <c r="K202" s="2"/>
      <c r="L202" s="6">
        <f t="shared" si="70"/>
        <v>243.27999999999975</v>
      </c>
      <c r="M202" s="2"/>
      <c r="N202" s="7">
        <f t="shared" si="71"/>
        <v>6.0143386897404137E-2</v>
      </c>
      <c r="O202" s="11"/>
      <c r="P202" s="6">
        <v>8576.56</v>
      </c>
      <c r="Q202" s="2"/>
      <c r="R202" s="7">
        <f t="shared" si="72"/>
        <v>2.6450557924609579E-3</v>
      </c>
      <c r="S202" s="2"/>
      <c r="T202" s="6">
        <v>8090</v>
      </c>
      <c r="U202" s="2"/>
      <c r="V202" s="7">
        <f t="shared" si="73"/>
        <v>2.3399975097992357E-3</v>
      </c>
      <c r="W202" s="2"/>
      <c r="X202" s="6">
        <f t="shared" si="74"/>
        <v>486.55999999999949</v>
      </c>
      <c r="Y202" s="2"/>
      <c r="Z202" s="7">
        <f t="shared" si="75"/>
        <v>6.0143386897404137E-2</v>
      </c>
    </row>
    <row r="203" spans="1:26" s="26" customFormat="1" outlineLevel="1" collapsed="1" x14ac:dyDescent="0.25">
      <c r="A203" s="25"/>
      <c r="B203" s="13" t="str">
        <f>CONCATENATE("     ","Interest                                          ")</f>
        <v xml:space="preserve">     Interest                                          </v>
      </c>
      <c r="C203" s="13"/>
      <c r="D203" s="1">
        <f>SUM(OSRRefD22_13x_0)</f>
        <v>4110</v>
      </c>
      <c r="E203" s="1"/>
      <c r="F203" s="5">
        <f t="shared" si="68"/>
        <v>1.4514126120445951E-3</v>
      </c>
      <c r="G203" s="1"/>
      <c r="H203" s="1">
        <f>SUM(OSRRefH22_13x_0)</f>
        <v>4175</v>
      </c>
      <c r="I203" s="1"/>
      <c r="J203" s="5">
        <f t="shared" si="69"/>
        <v>1.3866815370007801E-3</v>
      </c>
      <c r="K203" s="1"/>
      <c r="L203" s="1">
        <f t="shared" si="70"/>
        <v>-65</v>
      </c>
      <c r="M203" s="1"/>
      <c r="N203" s="5">
        <f t="shared" si="71"/>
        <v>-1.5568862275449102E-2</v>
      </c>
      <c r="O203" s="13"/>
      <c r="P203" s="1">
        <f>SUM(OSRRefP22_13x_0)</f>
        <v>8220</v>
      </c>
      <c r="Q203" s="1"/>
      <c r="R203" s="5">
        <f t="shared" si="72"/>
        <v>2.5350908305928105E-3</v>
      </c>
      <c r="S203" s="1"/>
      <c r="T203" s="1">
        <f>SUM(OSRRefT22_13x_0)</f>
        <v>8350</v>
      </c>
      <c r="U203" s="1"/>
      <c r="V203" s="5">
        <f t="shared" si="73"/>
        <v>2.4152013852686799E-3</v>
      </c>
      <c r="W203" s="1"/>
      <c r="X203" s="1">
        <f t="shared" si="74"/>
        <v>-130</v>
      </c>
      <c r="Y203" s="1"/>
      <c r="Z203" s="5">
        <f t="shared" si="75"/>
        <v>-1.5568862275449102E-2</v>
      </c>
    </row>
    <row r="204" spans="1:26" s="24" customFormat="1" hidden="1" outlineLevel="2" x14ac:dyDescent="0.25">
      <c r="A204" s="27"/>
      <c r="B204" s="11" t="str">
        <f>CONCATENATE("          ", "6401", " - ", "INTEREST EXPENSE")</f>
        <v xml:space="preserve">          6401 - INTEREST EXPENSE</v>
      </c>
      <c r="C204" s="11"/>
      <c r="D204" s="6">
        <v>4110</v>
      </c>
      <c r="E204" s="2"/>
      <c r="F204" s="7">
        <f t="shared" si="68"/>
        <v>1.4514126120445951E-3</v>
      </c>
      <c r="G204" s="2"/>
      <c r="H204" s="6">
        <v>4175</v>
      </c>
      <c r="I204" s="2"/>
      <c r="J204" s="7">
        <f t="shared" si="69"/>
        <v>1.3866815370007801E-3</v>
      </c>
      <c r="K204" s="2"/>
      <c r="L204" s="6">
        <f t="shared" si="70"/>
        <v>-65</v>
      </c>
      <c r="M204" s="2"/>
      <c r="N204" s="7">
        <f t="shared" si="71"/>
        <v>-1.5568862275449102E-2</v>
      </c>
      <c r="O204" s="11"/>
      <c r="P204" s="6">
        <v>8220</v>
      </c>
      <c r="Q204" s="2"/>
      <c r="R204" s="7">
        <f t="shared" si="72"/>
        <v>2.5350908305928105E-3</v>
      </c>
      <c r="S204" s="2"/>
      <c r="T204" s="6">
        <v>8350</v>
      </c>
      <c r="U204" s="2"/>
      <c r="V204" s="7">
        <f t="shared" si="73"/>
        <v>2.4152013852686799E-3</v>
      </c>
      <c r="W204" s="2"/>
      <c r="X204" s="6">
        <f t="shared" si="74"/>
        <v>-130</v>
      </c>
      <c r="Y204" s="2"/>
      <c r="Z204" s="7">
        <f t="shared" si="75"/>
        <v>-1.5568862275449102E-2</v>
      </c>
    </row>
    <row r="205" spans="1:26" s="26" customFormat="1" outlineLevel="1" collapsed="1" x14ac:dyDescent="0.25">
      <c r="A205" s="25"/>
      <c r="B205" s="13" t="str">
        <f>CONCATENATE("     ","Inventory Adjustment                              ")</f>
        <v xml:space="preserve">     Inventory Adjustment                              </v>
      </c>
      <c r="C205" s="13"/>
      <c r="D205" s="1">
        <f>SUM(OSRRefD22_14x_0)</f>
        <v>4250</v>
      </c>
      <c r="E205" s="1"/>
      <c r="F205" s="5">
        <f t="shared" si="68"/>
        <v>1.5008524577103477E-3</v>
      </c>
      <c r="G205" s="1"/>
      <c r="H205" s="1">
        <f>SUM(OSRRefH22_14x_0)</f>
        <v>4250</v>
      </c>
      <c r="I205" s="1"/>
      <c r="J205" s="5">
        <f t="shared" si="69"/>
        <v>1.4115919837732491E-3</v>
      </c>
      <c r="K205" s="1"/>
      <c r="L205" s="1">
        <f t="shared" si="70"/>
        <v>0</v>
      </c>
      <c r="M205" s="1"/>
      <c r="N205" s="5">
        <f t="shared" si="71"/>
        <v>0</v>
      </c>
      <c r="O205" s="13"/>
      <c r="P205" s="1">
        <f>SUM(OSRRefP22_14x_0)</f>
        <v>8400</v>
      </c>
      <c r="Q205" s="1"/>
      <c r="R205" s="5">
        <f t="shared" si="72"/>
        <v>2.5906037684890033E-3</v>
      </c>
      <c r="S205" s="1"/>
      <c r="T205" s="1">
        <f>SUM(OSRRefT22_14x_0)</f>
        <v>8400</v>
      </c>
      <c r="U205" s="1"/>
      <c r="V205" s="5">
        <f t="shared" si="73"/>
        <v>2.4296636690128038E-3</v>
      </c>
      <c r="W205" s="1"/>
      <c r="X205" s="1">
        <f t="shared" si="74"/>
        <v>0</v>
      </c>
      <c r="Y205" s="1"/>
      <c r="Z205" s="5">
        <f t="shared" si="75"/>
        <v>0</v>
      </c>
    </row>
    <row r="206" spans="1:26" s="24" customFormat="1" hidden="1" outlineLevel="2" x14ac:dyDescent="0.25">
      <c r="A206" s="27"/>
      <c r="B206" s="11" t="str">
        <f>CONCATENATE("          ", "6408", " - ", "INVENTORY ADJUSTMENT")</f>
        <v xml:space="preserve">          6408 - INVENTORY ADJUSTMENT</v>
      </c>
      <c r="C206" s="11"/>
      <c r="D206" s="6">
        <v>4250</v>
      </c>
      <c r="E206" s="2"/>
      <c r="F206" s="7">
        <f t="shared" si="68"/>
        <v>1.5008524577103477E-3</v>
      </c>
      <c r="G206" s="2"/>
      <c r="H206" s="6">
        <v>4250</v>
      </c>
      <c r="I206" s="2"/>
      <c r="J206" s="7">
        <f t="shared" si="69"/>
        <v>1.4115919837732491E-3</v>
      </c>
      <c r="K206" s="2"/>
      <c r="L206" s="6">
        <f t="shared" si="70"/>
        <v>0</v>
      </c>
      <c r="M206" s="2"/>
      <c r="N206" s="7">
        <f t="shared" si="71"/>
        <v>0</v>
      </c>
      <c r="O206" s="11"/>
      <c r="P206" s="6">
        <v>8400</v>
      </c>
      <c r="Q206" s="2"/>
      <c r="R206" s="7">
        <f t="shared" si="72"/>
        <v>2.5906037684890033E-3</v>
      </c>
      <c r="S206" s="2"/>
      <c r="T206" s="6">
        <v>8400</v>
      </c>
      <c r="U206" s="2"/>
      <c r="V206" s="7">
        <f t="shared" si="73"/>
        <v>2.4296636690128038E-3</v>
      </c>
      <c r="W206" s="2"/>
      <c r="X206" s="6">
        <f t="shared" si="74"/>
        <v>0</v>
      </c>
      <c r="Y206" s="2"/>
      <c r="Z206" s="7">
        <f t="shared" si="75"/>
        <v>0</v>
      </c>
    </row>
    <row r="207" spans="1:26" s="26" customFormat="1" outlineLevel="1" collapsed="1" x14ac:dyDescent="0.25">
      <c r="A207" s="25"/>
      <c r="B207" s="13" t="str">
        <f>CONCATENATE("     ","Professional Services                             ")</f>
        <v xml:space="preserve">     Professional Services                             </v>
      </c>
      <c r="C207" s="13"/>
      <c r="D207" s="1">
        <f>SUM(OSRRefD22_15x_0)</f>
        <v>0</v>
      </c>
      <c r="E207" s="1"/>
      <c r="F207" s="5">
        <f t="shared" si="68"/>
        <v>0</v>
      </c>
      <c r="G207" s="1"/>
      <c r="H207" s="1">
        <f>SUM(OSRRefH22_15x_0)</f>
        <v>1015</v>
      </c>
      <c r="I207" s="1"/>
      <c r="J207" s="5">
        <f t="shared" si="69"/>
        <v>3.3712137965408184E-4</v>
      </c>
      <c r="K207" s="1"/>
      <c r="L207" s="1">
        <f t="shared" si="70"/>
        <v>-1015</v>
      </c>
      <c r="M207" s="1"/>
      <c r="N207" s="5">
        <f t="shared" si="71"/>
        <v>-1</v>
      </c>
      <c r="O207" s="13"/>
      <c r="P207" s="1">
        <f>SUM(OSRRefP22_15x_0)</f>
        <v>6158.41</v>
      </c>
      <c r="Q207" s="1"/>
      <c r="R207" s="5">
        <f t="shared" si="72"/>
        <v>1.899285732607186E-3</v>
      </c>
      <c r="S207" s="1"/>
      <c r="T207" s="1">
        <f>SUM(OSRRefT22_15x_0)</f>
        <v>4430</v>
      </c>
      <c r="U207" s="1"/>
      <c r="V207" s="5">
        <f t="shared" si="73"/>
        <v>1.2813583397293714E-3</v>
      </c>
      <c r="W207" s="1"/>
      <c r="X207" s="1">
        <f t="shared" si="74"/>
        <v>1728.4099999999999</v>
      </c>
      <c r="Y207" s="1"/>
      <c r="Z207" s="5">
        <f t="shared" si="75"/>
        <v>0.39016027088036115</v>
      </c>
    </row>
    <row r="208" spans="1:26" s="24" customFormat="1" hidden="1" outlineLevel="2" x14ac:dyDescent="0.25">
      <c r="A208" s="27"/>
      <c r="B208" s="11" t="str">
        <f>CONCATENATE("          ", "6336", " - ", "PROFESSIONAL SERVICES")</f>
        <v xml:space="preserve">          6336 - PROFESSIONAL SERVICES</v>
      </c>
      <c r="C208" s="11"/>
      <c r="D208" s="6"/>
      <c r="E208" s="2"/>
      <c r="F208" s="7">
        <f t="shared" si="68"/>
        <v>0</v>
      </c>
      <c r="G208" s="2"/>
      <c r="H208" s="6">
        <v>1015</v>
      </c>
      <c r="I208" s="2"/>
      <c r="J208" s="7">
        <f t="shared" si="69"/>
        <v>3.3712137965408184E-4</v>
      </c>
      <c r="K208" s="2"/>
      <c r="L208" s="6">
        <f t="shared" si="70"/>
        <v>-1015</v>
      </c>
      <c r="M208" s="2"/>
      <c r="N208" s="7">
        <f t="shared" si="71"/>
        <v>-1</v>
      </c>
      <c r="O208" s="11"/>
      <c r="P208" s="6">
        <v>6158.41</v>
      </c>
      <c r="Q208" s="2"/>
      <c r="R208" s="7">
        <f t="shared" si="72"/>
        <v>1.899285732607186E-3</v>
      </c>
      <c r="S208" s="2"/>
      <c r="T208" s="6">
        <v>4430</v>
      </c>
      <c r="U208" s="2"/>
      <c r="V208" s="7">
        <f t="shared" si="73"/>
        <v>1.2813583397293714E-3</v>
      </c>
      <c r="W208" s="2"/>
      <c r="X208" s="6">
        <f t="shared" si="74"/>
        <v>1728.4099999999999</v>
      </c>
      <c r="Y208" s="2"/>
      <c r="Z208" s="7">
        <f t="shared" si="75"/>
        <v>0.39016027088036115</v>
      </c>
    </row>
    <row r="209" spans="1:26" s="26" customFormat="1" outlineLevel="1" collapsed="1" x14ac:dyDescent="0.25">
      <c r="A209" s="25"/>
      <c r="B209" s="13" t="str">
        <f>CONCATENATE("     ","R/H Commissions                                   ")</f>
        <v xml:space="preserve">     R/H Commissions                                   </v>
      </c>
      <c r="C209" s="13"/>
      <c r="D209" s="1">
        <f>SUM(OSRRefD22_16x_0)</f>
        <v>0</v>
      </c>
      <c r="E209" s="1"/>
      <c r="F209" s="5">
        <f t="shared" si="68"/>
        <v>0</v>
      </c>
      <c r="G209" s="1"/>
      <c r="H209" s="1">
        <f>SUM(OSRRefH22_16x_0)</f>
        <v>0</v>
      </c>
      <c r="I209" s="1"/>
      <c r="J209" s="5">
        <f t="shared" si="69"/>
        <v>0</v>
      </c>
      <c r="K209" s="1"/>
      <c r="L209" s="1">
        <f t="shared" si="70"/>
        <v>0</v>
      </c>
      <c r="M209" s="1"/>
      <c r="N209" s="5">
        <f t="shared" si="71"/>
        <v>0</v>
      </c>
      <c r="O209" s="13"/>
      <c r="P209" s="1">
        <f>SUM(OSRRefP22_16x_0)</f>
        <v>0</v>
      </c>
      <c r="Q209" s="1"/>
      <c r="R209" s="5">
        <f t="shared" si="72"/>
        <v>0</v>
      </c>
      <c r="S209" s="1"/>
      <c r="T209" s="1">
        <f>SUM(OSRRefT22_16x_0)</f>
        <v>0</v>
      </c>
      <c r="U209" s="1"/>
      <c r="V209" s="5">
        <f t="shared" si="73"/>
        <v>0</v>
      </c>
      <c r="W209" s="1"/>
      <c r="X209" s="1">
        <f t="shared" si="74"/>
        <v>0</v>
      </c>
      <c r="Y209" s="1"/>
      <c r="Z209" s="5">
        <f t="shared" si="75"/>
        <v>0</v>
      </c>
    </row>
    <row r="210" spans="1:26" s="24" customFormat="1" hidden="1" outlineLevel="2" x14ac:dyDescent="0.25">
      <c r="A210" s="27"/>
      <c r="B210" s="11" t="str">
        <f>CONCATENATE("          ", "6387", " - ", "COMMISSION DUE HOUSING")</f>
        <v xml:space="preserve">          6387 - COMMISSION DUE HOUSING</v>
      </c>
      <c r="C210" s="11"/>
      <c r="D210" s="6"/>
      <c r="E210" s="2"/>
      <c r="F210" s="7">
        <f t="shared" si="68"/>
        <v>0</v>
      </c>
      <c r="G210" s="2"/>
      <c r="H210" s="6"/>
      <c r="I210" s="2"/>
      <c r="J210" s="7">
        <f t="shared" si="69"/>
        <v>0</v>
      </c>
      <c r="K210" s="2"/>
      <c r="L210" s="6">
        <f t="shared" si="70"/>
        <v>0</v>
      </c>
      <c r="M210" s="2"/>
      <c r="N210" s="7">
        <f t="shared" si="71"/>
        <v>0</v>
      </c>
      <c r="O210" s="11"/>
      <c r="P210" s="6"/>
      <c r="Q210" s="2"/>
      <c r="R210" s="7">
        <f t="shared" si="72"/>
        <v>0</v>
      </c>
      <c r="S210" s="2"/>
      <c r="T210" s="6">
        <v>0</v>
      </c>
      <c r="U210" s="2"/>
      <c r="V210" s="7">
        <f t="shared" si="73"/>
        <v>0</v>
      </c>
      <c r="W210" s="2"/>
      <c r="X210" s="6">
        <f t="shared" si="74"/>
        <v>0</v>
      </c>
      <c r="Y210" s="2"/>
      <c r="Z210" s="7">
        <f t="shared" si="75"/>
        <v>0</v>
      </c>
    </row>
    <row r="211" spans="1:26" s="26" customFormat="1" outlineLevel="1" collapsed="1" x14ac:dyDescent="0.25">
      <c r="A211" s="25"/>
      <c r="B211" s="13" t="str">
        <f>CONCATENATE("     ","Rent                                              ")</f>
        <v xml:space="preserve">     Rent                                              </v>
      </c>
      <c r="C211" s="13"/>
      <c r="D211" s="1">
        <f>SUM(OSRRefD22_17x_0)</f>
        <v>7250</v>
      </c>
      <c r="E211" s="1"/>
      <c r="F211" s="5">
        <f t="shared" si="68"/>
        <v>2.5602777219764757E-3</v>
      </c>
      <c r="G211" s="1"/>
      <c r="H211" s="1">
        <f>SUM(OSRRefH22_17x_0)</f>
        <v>7550</v>
      </c>
      <c r="I211" s="1"/>
      <c r="J211" s="5">
        <f t="shared" si="69"/>
        <v>2.5076516417618894E-3</v>
      </c>
      <c r="K211" s="1"/>
      <c r="L211" s="1">
        <f t="shared" si="70"/>
        <v>-300</v>
      </c>
      <c r="M211" s="1"/>
      <c r="N211" s="5">
        <f t="shared" si="71"/>
        <v>-3.9735099337748346E-2</v>
      </c>
      <c r="O211" s="13"/>
      <c r="P211" s="1">
        <f>SUM(OSRRefP22_17x_0)</f>
        <v>14500</v>
      </c>
      <c r="Q211" s="1"/>
      <c r="R211" s="5">
        <f t="shared" si="72"/>
        <v>4.4718755527488746E-3</v>
      </c>
      <c r="S211" s="1"/>
      <c r="T211" s="1">
        <f>SUM(OSRRefT22_17x_0)</f>
        <v>15100</v>
      </c>
      <c r="U211" s="1"/>
      <c r="V211" s="5">
        <f t="shared" si="73"/>
        <v>4.3676096907253967E-3</v>
      </c>
      <c r="W211" s="1"/>
      <c r="X211" s="1">
        <f t="shared" si="74"/>
        <v>-600</v>
      </c>
      <c r="Y211" s="1"/>
      <c r="Z211" s="5">
        <f t="shared" si="75"/>
        <v>-3.9735099337748346E-2</v>
      </c>
    </row>
    <row r="212" spans="1:26" s="24" customFormat="1" hidden="1" outlineLevel="2" x14ac:dyDescent="0.25">
      <c r="A212" s="27"/>
      <c r="B212" s="11" t="str">
        <f>CONCATENATE("          ", "6273", " - ", "RENT")</f>
        <v xml:space="preserve">          6273 - RENT</v>
      </c>
      <c r="C212" s="11"/>
      <c r="D212" s="6">
        <v>7250</v>
      </c>
      <c r="E212" s="2"/>
      <c r="F212" s="7">
        <f t="shared" si="68"/>
        <v>2.5602777219764757E-3</v>
      </c>
      <c r="G212" s="2"/>
      <c r="H212" s="6">
        <v>7550</v>
      </c>
      <c r="I212" s="2"/>
      <c r="J212" s="7">
        <f t="shared" si="69"/>
        <v>2.5076516417618894E-3</v>
      </c>
      <c r="K212" s="2"/>
      <c r="L212" s="6">
        <f t="shared" si="70"/>
        <v>-300</v>
      </c>
      <c r="M212" s="2"/>
      <c r="N212" s="7">
        <f t="shared" si="71"/>
        <v>-3.9735099337748346E-2</v>
      </c>
      <c r="O212" s="11"/>
      <c r="P212" s="6">
        <v>14500</v>
      </c>
      <c r="Q212" s="2"/>
      <c r="R212" s="7">
        <f t="shared" si="72"/>
        <v>4.4718755527488746E-3</v>
      </c>
      <c r="S212" s="2"/>
      <c r="T212" s="6">
        <v>15100</v>
      </c>
      <c r="U212" s="2"/>
      <c r="V212" s="7">
        <f t="shared" si="73"/>
        <v>4.3676096907253967E-3</v>
      </c>
      <c r="W212" s="2"/>
      <c r="X212" s="6">
        <f t="shared" si="74"/>
        <v>-600</v>
      </c>
      <c r="Y212" s="2"/>
      <c r="Z212" s="7">
        <f t="shared" si="75"/>
        <v>-3.9735099337748346E-2</v>
      </c>
    </row>
    <row r="213" spans="1:26" s="26" customFormat="1" outlineLevel="1" collapsed="1" x14ac:dyDescent="0.25">
      <c r="A213" s="25"/>
      <c r="B213" s="13" t="str">
        <f>CONCATENATE("     ","Repair and Maintenance                            ")</f>
        <v xml:space="preserve">     Repair and Maintenance                            </v>
      </c>
      <c r="C213" s="13"/>
      <c r="D213" s="1">
        <f>SUM(OSRRefD22_18x_0)</f>
        <v>16162.5</v>
      </c>
      <c r="E213" s="1"/>
      <c r="F213" s="5">
        <f t="shared" si="68"/>
        <v>5.7076536112337633E-3</v>
      </c>
      <c r="G213" s="1"/>
      <c r="H213" s="1">
        <f>SUM(OSRRefH22_18x_0)</f>
        <v>15275</v>
      </c>
      <c r="I213" s="1"/>
      <c r="J213" s="5">
        <f t="shared" si="69"/>
        <v>5.0734276593262066E-3</v>
      </c>
      <c r="K213" s="1"/>
      <c r="L213" s="1">
        <f t="shared" si="70"/>
        <v>887.5</v>
      </c>
      <c r="M213" s="1"/>
      <c r="N213" s="5">
        <f t="shared" si="71"/>
        <v>5.8101472995090019E-2</v>
      </c>
      <c r="O213" s="13"/>
      <c r="P213" s="1">
        <f>SUM(OSRRefP22_18x_0)</f>
        <v>40670.600000000006</v>
      </c>
      <c r="Q213" s="1"/>
      <c r="R213" s="5">
        <f t="shared" si="72"/>
        <v>1.254302495556058E-2</v>
      </c>
      <c r="S213" s="1"/>
      <c r="T213" s="1">
        <f>SUM(OSRRefT22_18x_0)</f>
        <v>75255</v>
      </c>
      <c r="U213" s="1"/>
      <c r="V213" s="5">
        <f t="shared" si="73"/>
        <v>2.1767183263280778E-2</v>
      </c>
      <c r="W213" s="1"/>
      <c r="X213" s="1">
        <f t="shared" si="74"/>
        <v>-34584.399999999994</v>
      </c>
      <c r="Y213" s="1"/>
      <c r="Z213" s="5">
        <f t="shared" si="75"/>
        <v>-0.45956281974619617</v>
      </c>
    </row>
    <row r="214" spans="1:26" s="24" customFormat="1" hidden="1" outlineLevel="2" x14ac:dyDescent="0.25">
      <c r="A214" s="27"/>
      <c r="B214" s="11" t="str">
        <f>CONCATENATE("          ", "6371", " - ", "COMPUTER SOFTWARE MAINTENANCE")</f>
        <v xml:space="preserve">          6371 - COMPUTER SOFTWARE MAINTENANCE</v>
      </c>
      <c r="C214" s="11"/>
      <c r="D214" s="6">
        <v>7887.25</v>
      </c>
      <c r="E214" s="2"/>
      <c r="F214" s="7">
        <f t="shared" si="68"/>
        <v>2.7853173051943388E-3</v>
      </c>
      <c r="G214" s="2"/>
      <c r="H214" s="6">
        <v>0</v>
      </c>
      <c r="I214" s="2"/>
      <c r="J214" s="7">
        <f t="shared" si="69"/>
        <v>0</v>
      </c>
      <c r="K214" s="2"/>
      <c r="L214" s="6">
        <f t="shared" si="70"/>
        <v>7887.25</v>
      </c>
      <c r="M214" s="2"/>
      <c r="N214" s="7">
        <f t="shared" si="71"/>
        <v>0</v>
      </c>
      <c r="O214" s="11"/>
      <c r="P214" s="6">
        <v>8488.25</v>
      </c>
      <c r="Q214" s="2"/>
      <c r="R214" s="7">
        <f t="shared" si="72"/>
        <v>2.6178205283186647E-3</v>
      </c>
      <c r="S214" s="2"/>
      <c r="T214" s="6">
        <v>48535</v>
      </c>
      <c r="U214" s="2"/>
      <c r="V214" s="7">
        <f t="shared" si="73"/>
        <v>1.4038538830421003E-2</v>
      </c>
      <c r="W214" s="2"/>
      <c r="X214" s="6">
        <f t="shared" si="74"/>
        <v>-40046.75</v>
      </c>
      <c r="Y214" s="2"/>
      <c r="Z214" s="7">
        <f t="shared" si="75"/>
        <v>-0.82511074482332336</v>
      </c>
    </row>
    <row r="215" spans="1:26" s="24" customFormat="1" hidden="1" outlineLevel="2" x14ac:dyDescent="0.25">
      <c r="A215" s="27"/>
      <c r="B215" s="11" t="str">
        <f>CONCATENATE("          ", "6373", " - ", "MAINTENANCE CONTRACTS")</f>
        <v xml:space="preserve">          6373 - MAINTENANCE CONTRACTS</v>
      </c>
      <c r="C215" s="11"/>
      <c r="D215" s="6">
        <v>5896.58</v>
      </c>
      <c r="E215" s="2"/>
      <c r="F215" s="7">
        <f t="shared" si="68"/>
        <v>2.0823286082554547E-3</v>
      </c>
      <c r="G215" s="2"/>
      <c r="H215" s="6">
        <v>7115</v>
      </c>
      <c r="I215" s="2"/>
      <c r="J215" s="7">
        <f t="shared" si="69"/>
        <v>2.3631710504815689E-3</v>
      </c>
      <c r="K215" s="2"/>
      <c r="L215" s="6">
        <f t="shared" si="70"/>
        <v>-1218.42</v>
      </c>
      <c r="M215" s="2"/>
      <c r="N215" s="7">
        <f t="shared" si="71"/>
        <v>-0.17124666198172875</v>
      </c>
      <c r="O215" s="11"/>
      <c r="P215" s="6">
        <v>12375.44</v>
      </c>
      <c r="Q215" s="2"/>
      <c r="R215" s="7">
        <f t="shared" si="72"/>
        <v>3.8166501786558991E-3</v>
      </c>
      <c r="S215" s="2"/>
      <c r="T215" s="6">
        <v>14155</v>
      </c>
      <c r="U215" s="2"/>
      <c r="V215" s="7">
        <f t="shared" si="73"/>
        <v>4.094272527961457E-3</v>
      </c>
      <c r="W215" s="2"/>
      <c r="X215" s="6">
        <f t="shared" si="74"/>
        <v>-1779.5599999999995</v>
      </c>
      <c r="Y215" s="2"/>
      <c r="Z215" s="7">
        <f t="shared" si="75"/>
        <v>-0.12571953373366299</v>
      </c>
    </row>
    <row r="216" spans="1:26" s="24" customFormat="1" hidden="1" outlineLevel="2" x14ac:dyDescent="0.25">
      <c r="A216" s="27"/>
      <c r="B216" s="11" t="str">
        <f>CONCATENATE("          ", "6375", " - ", "OUTSIDE REPAIRS &amp; MAINTENANCE")</f>
        <v xml:space="preserve">          6375 - OUTSIDE REPAIRS &amp; MAINTENANCE</v>
      </c>
      <c r="C216" s="11"/>
      <c r="D216" s="6">
        <v>2378.67</v>
      </c>
      <c r="E216" s="2"/>
      <c r="F216" s="7">
        <f t="shared" si="68"/>
        <v>8.4000769778397007E-4</v>
      </c>
      <c r="G216" s="2"/>
      <c r="H216" s="6">
        <v>8160</v>
      </c>
      <c r="I216" s="2"/>
      <c r="J216" s="7">
        <f t="shared" si="69"/>
        <v>2.7102566088446382E-3</v>
      </c>
      <c r="K216" s="2"/>
      <c r="L216" s="6">
        <f t="shared" si="70"/>
        <v>-5781.33</v>
      </c>
      <c r="M216" s="2"/>
      <c r="N216" s="7">
        <f t="shared" si="71"/>
        <v>-0.70849632352941172</v>
      </c>
      <c r="O216" s="11"/>
      <c r="P216" s="6">
        <v>19806.91</v>
      </c>
      <c r="Q216" s="2"/>
      <c r="R216" s="7">
        <f t="shared" si="72"/>
        <v>6.108554248586015E-3</v>
      </c>
      <c r="S216" s="2"/>
      <c r="T216" s="6">
        <v>12565</v>
      </c>
      <c r="U216" s="2"/>
      <c r="V216" s="7">
        <f t="shared" si="73"/>
        <v>3.6343719048983186E-3</v>
      </c>
      <c r="W216" s="2"/>
      <c r="X216" s="6">
        <f t="shared" si="74"/>
        <v>7241.91</v>
      </c>
      <c r="Y216" s="2"/>
      <c r="Z216" s="7">
        <f t="shared" si="75"/>
        <v>0.5763557500994827</v>
      </c>
    </row>
    <row r="217" spans="1:26" s="26" customFormat="1" outlineLevel="1" collapsed="1" x14ac:dyDescent="0.25">
      <c r="A217" s="25"/>
      <c r="B217" s="13" t="str">
        <f>CONCATENATE("     ","Royalty &amp; Commissions                             ")</f>
        <v xml:space="preserve">     Royalty &amp; Commissions                             </v>
      </c>
      <c r="C217" s="13"/>
      <c r="D217" s="1">
        <f>SUM(OSRRefD22_19x_0)</f>
        <v>3785.57</v>
      </c>
      <c r="E217" s="1"/>
      <c r="F217" s="5">
        <f t="shared" ref="F217:F221" si="76">IF(D$12=0,0,D217/D$12)</f>
        <v>1.3368428325493086E-3</v>
      </c>
      <c r="G217" s="1"/>
      <c r="H217" s="1">
        <f>SUM(OSRRefH22_19x_0)</f>
        <v>18015</v>
      </c>
      <c r="I217" s="1"/>
      <c r="J217" s="5">
        <f t="shared" ref="J217:J221" si="77">IF(H$12=0,0,H217/H$12)</f>
        <v>5.983489314747078E-3</v>
      </c>
      <c r="K217" s="1"/>
      <c r="L217" s="1">
        <f t="shared" ref="L217:L221" si="78">+D217-H217</f>
        <v>-14229.43</v>
      </c>
      <c r="M217" s="1"/>
      <c r="N217" s="5">
        <f t="shared" ref="N217:N221" si="79">IF(H217=0,0,L217/H217)</f>
        <v>-0.7898656674993062</v>
      </c>
      <c r="O217" s="13"/>
      <c r="P217" s="1">
        <f>SUM(OSRRefP22_19x_0)</f>
        <v>8871.619999999999</v>
      </c>
      <c r="Q217" s="1"/>
      <c r="R217" s="5">
        <f t="shared" ref="R217:R221" si="80">IF(P$12=0,0,P217/P$12)</f>
        <v>2.7360538338812392E-3</v>
      </c>
      <c r="S217" s="1"/>
      <c r="T217" s="1">
        <f>SUM(OSRRefT22_19x_0)</f>
        <v>35033</v>
      </c>
      <c r="U217" s="1"/>
      <c r="V217" s="5">
        <f t="shared" ref="V217:V221" si="81">IF(T$12=0,0,T217/T$12)</f>
        <v>1.0133143728157804E-2</v>
      </c>
      <c r="W217" s="1"/>
      <c r="X217" s="1">
        <f t="shared" ref="X217:X221" si="82">+P217-T217</f>
        <v>-26161.38</v>
      </c>
      <c r="Y217" s="1"/>
      <c r="Z217" s="5">
        <f t="shared" ref="Z217:Z221" si="83">IF(T217=0,0,X217/T217)</f>
        <v>-0.74676390831501727</v>
      </c>
    </row>
    <row r="218" spans="1:26" s="24" customFormat="1" hidden="1" outlineLevel="2" x14ac:dyDescent="0.25">
      <c r="A218" s="27"/>
      <c r="B218" s="11" t="str">
        <f>CONCATENATE("          ", "6252", " - ", "ROYALTY DUE CSTV")</f>
        <v xml:space="preserve">          6252 - ROYALTY DUE CSTV</v>
      </c>
      <c r="C218" s="11"/>
      <c r="D218" s="6"/>
      <c r="E218" s="2"/>
      <c r="F218" s="7">
        <f t="shared" si="76"/>
        <v>0</v>
      </c>
      <c r="G218" s="2"/>
      <c r="H218" s="6">
        <v>1085</v>
      </c>
      <c r="I218" s="2"/>
      <c r="J218" s="7">
        <f t="shared" si="77"/>
        <v>3.6037112997505303E-4</v>
      </c>
      <c r="K218" s="2"/>
      <c r="L218" s="6">
        <f t="shared" si="78"/>
        <v>-1085</v>
      </c>
      <c r="M218" s="2"/>
      <c r="N218" s="7">
        <f t="shared" si="79"/>
        <v>-1</v>
      </c>
      <c r="O218" s="11"/>
      <c r="P218" s="6"/>
      <c r="Q218" s="2"/>
      <c r="R218" s="7">
        <f t="shared" si="80"/>
        <v>0</v>
      </c>
      <c r="S218" s="2"/>
      <c r="T218" s="6">
        <v>2170</v>
      </c>
      <c r="U218" s="2"/>
      <c r="V218" s="7">
        <f t="shared" si="81"/>
        <v>6.2766311449497425E-4</v>
      </c>
      <c r="W218" s="2"/>
      <c r="X218" s="6">
        <f t="shared" si="82"/>
        <v>-2170</v>
      </c>
      <c r="Y218" s="2"/>
      <c r="Z218" s="7">
        <f t="shared" si="83"/>
        <v>-1</v>
      </c>
    </row>
    <row r="219" spans="1:26" s="24" customFormat="1" hidden="1" outlineLevel="2" x14ac:dyDescent="0.25">
      <c r="A219" s="27"/>
      <c r="B219" s="11" t="str">
        <f>CONCATENATE("          ", "6253", " - ", "ROYALTY DUE ATHLETICS-LRG")</f>
        <v xml:space="preserve">          6253 - ROYALTY DUE ATHLETICS-LRG</v>
      </c>
      <c r="C219" s="11"/>
      <c r="D219" s="6"/>
      <c r="E219" s="2"/>
      <c r="F219" s="7">
        <f t="shared" si="76"/>
        <v>0</v>
      </c>
      <c r="G219" s="2"/>
      <c r="H219" s="6">
        <v>3700</v>
      </c>
      <c r="I219" s="2"/>
      <c r="J219" s="7">
        <f t="shared" si="77"/>
        <v>1.2289153741084757E-3</v>
      </c>
      <c r="K219" s="2"/>
      <c r="L219" s="6">
        <f t="shared" si="78"/>
        <v>-3700</v>
      </c>
      <c r="M219" s="2"/>
      <c r="N219" s="7">
        <f t="shared" si="79"/>
        <v>-1</v>
      </c>
      <c r="O219" s="11"/>
      <c r="P219" s="6">
        <v>4366.95</v>
      </c>
      <c r="Q219" s="2"/>
      <c r="R219" s="7">
        <f t="shared" si="80"/>
        <v>1.3467901341432205E-3</v>
      </c>
      <c r="S219" s="2"/>
      <c r="T219" s="6">
        <v>7400</v>
      </c>
      <c r="U219" s="2"/>
      <c r="V219" s="7">
        <f t="shared" si="81"/>
        <v>2.140417994130327E-3</v>
      </c>
      <c r="W219" s="2"/>
      <c r="X219" s="6">
        <f t="shared" si="82"/>
        <v>-3033.05</v>
      </c>
      <c r="Y219" s="2"/>
      <c r="Z219" s="7">
        <f t="shared" si="83"/>
        <v>-0.40987162162162166</v>
      </c>
    </row>
    <row r="220" spans="1:26" s="24" customFormat="1" hidden="1" outlineLevel="2" x14ac:dyDescent="0.25">
      <c r="A220" s="27"/>
      <c r="B220" s="11" t="str">
        <f>CONCATENATE("          ", "6254", " - ", "ROYALTY &amp; COMMISSIONS")</f>
        <v xml:space="preserve">          6254 - ROYALTY &amp; COMMISSIONS</v>
      </c>
      <c r="C220" s="11"/>
      <c r="D220" s="6">
        <v>136.4</v>
      </c>
      <c r="E220" s="2"/>
      <c r="F220" s="7">
        <f t="shared" si="76"/>
        <v>4.816853534863328E-5</v>
      </c>
      <c r="G220" s="2"/>
      <c r="H220" s="6">
        <v>11700</v>
      </c>
      <c r="I220" s="2"/>
      <c r="J220" s="7">
        <f t="shared" si="77"/>
        <v>3.88602969650518E-3</v>
      </c>
      <c r="K220" s="2"/>
      <c r="L220" s="6">
        <f t="shared" si="78"/>
        <v>-11563.6</v>
      </c>
      <c r="M220" s="2"/>
      <c r="N220" s="7">
        <f t="shared" si="79"/>
        <v>-0.98834188034188042</v>
      </c>
      <c r="O220" s="11"/>
      <c r="P220" s="6">
        <v>250.49</v>
      </c>
      <c r="Q220" s="2"/>
      <c r="R220" s="7">
        <f t="shared" si="80"/>
        <v>7.7252421186763145E-5</v>
      </c>
      <c r="S220" s="2"/>
      <c r="T220" s="6">
        <v>23400</v>
      </c>
      <c r="U220" s="2"/>
      <c r="V220" s="7">
        <f t="shared" si="81"/>
        <v>6.7683487922499527E-3</v>
      </c>
      <c r="W220" s="2"/>
      <c r="X220" s="6">
        <f t="shared" si="82"/>
        <v>-23149.51</v>
      </c>
      <c r="Y220" s="2"/>
      <c r="Z220" s="7">
        <f t="shared" si="83"/>
        <v>-0.98929529914529912</v>
      </c>
    </row>
    <row r="221" spans="1:26" s="24" customFormat="1" hidden="1" outlineLevel="2" x14ac:dyDescent="0.25">
      <c r="A221" s="27"/>
      <c r="B221" s="11" t="str">
        <f>CONCATENATE("          ", "6259", " - ", "ROYALTY &amp; COMMISSIONS")</f>
        <v xml:space="preserve">          6259 - ROYALTY &amp; COMMISSIONS</v>
      </c>
      <c r="C221" s="11"/>
      <c r="D221" s="6">
        <v>3649.17</v>
      </c>
      <c r="E221" s="2"/>
      <c r="F221" s="7">
        <f t="shared" si="76"/>
        <v>1.2886742972006752E-3</v>
      </c>
      <c r="G221" s="2"/>
      <c r="H221" s="6">
        <v>1530</v>
      </c>
      <c r="I221" s="2"/>
      <c r="J221" s="7">
        <f t="shared" si="77"/>
        <v>5.0817311415836972E-4</v>
      </c>
      <c r="K221" s="2"/>
      <c r="L221" s="6">
        <f t="shared" si="78"/>
        <v>2119.17</v>
      </c>
      <c r="M221" s="2"/>
      <c r="N221" s="7">
        <f t="shared" si="79"/>
        <v>1.385078431372549</v>
      </c>
      <c r="O221" s="11"/>
      <c r="P221" s="6">
        <v>4254.18</v>
      </c>
      <c r="Q221" s="2"/>
      <c r="R221" s="7">
        <f t="shared" si="80"/>
        <v>1.3120112785512559E-3</v>
      </c>
      <c r="S221" s="2"/>
      <c r="T221" s="6">
        <v>2063</v>
      </c>
      <c r="U221" s="2"/>
      <c r="V221" s="7">
        <f t="shared" si="81"/>
        <v>5.9671382728254923E-4</v>
      </c>
      <c r="W221" s="2"/>
      <c r="X221" s="6">
        <f t="shared" si="82"/>
        <v>2191.1800000000003</v>
      </c>
      <c r="Y221" s="2"/>
      <c r="Z221" s="7">
        <f t="shared" si="83"/>
        <v>1.0621328162869608</v>
      </c>
    </row>
    <row r="222" spans="1:26" s="26" customFormat="1" outlineLevel="1" collapsed="1" x14ac:dyDescent="0.25">
      <c r="A222" s="25"/>
      <c r="B222" s="13" t="str">
        <f>CONCATENATE("     ","Services                                          ")</f>
        <v xml:space="preserve">     Services                                          </v>
      </c>
      <c r="C222" s="13"/>
      <c r="D222" s="1">
        <f>SUM(OSRRefD22_20x_0)</f>
        <v>6677.17</v>
      </c>
      <c r="E222" s="1"/>
      <c r="F222" s="5">
        <f t="shared" ref="F222:F228" si="84">IF(D$12=0,0,D222/D$12)</f>
        <v>2.3579875305999535E-3</v>
      </c>
      <c r="G222" s="1"/>
      <c r="H222" s="1">
        <f>SUM(OSRRefH22_20x_0)</f>
        <v>5032.5</v>
      </c>
      <c r="I222" s="1"/>
      <c r="J222" s="5">
        <f t="shared" ref="J222:J228" si="85">IF(H$12=0,0,H222/H$12)</f>
        <v>1.6714909784326768E-3</v>
      </c>
      <c r="K222" s="1"/>
      <c r="L222" s="1">
        <f t="shared" ref="L222:L228" si="86">+D222-H222</f>
        <v>1644.67</v>
      </c>
      <c r="M222" s="1"/>
      <c r="N222" s="5">
        <f t="shared" ref="N222:N228" si="87">IF(H222=0,0,L222/H222)</f>
        <v>0.32680973671137609</v>
      </c>
      <c r="O222" s="13"/>
      <c r="P222" s="1">
        <f>SUM(OSRRefP22_20x_0)</f>
        <v>12758.689999999999</v>
      </c>
      <c r="Q222" s="1"/>
      <c r="R222" s="5">
        <f t="shared" ref="R222:R228" si="88">IF(P$12=0,0,P222/P$12)</f>
        <v>3.9348464755932094E-3</v>
      </c>
      <c r="S222" s="1"/>
      <c r="T222" s="1">
        <f>SUM(OSRRefT22_20x_0)</f>
        <v>9901</v>
      </c>
      <c r="U222" s="1"/>
      <c r="V222" s="5">
        <f t="shared" ref="V222:V228" si="89">IF(T$12=0,0,T222/T$12)</f>
        <v>2.863821427011401E-3</v>
      </c>
      <c r="W222" s="1"/>
      <c r="X222" s="1">
        <f t="shared" ref="X222:X228" si="90">+P222-T222</f>
        <v>2857.6899999999987</v>
      </c>
      <c r="Y222" s="1"/>
      <c r="Z222" s="5">
        <f t="shared" ref="Z222:Z228" si="91">IF(T222=0,0,X222/T222)</f>
        <v>0.28862640137359852</v>
      </c>
    </row>
    <row r="223" spans="1:26" s="24" customFormat="1" hidden="1" outlineLevel="2" x14ac:dyDescent="0.25">
      <c r="A223" s="27"/>
      <c r="B223" s="11" t="str">
        <f>CONCATENATE("          ", "6281", " - ", "STORAGE FEE")</f>
        <v xml:space="preserve">          6281 - STORAGE FEE</v>
      </c>
      <c r="C223" s="11"/>
      <c r="D223" s="6"/>
      <c r="E223" s="2"/>
      <c r="F223" s="7">
        <f t="shared" si="84"/>
        <v>0</v>
      </c>
      <c r="G223" s="2"/>
      <c r="H223" s="6"/>
      <c r="I223" s="2"/>
      <c r="J223" s="7">
        <f t="shared" si="85"/>
        <v>0</v>
      </c>
      <c r="K223" s="2"/>
      <c r="L223" s="6">
        <f t="shared" si="86"/>
        <v>0</v>
      </c>
      <c r="M223" s="2"/>
      <c r="N223" s="7">
        <f t="shared" si="87"/>
        <v>0</v>
      </c>
      <c r="O223" s="11"/>
      <c r="P223" s="6"/>
      <c r="Q223" s="2"/>
      <c r="R223" s="7">
        <f t="shared" si="88"/>
        <v>0</v>
      </c>
      <c r="S223" s="2"/>
      <c r="T223" s="6">
        <v>0</v>
      </c>
      <c r="U223" s="2"/>
      <c r="V223" s="7">
        <f t="shared" si="89"/>
        <v>0</v>
      </c>
      <c r="W223" s="2"/>
      <c r="X223" s="6">
        <f t="shared" si="90"/>
        <v>0</v>
      </c>
      <c r="Y223" s="2"/>
      <c r="Z223" s="7">
        <f t="shared" si="91"/>
        <v>0</v>
      </c>
    </row>
    <row r="224" spans="1:26" s="24" customFormat="1" hidden="1" outlineLevel="2" x14ac:dyDescent="0.25">
      <c r="A224" s="27"/>
      <c r="B224" s="11" t="str">
        <f>CONCATENATE("          ", "6282", " - ", "JANITORIAL/EXTERMINATOR EXPENS")</f>
        <v xml:space="preserve">          6282 - JANITORIAL/EXTERMINATOR EXPENS</v>
      </c>
      <c r="C224" s="11"/>
      <c r="D224" s="6">
        <v>1313.33</v>
      </c>
      <c r="E224" s="2"/>
      <c r="F224" s="7">
        <f t="shared" si="84"/>
        <v>4.6379166077287784E-4</v>
      </c>
      <c r="G224" s="2"/>
      <c r="H224" s="6">
        <v>353</v>
      </c>
      <c r="I224" s="2"/>
      <c r="J224" s="7">
        <f t="shared" si="85"/>
        <v>1.1724516947575458E-4</v>
      </c>
      <c r="K224" s="2"/>
      <c r="L224" s="6">
        <f t="shared" si="86"/>
        <v>960.32999999999993</v>
      </c>
      <c r="M224" s="2"/>
      <c r="N224" s="7">
        <f t="shared" si="87"/>
        <v>2.7204815864022662</v>
      </c>
      <c r="O224" s="11"/>
      <c r="P224" s="6">
        <v>2181.92</v>
      </c>
      <c r="Q224" s="2"/>
      <c r="R224" s="7">
        <f t="shared" si="88"/>
        <v>6.7291549696922928E-4</v>
      </c>
      <c r="S224" s="2"/>
      <c r="T224" s="6">
        <v>608</v>
      </c>
      <c r="U224" s="2"/>
      <c r="V224" s="7">
        <f t="shared" si="89"/>
        <v>1.758613703285458E-4</v>
      </c>
      <c r="W224" s="2"/>
      <c r="X224" s="6">
        <f t="shared" si="90"/>
        <v>1573.92</v>
      </c>
      <c r="Y224" s="2"/>
      <c r="Z224" s="7">
        <f t="shared" si="91"/>
        <v>2.5886842105263157</v>
      </c>
    </row>
    <row r="225" spans="1:26" s="24" customFormat="1" hidden="1" outlineLevel="2" x14ac:dyDescent="0.25">
      <c r="A225" s="27"/>
      <c r="B225" s="11" t="str">
        <f>CONCATENATE("          ", "6283", " - ", "PLANT SERVICE")</f>
        <v xml:space="preserve">          6283 - PLANT SERVICE</v>
      </c>
      <c r="C225" s="11"/>
      <c r="D225" s="6">
        <v>180.66</v>
      </c>
      <c r="E225" s="2"/>
      <c r="F225" s="7">
        <f t="shared" si="84"/>
        <v>6.3798589414106215E-5</v>
      </c>
      <c r="G225" s="2"/>
      <c r="H225" s="6">
        <v>60</v>
      </c>
      <c r="I225" s="2"/>
      <c r="J225" s="7">
        <f t="shared" si="85"/>
        <v>1.9928357417975282E-5</v>
      </c>
      <c r="K225" s="2"/>
      <c r="L225" s="6">
        <f t="shared" si="86"/>
        <v>120.66</v>
      </c>
      <c r="M225" s="2"/>
      <c r="N225" s="7">
        <f t="shared" si="87"/>
        <v>2.0110000000000001</v>
      </c>
      <c r="O225" s="11"/>
      <c r="P225" s="6">
        <v>361.32</v>
      </c>
      <c r="Q225" s="2"/>
      <c r="R225" s="7">
        <f t="shared" si="88"/>
        <v>1.1143297067029127E-4</v>
      </c>
      <c r="S225" s="2"/>
      <c r="T225" s="6">
        <v>120</v>
      </c>
      <c r="U225" s="2"/>
      <c r="V225" s="7">
        <f t="shared" si="89"/>
        <v>3.4709480985897198E-5</v>
      </c>
      <c r="W225" s="2"/>
      <c r="X225" s="6">
        <f t="shared" si="90"/>
        <v>241.32</v>
      </c>
      <c r="Y225" s="2"/>
      <c r="Z225" s="7">
        <f t="shared" si="91"/>
        <v>2.0110000000000001</v>
      </c>
    </row>
    <row r="226" spans="1:26" s="24" customFormat="1" hidden="1" outlineLevel="2" x14ac:dyDescent="0.25">
      <c r="A226" s="27"/>
      <c r="B226" s="11" t="str">
        <f>CONCATENATE("          ", "6284", " - ", "TRASH REMOVAL EXPENSE")</f>
        <v xml:space="preserve">          6284 - TRASH REMOVAL EXPENSE</v>
      </c>
      <c r="C226" s="11"/>
      <c r="D226" s="6">
        <v>134.82</v>
      </c>
      <c r="E226" s="2"/>
      <c r="F226" s="7">
        <f t="shared" si="84"/>
        <v>4.7610571376119778E-5</v>
      </c>
      <c r="G226" s="2"/>
      <c r="H226" s="6">
        <v>212.5</v>
      </c>
      <c r="I226" s="2"/>
      <c r="J226" s="7">
        <f t="shared" si="85"/>
        <v>7.0579599188662449E-5</v>
      </c>
      <c r="K226" s="2"/>
      <c r="L226" s="6">
        <f t="shared" si="86"/>
        <v>-77.680000000000007</v>
      </c>
      <c r="M226" s="2"/>
      <c r="N226" s="7">
        <f t="shared" si="87"/>
        <v>-0.36555294117647064</v>
      </c>
      <c r="O226" s="11"/>
      <c r="P226" s="6">
        <v>506.64</v>
      </c>
      <c r="Q226" s="2"/>
      <c r="R226" s="7">
        <f t="shared" si="88"/>
        <v>1.5625041586515102E-4</v>
      </c>
      <c r="S226" s="2"/>
      <c r="T226" s="6">
        <v>425</v>
      </c>
      <c r="U226" s="2"/>
      <c r="V226" s="7">
        <f t="shared" si="89"/>
        <v>1.2292941182505258E-4</v>
      </c>
      <c r="W226" s="2"/>
      <c r="X226" s="6">
        <f t="shared" si="90"/>
        <v>81.639999999999986</v>
      </c>
      <c r="Y226" s="2"/>
      <c r="Z226" s="7">
        <f t="shared" si="91"/>
        <v>0.1920941176470588</v>
      </c>
    </row>
    <row r="227" spans="1:26" s="24" customFormat="1" hidden="1" outlineLevel="2" x14ac:dyDescent="0.25">
      <c r="A227" s="27"/>
      <c r="B227" s="11" t="str">
        <f>CONCATENATE("          ", "6285", " - ", "JANITORIAL SERVICES")</f>
        <v xml:space="preserve">          6285 - JANITORIAL SERVICES</v>
      </c>
      <c r="C227" s="11"/>
      <c r="D227" s="6">
        <v>4219.84</v>
      </c>
      <c r="E227" s="2"/>
      <c r="F227" s="7">
        <f t="shared" si="84"/>
        <v>1.4902017023869256E-3</v>
      </c>
      <c r="G227" s="2"/>
      <c r="H227" s="6">
        <v>4362</v>
      </c>
      <c r="I227" s="2"/>
      <c r="J227" s="7">
        <f t="shared" si="85"/>
        <v>1.448791584286803E-3</v>
      </c>
      <c r="K227" s="2"/>
      <c r="L227" s="6">
        <f t="shared" si="86"/>
        <v>-142.15999999999985</v>
      </c>
      <c r="M227" s="2"/>
      <c r="N227" s="7">
        <f t="shared" si="87"/>
        <v>-3.2590554791380066E-2</v>
      </c>
      <c r="O227" s="11"/>
      <c r="P227" s="6">
        <v>8289.56</v>
      </c>
      <c r="Q227" s="2"/>
      <c r="R227" s="7">
        <f t="shared" si="88"/>
        <v>2.5565434970375835E-3</v>
      </c>
      <c r="S227" s="2"/>
      <c r="T227" s="6">
        <v>8658</v>
      </c>
      <c r="U227" s="2"/>
      <c r="V227" s="7">
        <f t="shared" si="89"/>
        <v>2.5042890531324826E-3</v>
      </c>
      <c r="W227" s="2"/>
      <c r="X227" s="6">
        <f t="shared" si="90"/>
        <v>-368.44000000000051</v>
      </c>
      <c r="Y227" s="2"/>
      <c r="Z227" s="7">
        <f t="shared" si="91"/>
        <v>-4.2554862554862613E-2</v>
      </c>
    </row>
    <row r="228" spans="1:26" s="24" customFormat="1" hidden="1" outlineLevel="2" x14ac:dyDescent="0.25">
      <c r="A228" s="27"/>
      <c r="B228" s="11" t="str">
        <f>CONCATENATE("          ", "6286", " - ", "LAUNDRY EXPENSE")</f>
        <v xml:space="preserve">          6286 - LAUNDRY EXPENSE</v>
      </c>
      <c r="C228" s="11"/>
      <c r="D228" s="6">
        <v>828.52</v>
      </c>
      <c r="E228" s="2"/>
      <c r="F228" s="7">
        <f t="shared" si="84"/>
        <v>2.9258500664992404E-4</v>
      </c>
      <c r="G228" s="2"/>
      <c r="H228" s="6">
        <v>45</v>
      </c>
      <c r="I228" s="2"/>
      <c r="J228" s="7">
        <f t="shared" si="85"/>
        <v>1.4946268063481461E-5</v>
      </c>
      <c r="K228" s="2"/>
      <c r="L228" s="6">
        <f t="shared" si="86"/>
        <v>783.52</v>
      </c>
      <c r="M228" s="2"/>
      <c r="N228" s="7">
        <f t="shared" si="87"/>
        <v>17.411555555555555</v>
      </c>
      <c r="O228" s="11"/>
      <c r="P228" s="6">
        <v>1419.25</v>
      </c>
      <c r="Q228" s="2"/>
      <c r="R228" s="7">
        <f t="shared" si="88"/>
        <v>4.3770409505095454E-4</v>
      </c>
      <c r="S228" s="2"/>
      <c r="T228" s="6">
        <v>90</v>
      </c>
      <c r="U228" s="2"/>
      <c r="V228" s="7">
        <f t="shared" si="89"/>
        <v>2.6032110739422895E-5</v>
      </c>
      <c r="W228" s="2"/>
      <c r="X228" s="6">
        <f t="shared" si="90"/>
        <v>1329.25</v>
      </c>
      <c r="Y228" s="2"/>
      <c r="Z228" s="7">
        <f t="shared" si="91"/>
        <v>14.769444444444444</v>
      </c>
    </row>
    <row r="229" spans="1:26" s="26" customFormat="1" outlineLevel="1" collapsed="1" x14ac:dyDescent="0.25">
      <c r="A229" s="25"/>
      <c r="B229" s="13" t="str">
        <f>CONCATENATE("     ","Subscriptions &amp; Dues                              ")</f>
        <v xml:space="preserve">     Subscriptions &amp; Dues                              </v>
      </c>
      <c r="C229" s="13"/>
      <c r="D229" s="1">
        <f>SUM(OSRRefD22_21x_0)</f>
        <v>706.38</v>
      </c>
      <c r="E229" s="1"/>
      <c r="F229" s="5">
        <f t="shared" ref="F229:F231" si="92">IF(D$12=0,0,D229/D$12)</f>
        <v>2.4945227272410247E-4</v>
      </c>
      <c r="G229" s="1"/>
      <c r="H229" s="1">
        <f>SUM(OSRRefH22_21x_0)</f>
        <v>1195</v>
      </c>
      <c r="I229" s="1"/>
      <c r="J229" s="5">
        <f t="shared" ref="J229:J231" si="93">IF(H$12=0,0,H229/H$12)</f>
        <v>3.9690645190800769E-4</v>
      </c>
      <c r="K229" s="1"/>
      <c r="L229" s="1">
        <f t="shared" ref="L229:L231" si="94">+D229-H229</f>
        <v>-488.62</v>
      </c>
      <c r="M229" s="1"/>
      <c r="N229" s="5">
        <f t="shared" ref="N229:N231" si="95">IF(H229=0,0,L229/H229)</f>
        <v>-0.40888702928870291</v>
      </c>
      <c r="O229" s="13"/>
      <c r="P229" s="1">
        <f>SUM(OSRRefP22_21x_0)</f>
        <v>1345.03</v>
      </c>
      <c r="Q229" s="1"/>
      <c r="R229" s="5">
        <f t="shared" ref="R229:R231" si="96">IF(P$12=0,0,P229/P$12)</f>
        <v>4.1481426032509097E-4</v>
      </c>
      <c r="S229" s="1"/>
      <c r="T229" s="1">
        <f>SUM(OSRRefT22_21x_0)</f>
        <v>4060</v>
      </c>
      <c r="U229" s="1"/>
      <c r="V229" s="5">
        <f t="shared" ref="V229:V231" si="97">IF(T$12=0,0,T229/T$12)</f>
        <v>1.1743374400228551E-3</v>
      </c>
      <c r="W229" s="1"/>
      <c r="X229" s="1">
        <f t="shared" ref="X229:X231" si="98">+P229-T229</f>
        <v>-2714.9700000000003</v>
      </c>
      <c r="Y229" s="1"/>
      <c r="Z229" s="5">
        <f t="shared" ref="Z229:Z231" si="99">IF(T229=0,0,X229/T229)</f>
        <v>-0.66871182266009854</v>
      </c>
    </row>
    <row r="230" spans="1:26" s="24" customFormat="1" hidden="1" outlineLevel="2" x14ac:dyDescent="0.25">
      <c r="A230" s="27"/>
      <c r="B230" s="11" t="str">
        <f>CONCATENATE("          ", "6258", " - ", "MEMBERSHIP DUES")</f>
        <v xml:space="preserve">          6258 - MEMBERSHIP DUES</v>
      </c>
      <c r="C230" s="11"/>
      <c r="D230" s="6">
        <v>370</v>
      </c>
      <c r="E230" s="2"/>
      <c r="F230" s="7">
        <f t="shared" si="92"/>
        <v>1.306624492594891E-4</v>
      </c>
      <c r="G230" s="2"/>
      <c r="H230" s="6">
        <v>500</v>
      </c>
      <c r="I230" s="2"/>
      <c r="J230" s="7">
        <f t="shared" si="93"/>
        <v>1.6606964514979402E-4</v>
      </c>
      <c r="K230" s="2"/>
      <c r="L230" s="6">
        <f t="shared" si="94"/>
        <v>-130</v>
      </c>
      <c r="M230" s="2"/>
      <c r="N230" s="7">
        <f t="shared" si="95"/>
        <v>-0.26</v>
      </c>
      <c r="O230" s="11"/>
      <c r="P230" s="6">
        <v>658.85</v>
      </c>
      <c r="Q230" s="2"/>
      <c r="R230" s="7">
        <f t="shared" si="96"/>
        <v>2.0319277296059285E-4</v>
      </c>
      <c r="S230" s="2"/>
      <c r="T230" s="6">
        <v>2395</v>
      </c>
      <c r="U230" s="2"/>
      <c r="V230" s="7">
        <f t="shared" si="97"/>
        <v>6.9274339134353148E-4</v>
      </c>
      <c r="W230" s="2"/>
      <c r="X230" s="6">
        <f t="shared" si="98"/>
        <v>-1736.15</v>
      </c>
      <c r="Y230" s="2"/>
      <c r="Z230" s="7">
        <f t="shared" si="99"/>
        <v>-0.72490605427974952</v>
      </c>
    </row>
    <row r="231" spans="1:26" s="24" customFormat="1" hidden="1" outlineLevel="2" x14ac:dyDescent="0.25">
      <c r="A231" s="27"/>
      <c r="B231" s="11" t="str">
        <f>CONCATENATE("          ", "6275", " - ", "SUBSCRIPTIONS")</f>
        <v xml:space="preserve">          6275 - SUBSCRIPTIONS</v>
      </c>
      <c r="C231" s="11"/>
      <c r="D231" s="6">
        <v>336.38</v>
      </c>
      <c r="E231" s="2"/>
      <c r="F231" s="7">
        <f t="shared" si="92"/>
        <v>1.1878982346461336E-4</v>
      </c>
      <c r="G231" s="2"/>
      <c r="H231" s="6">
        <v>695</v>
      </c>
      <c r="I231" s="2"/>
      <c r="J231" s="7">
        <f t="shared" si="93"/>
        <v>2.3083680675821367E-4</v>
      </c>
      <c r="K231" s="2"/>
      <c r="L231" s="6">
        <f t="shared" si="94"/>
        <v>-358.62</v>
      </c>
      <c r="M231" s="2"/>
      <c r="N231" s="7">
        <f t="shared" si="95"/>
        <v>-0.51600000000000001</v>
      </c>
      <c r="O231" s="11"/>
      <c r="P231" s="6">
        <v>686.18</v>
      </c>
      <c r="Q231" s="2"/>
      <c r="R231" s="7">
        <f t="shared" si="96"/>
        <v>2.1162148736449812E-4</v>
      </c>
      <c r="S231" s="2"/>
      <c r="T231" s="6">
        <v>1665</v>
      </c>
      <c r="U231" s="2"/>
      <c r="V231" s="7">
        <f t="shared" si="97"/>
        <v>4.815940486793236E-4</v>
      </c>
      <c r="W231" s="2"/>
      <c r="X231" s="6">
        <f t="shared" si="98"/>
        <v>-978.82</v>
      </c>
      <c r="Y231" s="2"/>
      <c r="Z231" s="7">
        <f t="shared" si="99"/>
        <v>-0.58787987987987989</v>
      </c>
    </row>
    <row r="232" spans="1:26" s="26" customFormat="1" outlineLevel="1" collapsed="1" x14ac:dyDescent="0.25">
      <c r="A232" s="25"/>
      <c r="B232" s="13" t="str">
        <f>CONCATENATE("     ","Supplies                                          ")</f>
        <v xml:space="preserve">     Supplies                                          </v>
      </c>
      <c r="C232" s="13"/>
      <c r="D232" s="1">
        <f>SUM(OSRRefD22_22x_0)</f>
        <v>15654.390000000003</v>
      </c>
      <c r="E232" s="1"/>
      <c r="F232" s="5">
        <f t="shared" ref="F232:F240" si="100">IF(D$12=0,0,D232/D$12)</f>
        <v>5.5282187542250102E-3</v>
      </c>
      <c r="G232" s="1"/>
      <c r="H232" s="1">
        <f>SUM(OSRRefH22_22x_0)</f>
        <v>17954</v>
      </c>
      <c r="I232" s="1"/>
      <c r="J232" s="5">
        <f t="shared" ref="J232:J240" si="101">IF(H$12=0,0,H232/H$12)</f>
        <v>5.9632288180388035E-3</v>
      </c>
      <c r="K232" s="1"/>
      <c r="L232" s="1">
        <f t="shared" ref="L232:L240" si="102">+D232-H232</f>
        <v>-2299.6099999999969</v>
      </c>
      <c r="M232" s="1"/>
      <c r="N232" s="5">
        <f t="shared" ref="N232:N240" si="103">IF(H232=0,0,L232/H232)</f>
        <v>-0.12808343544613995</v>
      </c>
      <c r="O232" s="13"/>
      <c r="P232" s="1">
        <f>SUM(OSRRefP22_22x_0)</f>
        <v>30002.07</v>
      </c>
      <c r="Q232" s="1"/>
      <c r="R232" s="5">
        <f t="shared" ref="R232:R240" si="104">IF(P$12=0,0,P232/P$12)</f>
        <v>9.2527947148179617E-3</v>
      </c>
      <c r="S232" s="1"/>
      <c r="T232" s="1">
        <f>SUM(OSRRefT22_22x_0)</f>
        <v>33924</v>
      </c>
      <c r="U232" s="1"/>
      <c r="V232" s="5">
        <f t="shared" ref="V232:V240" si="105">IF(T$12=0,0,T232/T$12)</f>
        <v>9.8123702747131367E-3</v>
      </c>
      <c r="W232" s="1"/>
      <c r="X232" s="1">
        <f t="shared" ref="X232:X240" si="106">+P232-T232</f>
        <v>-3921.9300000000003</v>
      </c>
      <c r="Y232" s="1"/>
      <c r="Z232" s="5">
        <f t="shared" ref="Z232:Z240" si="107">IF(T232=0,0,X232/T232)</f>
        <v>-0.11560930314821366</v>
      </c>
    </row>
    <row r="233" spans="1:26" s="24" customFormat="1" hidden="1" outlineLevel="2" x14ac:dyDescent="0.25">
      <c r="A233" s="27"/>
      <c r="B233" s="11" t="str">
        <f>CONCATENATE("          ", "6234", " - ", "EXPENDABLE SUPPLIES &amp; EQUIPMEN")</f>
        <v xml:space="preserve">          6234 - EXPENDABLE SUPPLIES &amp; EQUIPMEN</v>
      </c>
      <c r="C233" s="11"/>
      <c r="D233" s="6">
        <v>2078.2600000000002</v>
      </c>
      <c r="E233" s="2"/>
      <c r="F233" s="7">
        <f t="shared" si="100"/>
        <v>7.3392038323790766E-4</v>
      </c>
      <c r="G233" s="2"/>
      <c r="H233" s="6">
        <v>300</v>
      </c>
      <c r="I233" s="2"/>
      <c r="J233" s="7">
        <f t="shared" si="101"/>
        <v>9.9641787089876406E-5</v>
      </c>
      <c r="K233" s="2"/>
      <c r="L233" s="6">
        <f t="shared" si="102"/>
        <v>1778.2600000000002</v>
      </c>
      <c r="M233" s="2"/>
      <c r="N233" s="7">
        <f t="shared" si="103"/>
        <v>5.9275333333333338</v>
      </c>
      <c r="O233" s="11"/>
      <c r="P233" s="6">
        <v>2780.34</v>
      </c>
      <c r="Q233" s="2"/>
      <c r="R233" s="7">
        <f t="shared" si="104"/>
        <v>8.5747134305722808E-4</v>
      </c>
      <c r="S233" s="2"/>
      <c r="T233" s="6">
        <v>4600</v>
      </c>
      <c r="U233" s="2"/>
      <c r="V233" s="7">
        <f t="shared" si="105"/>
        <v>1.3305301044593924E-3</v>
      </c>
      <c r="W233" s="2"/>
      <c r="X233" s="6">
        <f t="shared" si="106"/>
        <v>-1819.6599999999999</v>
      </c>
      <c r="Y233" s="2"/>
      <c r="Z233" s="7">
        <f t="shared" si="107"/>
        <v>-0.39557826086956521</v>
      </c>
    </row>
    <row r="234" spans="1:26" s="24" customFormat="1" hidden="1" outlineLevel="2" x14ac:dyDescent="0.25">
      <c r="A234" s="27"/>
      <c r="B234" s="11" t="str">
        <f>CONCATENATE("          ", "6237", " - ", "JANITORIAL SUPPLIES")</f>
        <v xml:space="preserve">          6237 - JANITORIAL SUPPLIES</v>
      </c>
      <c r="C234" s="11"/>
      <c r="D234" s="6">
        <v>963.19</v>
      </c>
      <c r="E234" s="2"/>
      <c r="F234" s="7">
        <f t="shared" si="100"/>
        <v>3.4014260676283056E-4</v>
      </c>
      <c r="G234" s="2"/>
      <c r="H234" s="6">
        <v>135</v>
      </c>
      <c r="I234" s="2"/>
      <c r="J234" s="7">
        <f t="shared" si="101"/>
        <v>4.483880419044438E-5</v>
      </c>
      <c r="K234" s="2"/>
      <c r="L234" s="6">
        <f t="shared" si="102"/>
        <v>828.19</v>
      </c>
      <c r="M234" s="2"/>
      <c r="N234" s="7">
        <f t="shared" si="103"/>
        <v>6.1347407407407415</v>
      </c>
      <c r="O234" s="11"/>
      <c r="P234" s="6">
        <v>1789.34</v>
      </c>
      <c r="Q234" s="2"/>
      <c r="R234" s="7">
        <f t="shared" si="104"/>
        <v>5.518417794176325E-4</v>
      </c>
      <c r="S234" s="2"/>
      <c r="T234" s="6">
        <v>470</v>
      </c>
      <c r="U234" s="2"/>
      <c r="V234" s="7">
        <f t="shared" si="105"/>
        <v>1.3594546719476402E-4</v>
      </c>
      <c r="W234" s="2"/>
      <c r="X234" s="6">
        <f t="shared" si="106"/>
        <v>1319.34</v>
      </c>
      <c r="Y234" s="2"/>
      <c r="Z234" s="7">
        <f t="shared" si="107"/>
        <v>2.8071063829787231</v>
      </c>
    </row>
    <row r="235" spans="1:26" s="24" customFormat="1" hidden="1" outlineLevel="2" x14ac:dyDescent="0.25">
      <c r="A235" s="27"/>
      <c r="B235" s="11" t="str">
        <f>CONCATENATE("          ", "6241", " - ", "OFFICE EXPENSE")</f>
        <v xml:space="preserve">          6241 - OFFICE EXPENSE</v>
      </c>
      <c r="C235" s="11"/>
      <c r="D235" s="6">
        <v>5076.67</v>
      </c>
      <c r="E235" s="2"/>
      <c r="F235" s="7">
        <f t="shared" si="100"/>
        <v>1.7927841521139744E-3</v>
      </c>
      <c r="G235" s="2"/>
      <c r="H235" s="6">
        <v>920</v>
      </c>
      <c r="I235" s="2"/>
      <c r="J235" s="7">
        <f t="shared" si="101"/>
        <v>3.0556814707562098E-4</v>
      </c>
      <c r="K235" s="2"/>
      <c r="L235" s="6">
        <f t="shared" si="102"/>
        <v>4156.67</v>
      </c>
      <c r="M235" s="2"/>
      <c r="N235" s="7">
        <f t="shared" si="103"/>
        <v>4.5181195652173916</v>
      </c>
      <c r="O235" s="11"/>
      <c r="P235" s="6">
        <v>7748.08</v>
      </c>
      <c r="Q235" s="2"/>
      <c r="R235" s="7">
        <f t="shared" si="104"/>
        <v>2.3895482436374141E-3</v>
      </c>
      <c r="S235" s="2"/>
      <c r="T235" s="6">
        <v>2145</v>
      </c>
      <c r="U235" s="2"/>
      <c r="V235" s="7">
        <f t="shared" si="105"/>
        <v>6.204319726229124E-4</v>
      </c>
      <c r="W235" s="2"/>
      <c r="X235" s="6">
        <f t="shared" si="106"/>
        <v>5603.08</v>
      </c>
      <c r="Y235" s="2"/>
      <c r="Z235" s="7">
        <f t="shared" si="107"/>
        <v>2.6121585081585081</v>
      </c>
    </row>
    <row r="236" spans="1:26" s="24" customFormat="1" hidden="1" outlineLevel="2" x14ac:dyDescent="0.25">
      <c r="A236" s="27"/>
      <c r="B236" s="11" t="str">
        <f>CONCATENATE("          ", "6243", " - ", "PAPER SUPPLIES")</f>
        <v xml:space="preserve">          6243 - PAPER SUPPLIES</v>
      </c>
      <c r="C236" s="11"/>
      <c r="D236" s="6">
        <v>2098.62</v>
      </c>
      <c r="E236" s="2"/>
      <c r="F236" s="7">
        <f t="shared" si="100"/>
        <v>7.4111034936472705E-4</v>
      </c>
      <c r="G236" s="2"/>
      <c r="H236" s="6">
        <v>750</v>
      </c>
      <c r="I236" s="2"/>
      <c r="J236" s="7">
        <f t="shared" si="101"/>
        <v>2.49104467724691E-4</v>
      </c>
      <c r="K236" s="2"/>
      <c r="L236" s="6">
        <f t="shared" si="102"/>
        <v>1348.62</v>
      </c>
      <c r="M236" s="2"/>
      <c r="N236" s="7">
        <f t="shared" si="103"/>
        <v>1.7981599999999998</v>
      </c>
      <c r="O236" s="11"/>
      <c r="P236" s="6">
        <v>3259.96</v>
      </c>
      <c r="Q236" s="2"/>
      <c r="R236" s="7">
        <f t="shared" si="104"/>
        <v>1.0053886501337395E-3</v>
      </c>
      <c r="S236" s="2"/>
      <c r="T236" s="6">
        <v>1000</v>
      </c>
      <c r="U236" s="2"/>
      <c r="V236" s="7">
        <f t="shared" si="105"/>
        <v>2.892456748824766E-4</v>
      </c>
      <c r="W236" s="2"/>
      <c r="X236" s="6">
        <f t="shared" si="106"/>
        <v>2259.96</v>
      </c>
      <c r="Y236" s="2"/>
      <c r="Z236" s="7">
        <f t="shared" si="107"/>
        <v>2.25996</v>
      </c>
    </row>
    <row r="237" spans="1:26" s="24" customFormat="1" hidden="1" outlineLevel="2" x14ac:dyDescent="0.25">
      <c r="A237" s="27"/>
      <c r="B237" s="11" t="str">
        <f>CONCATENATE("          ", "6244", " - ", "SAFETY SUPPLY EXPENSE")</f>
        <v xml:space="preserve">          6244 - SAFETY SUPPLY EXPENSE</v>
      </c>
      <c r="C237" s="11"/>
      <c r="D237" s="6"/>
      <c r="E237" s="2"/>
      <c r="F237" s="7">
        <f t="shared" si="100"/>
        <v>0</v>
      </c>
      <c r="G237" s="2"/>
      <c r="H237" s="6"/>
      <c r="I237" s="2"/>
      <c r="J237" s="7">
        <f t="shared" si="101"/>
        <v>0</v>
      </c>
      <c r="K237" s="2"/>
      <c r="L237" s="6">
        <f t="shared" si="102"/>
        <v>0</v>
      </c>
      <c r="M237" s="2"/>
      <c r="N237" s="7">
        <f t="shared" si="103"/>
        <v>0</v>
      </c>
      <c r="O237" s="11"/>
      <c r="P237" s="6"/>
      <c r="Q237" s="2"/>
      <c r="R237" s="7">
        <f t="shared" si="104"/>
        <v>0</v>
      </c>
      <c r="S237" s="2"/>
      <c r="T237" s="6">
        <v>30</v>
      </c>
      <c r="U237" s="2"/>
      <c r="V237" s="7">
        <f t="shared" si="105"/>
        <v>8.6773702464742995E-6</v>
      </c>
      <c r="W237" s="2"/>
      <c r="X237" s="6">
        <f t="shared" si="106"/>
        <v>-30</v>
      </c>
      <c r="Y237" s="2"/>
      <c r="Z237" s="7">
        <f t="shared" si="107"/>
        <v>-1</v>
      </c>
    </row>
    <row r="238" spans="1:26" s="24" customFormat="1" hidden="1" outlineLevel="2" x14ac:dyDescent="0.25">
      <c r="A238" s="27"/>
      <c r="B238" s="11" t="str">
        <f>CONCATENATE("          ", "6245", " - ", "PRINTING")</f>
        <v xml:space="preserve">          6245 - PRINTING</v>
      </c>
      <c r="C238" s="11"/>
      <c r="D238" s="6">
        <v>4985.1099999999997</v>
      </c>
      <c r="E238" s="2"/>
      <c r="F238" s="7">
        <f t="shared" si="100"/>
        <v>1.760450493048572E-3</v>
      </c>
      <c r="G238" s="2"/>
      <c r="H238" s="6">
        <v>500</v>
      </c>
      <c r="I238" s="2"/>
      <c r="J238" s="7">
        <f t="shared" si="101"/>
        <v>1.6606964514979402E-4</v>
      </c>
      <c r="K238" s="2"/>
      <c r="L238" s="6">
        <f t="shared" si="102"/>
        <v>4485.1099999999997</v>
      </c>
      <c r="M238" s="2"/>
      <c r="N238" s="7">
        <f t="shared" si="103"/>
        <v>8.9702199999999994</v>
      </c>
      <c r="O238" s="11"/>
      <c r="P238" s="6">
        <v>4985.1099999999997</v>
      </c>
      <c r="Q238" s="2"/>
      <c r="R238" s="7">
        <f t="shared" si="104"/>
        <v>1.5374338990871684E-3</v>
      </c>
      <c r="S238" s="2"/>
      <c r="T238" s="6">
        <v>600</v>
      </c>
      <c r="U238" s="2"/>
      <c r="V238" s="7">
        <f t="shared" si="105"/>
        <v>1.7354740492948596E-4</v>
      </c>
      <c r="W238" s="2"/>
      <c r="X238" s="6">
        <f t="shared" si="106"/>
        <v>4385.1099999999997</v>
      </c>
      <c r="Y238" s="2"/>
      <c r="Z238" s="7">
        <f t="shared" si="107"/>
        <v>7.3085166666666659</v>
      </c>
    </row>
    <row r="239" spans="1:26" s="24" customFormat="1" hidden="1" outlineLevel="2" x14ac:dyDescent="0.25">
      <c r="A239" s="27"/>
      <c r="B239" s="11" t="str">
        <f>CONCATENATE("          ", "6247", " - ", "STORE SUPPLIES")</f>
        <v xml:space="preserve">          6247 - STORE SUPPLIES</v>
      </c>
      <c r="C239" s="11"/>
      <c r="D239" s="6">
        <v>452.54</v>
      </c>
      <c r="E239" s="2"/>
      <c r="F239" s="7">
        <f t="shared" si="100"/>
        <v>1.5981076969699785E-4</v>
      </c>
      <c r="G239" s="2"/>
      <c r="H239" s="6">
        <v>14349</v>
      </c>
      <c r="I239" s="2"/>
      <c r="J239" s="7">
        <f t="shared" si="101"/>
        <v>4.7658666765087888E-3</v>
      </c>
      <c r="K239" s="2"/>
      <c r="L239" s="6">
        <f t="shared" si="102"/>
        <v>-13896.46</v>
      </c>
      <c r="M239" s="2"/>
      <c r="N239" s="7">
        <f t="shared" si="103"/>
        <v>-0.96846191372221058</v>
      </c>
      <c r="O239" s="11"/>
      <c r="P239" s="6">
        <v>9439.24</v>
      </c>
      <c r="Q239" s="2"/>
      <c r="R239" s="7">
        <f t="shared" si="104"/>
        <v>2.9111107994847785E-3</v>
      </c>
      <c r="S239" s="2"/>
      <c r="T239" s="6">
        <v>22779</v>
      </c>
      <c r="U239" s="2"/>
      <c r="V239" s="7">
        <f t="shared" si="105"/>
        <v>6.5887272281479354E-3</v>
      </c>
      <c r="W239" s="2"/>
      <c r="X239" s="6">
        <f t="shared" si="106"/>
        <v>-13339.76</v>
      </c>
      <c r="Y239" s="2"/>
      <c r="Z239" s="7">
        <f t="shared" si="107"/>
        <v>-0.58561657667149569</v>
      </c>
    </row>
    <row r="240" spans="1:26" s="24" customFormat="1" hidden="1" outlineLevel="2" x14ac:dyDescent="0.25">
      <c r="A240" s="27"/>
      <c r="B240" s="11" t="str">
        <f>CONCATENATE("          ", "6248", " - ", "UNIFORMS")</f>
        <v xml:space="preserve">          6248 - UNIFORMS</v>
      </c>
      <c r="C240" s="11"/>
      <c r="D240" s="6"/>
      <c r="E240" s="2"/>
      <c r="F240" s="7">
        <f t="shared" si="100"/>
        <v>0</v>
      </c>
      <c r="G240" s="2"/>
      <c r="H240" s="6">
        <v>1000</v>
      </c>
      <c r="I240" s="2"/>
      <c r="J240" s="7">
        <f t="shared" si="101"/>
        <v>3.3213929029958804E-4</v>
      </c>
      <c r="K240" s="2"/>
      <c r="L240" s="6">
        <f t="shared" si="102"/>
        <v>-1000</v>
      </c>
      <c r="M240" s="2"/>
      <c r="N240" s="7">
        <f t="shared" si="103"/>
        <v>-1</v>
      </c>
      <c r="O240" s="11"/>
      <c r="P240" s="6"/>
      <c r="Q240" s="2"/>
      <c r="R240" s="7">
        <f t="shared" si="104"/>
        <v>0</v>
      </c>
      <c r="S240" s="2"/>
      <c r="T240" s="6">
        <v>2300</v>
      </c>
      <c r="U240" s="2"/>
      <c r="V240" s="7">
        <f t="shared" si="105"/>
        <v>6.6526505222969622E-4</v>
      </c>
      <c r="W240" s="2"/>
      <c r="X240" s="6">
        <f t="shared" si="106"/>
        <v>-2300</v>
      </c>
      <c r="Y240" s="2"/>
      <c r="Z240" s="7">
        <f t="shared" si="107"/>
        <v>-1</v>
      </c>
    </row>
    <row r="241" spans="1:26" s="26" customFormat="1" outlineLevel="1" collapsed="1" x14ac:dyDescent="0.25">
      <c r="A241" s="25"/>
      <c r="B241" s="13" t="str">
        <f>CONCATENATE("     ","Telephone/Data Lines                              ")</f>
        <v xml:space="preserve">     Telephone/Data Lines                              </v>
      </c>
      <c r="C241" s="13"/>
      <c r="D241" s="1">
        <f>SUM(OSRRefD22_23x_0)</f>
        <v>2972.86</v>
      </c>
      <c r="E241" s="1"/>
      <c r="F241" s="5">
        <f t="shared" ref="F241:F243" si="108">IF(D$12=0,0,D241/D$12)</f>
        <v>1.049840997042067E-3</v>
      </c>
      <c r="G241" s="1"/>
      <c r="H241" s="1">
        <f>SUM(OSRRefH22_23x_0)</f>
        <v>3205</v>
      </c>
      <c r="I241" s="1"/>
      <c r="J241" s="5">
        <f t="shared" ref="J241:J243" si="109">IF(H$12=0,0,H241/H$12)</f>
        <v>1.0645064254101795E-3</v>
      </c>
      <c r="K241" s="1"/>
      <c r="L241" s="1">
        <f t="shared" ref="L241:L243" si="110">+D241-H241</f>
        <v>-232.13999999999987</v>
      </c>
      <c r="M241" s="1"/>
      <c r="N241" s="5">
        <f t="shared" ref="N241:N243" si="111">IF(H241=0,0,L241/H241)</f>
        <v>-7.2430577223088891E-2</v>
      </c>
      <c r="O241" s="13"/>
      <c r="P241" s="1">
        <f>SUM(OSRRefP22_23x_0)</f>
        <v>4998.9399999999996</v>
      </c>
      <c r="Q241" s="1"/>
      <c r="R241" s="5">
        <f t="shared" ref="R241:R243" si="112">IF(P$12=0,0,P241/P$12)</f>
        <v>1.5416991431488592E-3</v>
      </c>
      <c r="S241" s="1"/>
      <c r="T241" s="1">
        <f>SUM(OSRRefT22_23x_0)</f>
        <v>5910</v>
      </c>
      <c r="U241" s="1"/>
      <c r="V241" s="5">
        <f t="shared" ref="V241:V243" si="113">IF(T$12=0,0,T241/T$12)</f>
        <v>1.7094419385554368E-3</v>
      </c>
      <c r="W241" s="1"/>
      <c r="X241" s="1">
        <f t="shared" ref="X241:X243" si="114">+P241-T241</f>
        <v>-911.0600000000004</v>
      </c>
      <c r="Y241" s="1"/>
      <c r="Z241" s="5">
        <f t="shared" ref="Z241:Z243" si="115">IF(T241=0,0,X241/T241)</f>
        <v>-0.15415566835871411</v>
      </c>
    </row>
    <row r="242" spans="1:26" s="24" customFormat="1" hidden="1" outlineLevel="2" x14ac:dyDescent="0.25">
      <c r="A242" s="27"/>
      <c r="B242" s="11" t="str">
        <f>CONCATENATE("          ", "6303", " - ", "DATA PHONE LINES")</f>
        <v xml:space="preserve">          6303 - DATA PHONE LINES</v>
      </c>
      <c r="C242" s="11"/>
      <c r="D242" s="6">
        <v>295</v>
      </c>
      <c r="E242" s="2"/>
      <c r="F242" s="7">
        <f t="shared" si="108"/>
        <v>1.041768176528359E-4</v>
      </c>
      <c r="G242" s="2"/>
      <c r="H242" s="6">
        <v>875</v>
      </c>
      <c r="I242" s="2"/>
      <c r="J242" s="7">
        <f t="shared" si="109"/>
        <v>2.9062187901213952E-4</v>
      </c>
      <c r="K242" s="2"/>
      <c r="L242" s="6">
        <f t="shared" si="110"/>
        <v>-580</v>
      </c>
      <c r="M242" s="2"/>
      <c r="N242" s="7">
        <f t="shared" si="111"/>
        <v>-0.66285714285714281</v>
      </c>
      <c r="O242" s="11"/>
      <c r="P242" s="6">
        <v>590</v>
      </c>
      <c r="Q242" s="2"/>
      <c r="R242" s="7">
        <f t="shared" si="112"/>
        <v>1.8195907421529904E-4</v>
      </c>
      <c r="S242" s="2"/>
      <c r="T242" s="6">
        <v>1725</v>
      </c>
      <c r="U242" s="2"/>
      <c r="V242" s="7">
        <f t="shared" si="113"/>
        <v>4.9894878917227216E-4</v>
      </c>
      <c r="W242" s="2"/>
      <c r="X242" s="6">
        <f t="shared" si="114"/>
        <v>-1135</v>
      </c>
      <c r="Y242" s="2"/>
      <c r="Z242" s="7">
        <f t="shared" si="115"/>
        <v>-0.65797101449275364</v>
      </c>
    </row>
    <row r="243" spans="1:26" s="24" customFormat="1" hidden="1" outlineLevel="2" x14ac:dyDescent="0.25">
      <c r="A243" s="27"/>
      <c r="B243" s="11" t="str">
        <f>CONCATENATE("          ", "6309", " - ", "TELEPHONE")</f>
        <v xml:space="preserve">          6309 - TELEPHONE</v>
      </c>
      <c r="C243" s="11"/>
      <c r="D243" s="6">
        <v>2677.86</v>
      </c>
      <c r="E243" s="2"/>
      <c r="F243" s="7">
        <f t="shared" si="108"/>
        <v>9.4566417938923104E-4</v>
      </c>
      <c r="G243" s="2"/>
      <c r="H243" s="6">
        <v>2330</v>
      </c>
      <c r="I243" s="2"/>
      <c r="J243" s="7">
        <f t="shared" si="109"/>
        <v>7.7388454639804006E-4</v>
      </c>
      <c r="K243" s="2"/>
      <c r="L243" s="6">
        <f t="shared" si="110"/>
        <v>347.86000000000013</v>
      </c>
      <c r="M243" s="2"/>
      <c r="N243" s="7">
        <f t="shared" si="111"/>
        <v>0.14929613733905586</v>
      </c>
      <c r="O243" s="11"/>
      <c r="P243" s="6">
        <v>4408.9399999999996</v>
      </c>
      <c r="Q243" s="2"/>
      <c r="R243" s="7">
        <f t="shared" si="112"/>
        <v>1.3597400689335602E-3</v>
      </c>
      <c r="S243" s="2"/>
      <c r="T243" s="6">
        <v>4185</v>
      </c>
      <c r="U243" s="2"/>
      <c r="V243" s="7">
        <f t="shared" si="113"/>
        <v>1.2104931493831647E-3</v>
      </c>
      <c r="W243" s="2"/>
      <c r="X243" s="6">
        <f t="shared" si="114"/>
        <v>223.9399999999996</v>
      </c>
      <c r="Y243" s="2"/>
      <c r="Z243" s="7">
        <f t="shared" si="115"/>
        <v>5.3510155316606835E-2</v>
      </c>
    </row>
    <row r="244" spans="1:26" s="26" customFormat="1" outlineLevel="1" collapsed="1" x14ac:dyDescent="0.25">
      <c r="A244" s="25"/>
      <c r="B244" s="13" t="str">
        <f>CONCATENATE("     ","Training                                          ")</f>
        <v xml:space="preserve">     Training                                          </v>
      </c>
      <c r="C244" s="13"/>
      <c r="D244" s="1">
        <f>SUM(OSRRefD22_24x_0)</f>
        <v>6530.86</v>
      </c>
      <c r="E244" s="1"/>
      <c r="F244" s="5">
        <f t="shared" ref="F244:F249" si="116">IF(D$12=0,0,D244/D$12)</f>
        <v>2.3063193604616942E-3</v>
      </c>
      <c r="G244" s="1"/>
      <c r="H244" s="1">
        <f>SUM(OSRRefH22_24x_0)</f>
        <v>3000</v>
      </c>
      <c r="I244" s="1"/>
      <c r="J244" s="5">
        <f t="shared" ref="J244:J249" si="117">IF(H$12=0,0,H244/H$12)</f>
        <v>9.96417870898764E-4</v>
      </c>
      <c r="K244" s="1"/>
      <c r="L244" s="1">
        <f t="shared" ref="L244:L249" si="118">+D244-H244</f>
        <v>3530.8599999999997</v>
      </c>
      <c r="M244" s="1"/>
      <c r="N244" s="5">
        <f t="shared" ref="N244:N249" si="119">IF(H244=0,0,L244/H244)</f>
        <v>1.1769533333333333</v>
      </c>
      <c r="O244" s="13"/>
      <c r="P244" s="1">
        <f>SUM(OSRRefP22_24x_0)</f>
        <v>7322.53</v>
      </c>
      <c r="Q244" s="1"/>
      <c r="R244" s="5">
        <f t="shared" ref="R244:R249" si="120">IF(P$12=0,0,P244/P$12)</f>
        <v>2.2583064062944979E-3</v>
      </c>
      <c r="S244" s="1"/>
      <c r="T244" s="1">
        <f>SUM(OSRRefT22_24x_0)</f>
        <v>4700</v>
      </c>
      <c r="U244" s="1"/>
      <c r="V244" s="5">
        <f t="shared" ref="V244:V249" si="121">IF(T$12=0,0,T244/T$12)</f>
        <v>1.3594546719476401E-3</v>
      </c>
      <c r="W244" s="1"/>
      <c r="X244" s="1">
        <f t="shared" ref="X244:X249" si="122">+P244-T244</f>
        <v>2622.5299999999997</v>
      </c>
      <c r="Y244" s="1"/>
      <c r="Z244" s="5">
        <f t="shared" ref="Z244:Z249" si="123">IF(T244=0,0,X244/T244)</f>
        <v>0.55798510638297871</v>
      </c>
    </row>
    <row r="245" spans="1:26" s="24" customFormat="1" hidden="1" outlineLevel="2" x14ac:dyDescent="0.25">
      <c r="A245" s="27"/>
      <c r="B245" s="11" t="str">
        <f>CONCATENATE("          ", "6376", " - ", "TRAINING")</f>
        <v xml:space="preserve">          6376 - TRAINING</v>
      </c>
      <c r="C245" s="11"/>
      <c r="D245" s="6">
        <v>6530.86</v>
      </c>
      <c r="E245" s="2"/>
      <c r="F245" s="7">
        <f t="shared" si="116"/>
        <v>2.3063193604616942E-3</v>
      </c>
      <c r="G245" s="2"/>
      <c r="H245" s="6">
        <v>3000</v>
      </c>
      <c r="I245" s="2"/>
      <c r="J245" s="7">
        <f t="shared" si="117"/>
        <v>9.96417870898764E-4</v>
      </c>
      <c r="K245" s="2"/>
      <c r="L245" s="6">
        <f t="shared" si="118"/>
        <v>3530.8599999999997</v>
      </c>
      <c r="M245" s="2"/>
      <c r="N245" s="7">
        <f t="shared" si="119"/>
        <v>1.1769533333333333</v>
      </c>
      <c r="O245" s="11"/>
      <c r="P245" s="6">
        <v>7322.53</v>
      </c>
      <c r="Q245" s="2"/>
      <c r="R245" s="7">
        <f t="shared" si="120"/>
        <v>2.2583064062944979E-3</v>
      </c>
      <c r="S245" s="2"/>
      <c r="T245" s="6">
        <v>4700</v>
      </c>
      <c r="U245" s="2"/>
      <c r="V245" s="7">
        <f t="shared" si="121"/>
        <v>1.3594546719476401E-3</v>
      </c>
      <c r="W245" s="2"/>
      <c r="X245" s="6">
        <f t="shared" si="122"/>
        <v>2622.5299999999997</v>
      </c>
      <c r="Y245" s="2"/>
      <c r="Z245" s="7">
        <f t="shared" si="123"/>
        <v>0.55798510638297871</v>
      </c>
    </row>
    <row r="246" spans="1:26" s="26" customFormat="1" outlineLevel="1" collapsed="1" x14ac:dyDescent="0.25">
      <c r="A246" s="25"/>
      <c r="B246" s="13" t="str">
        <f>CONCATENATE("     ","Travel                                            ")</f>
        <v xml:space="preserve">     Travel                                            </v>
      </c>
      <c r="C246" s="13"/>
      <c r="D246" s="1">
        <f>SUM(OSRRefD22_25x_0)</f>
        <v>184.35</v>
      </c>
      <c r="E246" s="1"/>
      <c r="F246" s="5">
        <f t="shared" si="116"/>
        <v>6.5101682489153556E-5</v>
      </c>
      <c r="G246" s="1"/>
      <c r="H246" s="1">
        <f>SUM(OSRRefH22_25x_0)</f>
        <v>150</v>
      </c>
      <c r="I246" s="1"/>
      <c r="J246" s="5">
        <f t="shared" si="117"/>
        <v>4.9820893544938203E-5</v>
      </c>
      <c r="K246" s="1"/>
      <c r="L246" s="1">
        <f t="shared" si="118"/>
        <v>34.349999999999994</v>
      </c>
      <c r="M246" s="1"/>
      <c r="N246" s="5">
        <f t="shared" si="119"/>
        <v>0.22899999999999995</v>
      </c>
      <c r="O246" s="13"/>
      <c r="P246" s="1">
        <f>SUM(OSRRefP22_25x_0)</f>
        <v>406.03</v>
      </c>
      <c r="Q246" s="1"/>
      <c r="R246" s="5">
        <f t="shared" si="120"/>
        <v>1.2522176763328451E-4</v>
      </c>
      <c r="S246" s="1"/>
      <c r="T246" s="1">
        <f>SUM(OSRRefT22_25x_0)</f>
        <v>710</v>
      </c>
      <c r="U246" s="1"/>
      <c r="V246" s="5">
        <f t="shared" si="121"/>
        <v>2.0536442916655839E-4</v>
      </c>
      <c r="W246" s="1"/>
      <c r="X246" s="1">
        <f t="shared" si="122"/>
        <v>-303.97000000000003</v>
      </c>
      <c r="Y246" s="1"/>
      <c r="Z246" s="5">
        <f t="shared" si="123"/>
        <v>-0.42812676056338034</v>
      </c>
    </row>
    <row r="247" spans="1:26" s="24" customFormat="1" hidden="1" outlineLevel="2" x14ac:dyDescent="0.25">
      <c r="A247" s="27"/>
      <c r="B247" s="11" t="str">
        <f>CONCATENATE("          ", "6292", " - ", "TRAVEL/CONFERENCE")</f>
        <v xml:space="preserve">          6292 - TRAVEL/CONFERENCE</v>
      </c>
      <c r="C247" s="11"/>
      <c r="D247" s="6">
        <v>100.16</v>
      </c>
      <c r="E247" s="2"/>
      <c r="F247" s="7">
        <f t="shared" si="116"/>
        <v>3.5370678156298453E-5</v>
      </c>
      <c r="G247" s="2"/>
      <c r="H247" s="6"/>
      <c r="I247" s="2"/>
      <c r="J247" s="7">
        <f t="shared" si="117"/>
        <v>0</v>
      </c>
      <c r="K247" s="2"/>
      <c r="L247" s="6">
        <f t="shared" si="118"/>
        <v>100.16</v>
      </c>
      <c r="M247" s="2"/>
      <c r="N247" s="7">
        <f t="shared" si="119"/>
        <v>0</v>
      </c>
      <c r="O247" s="11"/>
      <c r="P247" s="6">
        <v>250.64</v>
      </c>
      <c r="Q247" s="2"/>
      <c r="R247" s="7">
        <f t="shared" si="120"/>
        <v>7.7298681968343306E-5</v>
      </c>
      <c r="S247" s="2"/>
      <c r="T247" s="6"/>
      <c r="U247" s="2"/>
      <c r="V247" s="7">
        <f t="shared" si="121"/>
        <v>0</v>
      </c>
      <c r="W247" s="2"/>
      <c r="X247" s="6">
        <f t="shared" si="122"/>
        <v>250.64</v>
      </c>
      <c r="Y247" s="2"/>
      <c r="Z247" s="7">
        <f t="shared" si="123"/>
        <v>0</v>
      </c>
    </row>
    <row r="248" spans="1:26" s="24" customFormat="1" hidden="1" outlineLevel="2" x14ac:dyDescent="0.25">
      <c r="A248" s="27"/>
      <c r="B248" s="11" t="str">
        <f>CONCATENATE("          ", "6294", " - ", "TRAVEL OPERATIONAL")</f>
        <v xml:space="preserve">          6294 - TRAVEL OPERATIONAL</v>
      </c>
      <c r="C248" s="11"/>
      <c r="D248" s="6">
        <v>68.67</v>
      </c>
      <c r="E248" s="2"/>
      <c r="F248" s="7">
        <f t="shared" si="116"/>
        <v>2.4250244299051668E-5</v>
      </c>
      <c r="G248" s="2"/>
      <c r="H248" s="6">
        <v>150</v>
      </c>
      <c r="I248" s="2"/>
      <c r="J248" s="7">
        <f t="shared" si="117"/>
        <v>4.9820893544938203E-5</v>
      </c>
      <c r="K248" s="2"/>
      <c r="L248" s="6">
        <f t="shared" si="118"/>
        <v>-81.33</v>
      </c>
      <c r="M248" s="2"/>
      <c r="N248" s="7">
        <f t="shared" si="119"/>
        <v>-0.54220000000000002</v>
      </c>
      <c r="O248" s="11"/>
      <c r="P248" s="6">
        <v>68.67</v>
      </c>
      <c r="Q248" s="2"/>
      <c r="R248" s="7">
        <f t="shared" si="120"/>
        <v>2.1178185807397601E-5</v>
      </c>
      <c r="S248" s="2"/>
      <c r="T248" s="6">
        <v>260</v>
      </c>
      <c r="U248" s="2"/>
      <c r="V248" s="7">
        <f t="shared" si="121"/>
        <v>7.520387546944392E-5</v>
      </c>
      <c r="W248" s="2"/>
      <c r="X248" s="6">
        <f t="shared" si="122"/>
        <v>-191.32999999999998</v>
      </c>
      <c r="Y248" s="2"/>
      <c r="Z248" s="7">
        <f t="shared" si="123"/>
        <v>-0.73588461538461536</v>
      </c>
    </row>
    <row r="249" spans="1:26" s="24" customFormat="1" hidden="1" outlineLevel="2" x14ac:dyDescent="0.25">
      <c r="A249" s="27"/>
      <c r="B249" s="11" t="str">
        <f>CONCATENATE("          ", "6298", " - ", "VEHICLE MILEAGE")</f>
        <v xml:space="preserve">          6298 - VEHICLE MILEAGE</v>
      </c>
      <c r="C249" s="11"/>
      <c r="D249" s="6">
        <v>15.52</v>
      </c>
      <c r="E249" s="2"/>
      <c r="F249" s="7">
        <f t="shared" si="116"/>
        <v>5.4807600338034348E-6</v>
      </c>
      <c r="G249" s="2"/>
      <c r="H249" s="6"/>
      <c r="I249" s="2"/>
      <c r="J249" s="7">
        <f t="shared" si="117"/>
        <v>0</v>
      </c>
      <c r="K249" s="2"/>
      <c r="L249" s="6">
        <f t="shared" si="118"/>
        <v>15.52</v>
      </c>
      <c r="M249" s="2"/>
      <c r="N249" s="7">
        <f t="shared" si="119"/>
        <v>0</v>
      </c>
      <c r="O249" s="11"/>
      <c r="P249" s="6">
        <v>86.72</v>
      </c>
      <c r="Q249" s="2"/>
      <c r="R249" s="7">
        <f t="shared" si="120"/>
        <v>2.6744899857543616E-5</v>
      </c>
      <c r="S249" s="2"/>
      <c r="T249" s="6">
        <v>450</v>
      </c>
      <c r="U249" s="2"/>
      <c r="V249" s="7">
        <f t="shared" si="121"/>
        <v>1.3016055369711449E-4</v>
      </c>
      <c r="W249" s="2"/>
      <c r="X249" s="6">
        <f t="shared" si="122"/>
        <v>-363.28</v>
      </c>
      <c r="Y249" s="2"/>
      <c r="Z249" s="7">
        <f t="shared" si="123"/>
        <v>-0.80728888888888883</v>
      </c>
    </row>
    <row r="250" spans="1:26" s="26" customFormat="1" outlineLevel="1" collapsed="1" x14ac:dyDescent="0.25">
      <c r="A250" s="25"/>
      <c r="B250" s="13" t="str">
        <f>CONCATENATE("     ","Utilities                                         ")</f>
        <v xml:space="preserve">     Utilities                                         </v>
      </c>
      <c r="C250" s="13"/>
      <c r="D250" s="1">
        <f>SUM(OSRRefD22_26x_0)</f>
        <v>-849.1</v>
      </c>
      <c r="E250" s="1"/>
      <c r="F250" s="5">
        <f t="shared" ref="F250:F251" si="124">IF(D$12=0,0,D250/D$12)</f>
        <v>-2.9985266396278973E-4</v>
      </c>
      <c r="G250" s="1"/>
      <c r="H250" s="1">
        <f>SUM(OSRRefH22_26x_0)</f>
        <v>6192</v>
      </c>
      <c r="I250" s="1"/>
      <c r="J250" s="5">
        <f t="shared" ref="J250:J251" si="125">IF(H$12=0,0,H250/H$12)</f>
        <v>2.0566064855350491E-3</v>
      </c>
      <c r="K250" s="1"/>
      <c r="L250" s="1">
        <f t="shared" ref="L250:L251" si="126">+D250-H250</f>
        <v>-7041.1</v>
      </c>
      <c r="M250" s="1"/>
      <c r="N250" s="5">
        <f t="shared" ref="N250:N251" si="127">IF(H250=0,0,L250/H250)</f>
        <v>-1.1371285529715762</v>
      </c>
      <c r="O250" s="13"/>
      <c r="P250" s="1">
        <f>SUM(OSRRefP22_26x_0)</f>
        <v>5745.9</v>
      </c>
      <c r="Q250" s="1"/>
      <c r="R250" s="5">
        <f t="shared" ref="R250:R251" si="128">IF(P$12=0,0,P250/P$12)</f>
        <v>1.7720654992096384E-3</v>
      </c>
      <c r="S250" s="1"/>
      <c r="T250" s="1">
        <f>SUM(OSRRefT22_26x_0)</f>
        <v>12398</v>
      </c>
      <c r="U250" s="1"/>
      <c r="V250" s="5">
        <f t="shared" ref="V250:V251" si="129">IF(T$12=0,0,T250/T$12)</f>
        <v>3.5860678771929451E-3</v>
      </c>
      <c r="W250" s="1"/>
      <c r="X250" s="1">
        <f t="shared" ref="X250:X251" si="130">+P250-T250</f>
        <v>-6652.1</v>
      </c>
      <c r="Y250" s="1"/>
      <c r="Z250" s="5">
        <f t="shared" ref="Z250:Z251" si="131">IF(T250=0,0,X250/T250)</f>
        <v>-0.53654621713179551</v>
      </c>
    </row>
    <row r="251" spans="1:26" s="24" customFormat="1" hidden="1" outlineLevel="2" x14ac:dyDescent="0.25">
      <c r="A251" s="27"/>
      <c r="B251" s="11" t="str">
        <f>CONCATENATE("          ", "6274", " - ", "UTILITIES")</f>
        <v xml:space="preserve">          6274 - UTILITIES</v>
      </c>
      <c r="C251" s="11"/>
      <c r="D251" s="6">
        <v>-849.1</v>
      </c>
      <c r="E251" s="2"/>
      <c r="F251" s="7">
        <f t="shared" si="124"/>
        <v>-2.9985266396278973E-4</v>
      </c>
      <c r="G251" s="2"/>
      <c r="H251" s="6">
        <v>6192</v>
      </c>
      <c r="I251" s="2"/>
      <c r="J251" s="7">
        <f t="shared" si="125"/>
        <v>2.0566064855350491E-3</v>
      </c>
      <c r="K251" s="2"/>
      <c r="L251" s="6">
        <f t="shared" si="126"/>
        <v>-7041.1</v>
      </c>
      <c r="M251" s="2"/>
      <c r="N251" s="7">
        <f t="shared" si="127"/>
        <v>-1.1371285529715762</v>
      </c>
      <c r="O251" s="11"/>
      <c r="P251" s="6">
        <v>5745.9</v>
      </c>
      <c r="Q251" s="2"/>
      <c r="R251" s="7">
        <f t="shared" si="128"/>
        <v>1.7720654992096384E-3</v>
      </c>
      <c r="S251" s="2"/>
      <c r="T251" s="6">
        <v>12398</v>
      </c>
      <c r="U251" s="2"/>
      <c r="V251" s="7">
        <f t="shared" si="129"/>
        <v>3.5860678771929451E-3</v>
      </c>
      <c r="W251" s="2"/>
      <c r="X251" s="6">
        <f t="shared" si="130"/>
        <v>-6652.1</v>
      </c>
      <c r="Y251" s="2"/>
      <c r="Z251" s="7">
        <f t="shared" si="131"/>
        <v>-0.53654621713179551</v>
      </c>
    </row>
    <row r="252" spans="1:26" s="63" customFormat="1" x14ac:dyDescent="0.25">
      <c r="A252" s="36"/>
      <c r="B252" s="36"/>
      <c r="C252" s="36"/>
      <c r="D252" s="1"/>
      <c r="E252" s="1"/>
      <c r="F252" s="5"/>
      <c r="G252" s="1"/>
      <c r="H252" s="1"/>
      <c r="I252" s="1"/>
      <c r="J252" s="5"/>
      <c r="K252" s="1"/>
      <c r="L252" s="1"/>
      <c r="M252" s="1"/>
      <c r="N252" s="5"/>
      <c r="O252" s="36"/>
      <c r="P252" s="1"/>
      <c r="Q252" s="1"/>
      <c r="R252" s="5"/>
      <c r="S252" s="1"/>
      <c r="T252" s="1"/>
      <c r="U252" s="1"/>
      <c r="V252" s="5"/>
      <c r="W252" s="1"/>
      <c r="X252" s="1"/>
      <c r="Y252" s="1"/>
      <c r="Z252" s="5"/>
    </row>
    <row r="253" spans="1:26" s="23" customFormat="1" collapsed="1" x14ac:dyDescent="0.25">
      <c r="A253" s="10"/>
      <c r="B253" s="28" t="s">
        <v>0</v>
      </c>
      <c r="C253" s="10"/>
      <c r="D253" s="4">
        <f>SUM(OSRRefD25x_0)</f>
        <v>50335.740000000005</v>
      </c>
      <c r="E253" s="4"/>
      <c r="F253" s="12">
        <f t="shared" ref="F253:F260" si="132">IF(D$12=0,0,D253/D$12)</f>
        <v>1.777565155051037E-2</v>
      </c>
      <c r="G253" s="4"/>
      <c r="H253" s="4">
        <f>SUM(OSRRefH25x_0)</f>
        <v>64875</v>
      </c>
      <c r="I253" s="4"/>
      <c r="J253" s="12">
        <f t="shared" ref="J253:J260" si="133">IF(H$12=0,0,H253/H$12)</f>
        <v>2.1547536458185773E-2</v>
      </c>
      <c r="K253" s="4"/>
      <c r="L253" s="4">
        <f t="shared" ref="L253:L260" si="134">+D253-H253</f>
        <v>-14539.259999999995</v>
      </c>
      <c r="M253" s="4"/>
      <c r="N253" s="12">
        <f t="shared" ref="N253:N260" si="135">IF(H253=0,0,L253/H253)</f>
        <v>-0.22411190751445079</v>
      </c>
      <c r="O253" s="10"/>
      <c r="P253" s="4">
        <f>SUM(OSRRefP25x_0)</f>
        <v>121202.85</v>
      </c>
      <c r="Q253" s="4"/>
      <c r="R253" s="12">
        <f t="shared" ref="R253:R260" si="136">IF(P$12=0,0,P253/P$12)</f>
        <v>3.7379590471619928E-2</v>
      </c>
      <c r="S253" s="4"/>
      <c r="T253" s="4">
        <f>SUM(OSRRefT25x_0)</f>
        <v>124550</v>
      </c>
      <c r="U253" s="4"/>
      <c r="V253" s="12">
        <f t="shared" ref="V253:V260" si="137">IF(T$12=0,0,T253/T$12)</f>
        <v>3.6025548806612462E-2</v>
      </c>
      <c r="W253" s="4"/>
      <c r="X253" s="4">
        <f t="shared" ref="X253:X260" si="138">+P253-T253</f>
        <v>-3347.1499999999942</v>
      </c>
      <c r="Y253" s="4"/>
      <c r="Z253" s="12">
        <f t="shared" ref="Z253:Z260" si="139">IF(T253=0,0,X253/T253)</f>
        <v>-2.6873946206342786E-2</v>
      </c>
    </row>
    <row r="254" spans="1:26" s="24" customFormat="1" hidden="1" outlineLevel="1" x14ac:dyDescent="0.25">
      <c r="A254" s="46"/>
      <c r="B254" s="11" t="str">
        <f>CONCATENATE("          ", "4098", " - ", "TAXABLE SALES-GRAD RENTALS")</f>
        <v xml:space="preserve">          4098 - TAXABLE SALES-GRAD RENTALS</v>
      </c>
      <c r="C254" s="11"/>
      <c r="D254" s="2">
        <f>--1552.15</f>
        <v>1552.15</v>
      </c>
      <c r="E254" s="2"/>
      <c r="F254" s="21">
        <f t="shared" si="132"/>
        <v>5.4812897464355677E-4</v>
      </c>
      <c r="G254" s="2"/>
      <c r="H254" s="2"/>
      <c r="I254" s="2"/>
      <c r="J254" s="21">
        <f t="shared" si="133"/>
        <v>0</v>
      </c>
      <c r="K254" s="2"/>
      <c r="L254" s="2">
        <f t="shared" si="134"/>
        <v>1552.15</v>
      </c>
      <c r="M254" s="2"/>
      <c r="N254" s="21">
        <f t="shared" si="135"/>
        <v>0</v>
      </c>
      <c r="O254" s="11"/>
      <c r="P254" s="2">
        <f>--1626.85</f>
        <v>1626.85</v>
      </c>
      <c r="Q254" s="2"/>
      <c r="R254" s="21">
        <f t="shared" si="136"/>
        <v>5.0172901675789696E-4</v>
      </c>
      <c r="S254" s="2"/>
      <c r="T254" s="2"/>
      <c r="U254" s="2"/>
      <c r="V254" s="21">
        <f t="shared" si="137"/>
        <v>0</v>
      </c>
      <c r="W254" s="2"/>
      <c r="X254" s="2">
        <f t="shared" si="138"/>
        <v>1626.85</v>
      </c>
      <c r="Y254" s="2"/>
      <c r="Z254" s="21">
        <f t="shared" si="139"/>
        <v>0</v>
      </c>
    </row>
    <row r="255" spans="1:26" s="24" customFormat="1" hidden="1" outlineLevel="1" x14ac:dyDescent="0.25">
      <c r="A255" s="46"/>
      <c r="B255" s="11" t="str">
        <f>CONCATENATE("          ", "4197", " - ", "NON-TAXABLE SALES-RETURNED CHE")</f>
        <v xml:space="preserve">          4197 - NON-TAXABLE SALES-RETURNED CHE</v>
      </c>
      <c r="C255" s="11"/>
      <c r="D255" s="2">
        <f>--30</f>
        <v>30</v>
      </c>
      <c r="E255" s="2"/>
      <c r="F255" s="21">
        <f t="shared" si="132"/>
        <v>1.0594252642661278E-5</v>
      </c>
      <c r="G255" s="2"/>
      <c r="H255" s="2"/>
      <c r="I255" s="2"/>
      <c r="J255" s="21">
        <f t="shared" si="133"/>
        <v>0</v>
      </c>
      <c r="K255" s="2"/>
      <c r="L255" s="2">
        <f t="shared" si="134"/>
        <v>30</v>
      </c>
      <c r="M255" s="2"/>
      <c r="N255" s="21">
        <f t="shared" si="135"/>
        <v>0</v>
      </c>
      <c r="O255" s="11"/>
      <c r="P255" s="2">
        <f>--30</f>
        <v>30</v>
      </c>
      <c r="Q255" s="2"/>
      <c r="R255" s="21">
        <f t="shared" si="136"/>
        <v>9.2521563160321555E-6</v>
      </c>
      <c r="S255" s="2"/>
      <c r="T255" s="2"/>
      <c r="U255" s="2"/>
      <c r="V255" s="21">
        <f t="shared" si="137"/>
        <v>0</v>
      </c>
      <c r="W255" s="2"/>
      <c r="X255" s="2">
        <f t="shared" si="138"/>
        <v>30</v>
      </c>
      <c r="Y255" s="2"/>
      <c r="Z255" s="21">
        <f t="shared" si="139"/>
        <v>0</v>
      </c>
    </row>
    <row r="256" spans="1:26" s="24" customFormat="1" hidden="1" outlineLevel="1" x14ac:dyDescent="0.25">
      <c r="A256" s="46"/>
      <c r="B256" s="11" t="str">
        <f>CONCATENATE("          ", "4198", " - ", "NON-TAXABLE SALES-GRAD RENTALS")</f>
        <v xml:space="preserve">          4198 - NON-TAXABLE SALES-GRAD RENTALS</v>
      </c>
      <c r="C256" s="11"/>
      <c r="D256" s="2">
        <f>--210</f>
        <v>210</v>
      </c>
      <c r="E256" s="2"/>
      <c r="F256" s="21">
        <f t="shared" si="132"/>
        <v>7.4159768498628943E-5</v>
      </c>
      <c r="G256" s="2"/>
      <c r="H256" s="2"/>
      <c r="I256" s="2"/>
      <c r="J256" s="21">
        <f t="shared" si="133"/>
        <v>0</v>
      </c>
      <c r="K256" s="2"/>
      <c r="L256" s="2">
        <f t="shared" si="134"/>
        <v>210</v>
      </c>
      <c r="M256" s="2"/>
      <c r="N256" s="21">
        <f t="shared" si="135"/>
        <v>0</v>
      </c>
      <c r="O256" s="11"/>
      <c r="P256" s="2">
        <f>--465</f>
        <v>465</v>
      </c>
      <c r="Q256" s="2"/>
      <c r="R256" s="21">
        <f t="shared" si="136"/>
        <v>1.434084228984984E-4</v>
      </c>
      <c r="S256" s="2"/>
      <c r="T256" s="2"/>
      <c r="U256" s="2"/>
      <c r="V256" s="21">
        <f t="shared" si="137"/>
        <v>0</v>
      </c>
      <c r="W256" s="2"/>
      <c r="X256" s="2">
        <f t="shared" si="138"/>
        <v>465</v>
      </c>
      <c r="Y256" s="2"/>
      <c r="Z256" s="21">
        <f t="shared" si="139"/>
        <v>0</v>
      </c>
    </row>
    <row r="257" spans="1:26" s="24" customFormat="1" hidden="1" outlineLevel="1" x14ac:dyDescent="0.25">
      <c r="A257" s="46"/>
      <c r="B257" s="11" t="str">
        <f>CONCATENATE("          ", "9150", " - ", "MISC. INCOME")</f>
        <v xml:space="preserve">          9150 - MISC. INCOME</v>
      </c>
      <c r="C257" s="11"/>
      <c r="D257" s="2">
        <f>--27536.18</f>
        <v>27536.18</v>
      </c>
      <c r="E257" s="2"/>
      <c r="F257" s="21">
        <f t="shared" si="132"/>
        <v>9.7241749244598875E-3</v>
      </c>
      <c r="G257" s="2"/>
      <c r="H257" s="2">
        <v>41475</v>
      </c>
      <c r="I257" s="2"/>
      <c r="J257" s="21">
        <f t="shared" si="133"/>
        <v>1.3775477065175413E-2</v>
      </c>
      <c r="K257" s="2"/>
      <c r="L257" s="2">
        <f t="shared" si="134"/>
        <v>-13938.82</v>
      </c>
      <c r="M257" s="2"/>
      <c r="N257" s="21">
        <f t="shared" si="135"/>
        <v>-0.33607763713080169</v>
      </c>
      <c r="O257" s="11"/>
      <c r="P257" s="2">
        <f>--98168.08</f>
        <v>98168.08</v>
      </c>
      <c r="Q257" s="2"/>
      <c r="R257" s="21">
        <f t="shared" si="136"/>
        <v>3.0275547380158328E-2</v>
      </c>
      <c r="S257" s="2"/>
      <c r="T257" s="2">
        <v>70700</v>
      </c>
      <c r="U257" s="2"/>
      <c r="V257" s="21">
        <f t="shared" si="137"/>
        <v>2.0449669214191096E-2</v>
      </c>
      <c r="W257" s="2"/>
      <c r="X257" s="2">
        <f t="shared" si="138"/>
        <v>27468.080000000002</v>
      </c>
      <c r="Y257" s="2"/>
      <c r="Z257" s="21">
        <f t="shared" si="139"/>
        <v>0.38851598302687412</v>
      </c>
    </row>
    <row r="258" spans="1:26" s="24" customFormat="1" hidden="1" outlineLevel="1" x14ac:dyDescent="0.25">
      <c r="A258" s="46"/>
      <c r="B258" s="11" t="str">
        <f>CONCATENATE("          ", "9151", " - ", "MISC. INCOME")</f>
        <v xml:space="preserve">          9151 - MISC. INCOME</v>
      </c>
      <c r="C258" s="11"/>
      <c r="D258" s="2">
        <f>-170.02</f>
        <v>-170.02</v>
      </c>
      <c r="E258" s="2"/>
      <c r="F258" s="21">
        <f t="shared" si="132"/>
        <v>-6.0041161143509022E-5</v>
      </c>
      <c r="G258" s="2"/>
      <c r="H258" s="2">
        <v>600</v>
      </c>
      <c r="I258" s="2"/>
      <c r="J258" s="21">
        <f t="shared" si="133"/>
        <v>1.9928357417975281E-4</v>
      </c>
      <c r="K258" s="2"/>
      <c r="L258" s="2">
        <f t="shared" si="134"/>
        <v>-770.02</v>
      </c>
      <c r="M258" s="2"/>
      <c r="N258" s="21">
        <f t="shared" si="135"/>
        <v>-1.2833666666666665</v>
      </c>
      <c r="O258" s="11"/>
      <c r="P258" s="2">
        <f>-264.51</f>
        <v>-264.51</v>
      </c>
      <c r="Q258" s="2"/>
      <c r="R258" s="21">
        <f t="shared" si="136"/>
        <v>-8.1576262238455512E-5</v>
      </c>
      <c r="S258" s="2"/>
      <c r="T258" s="2">
        <v>13450</v>
      </c>
      <c r="U258" s="2"/>
      <c r="V258" s="21">
        <f t="shared" si="137"/>
        <v>3.8903543271693107E-3</v>
      </c>
      <c r="W258" s="2"/>
      <c r="X258" s="2">
        <f t="shared" si="138"/>
        <v>-13714.51</v>
      </c>
      <c r="Y258" s="2"/>
      <c r="Z258" s="21">
        <f t="shared" si="139"/>
        <v>-1.0196661710037176</v>
      </c>
    </row>
    <row r="259" spans="1:26" s="24" customFormat="1" hidden="1" outlineLevel="1" x14ac:dyDescent="0.25">
      <c r="A259" s="46"/>
      <c r="B259" s="11" t="str">
        <f>CONCATENATE("          ", "9152", " - ", "MISC. INCOME")</f>
        <v xml:space="preserve">          9152 - MISC. INCOME</v>
      </c>
      <c r="C259" s="11"/>
      <c r="D259" s="2">
        <f>--7.43</f>
        <v>7.43</v>
      </c>
      <c r="E259" s="2"/>
      <c r="F259" s="21">
        <f t="shared" si="132"/>
        <v>2.623843237832443E-6</v>
      </c>
      <c r="G259" s="2"/>
      <c r="H259" s="2"/>
      <c r="I259" s="2"/>
      <c r="J259" s="21">
        <f t="shared" si="133"/>
        <v>0</v>
      </c>
      <c r="K259" s="2"/>
      <c r="L259" s="2">
        <f t="shared" si="134"/>
        <v>7.43</v>
      </c>
      <c r="M259" s="2"/>
      <c r="N259" s="21">
        <f t="shared" si="135"/>
        <v>0</v>
      </c>
      <c r="O259" s="11"/>
      <c r="P259" s="2">
        <f>--7.43</f>
        <v>7.43</v>
      </c>
      <c r="Q259" s="2"/>
      <c r="R259" s="21">
        <f t="shared" si="136"/>
        <v>2.2914507142706301E-6</v>
      </c>
      <c r="S259" s="2"/>
      <c r="T259" s="2"/>
      <c r="U259" s="2"/>
      <c r="V259" s="21">
        <f t="shared" si="137"/>
        <v>0</v>
      </c>
      <c r="W259" s="2"/>
      <c r="X259" s="2">
        <f t="shared" si="138"/>
        <v>7.43</v>
      </c>
      <c r="Y259" s="2"/>
      <c r="Z259" s="21">
        <f t="shared" si="139"/>
        <v>0</v>
      </c>
    </row>
    <row r="260" spans="1:26" s="24" customFormat="1" hidden="1" outlineLevel="1" x14ac:dyDescent="0.25">
      <c r="A260" s="46"/>
      <c r="B260" s="11" t="str">
        <f>CONCATENATE("          ", "9160", " - ", "MISC. INCOME")</f>
        <v xml:space="preserve">          9160 - MISC. INCOME</v>
      </c>
      <c r="C260" s="11"/>
      <c r="D260" s="2">
        <f>--21170</f>
        <v>21170</v>
      </c>
      <c r="E260" s="2"/>
      <c r="F260" s="21">
        <f t="shared" si="132"/>
        <v>7.4760109481713088E-3</v>
      </c>
      <c r="G260" s="2"/>
      <c r="H260" s="2">
        <v>22800</v>
      </c>
      <c r="I260" s="2"/>
      <c r="J260" s="21">
        <f t="shared" si="133"/>
        <v>7.572775818830607E-3</v>
      </c>
      <c r="K260" s="2"/>
      <c r="L260" s="2">
        <f t="shared" si="134"/>
        <v>-1630</v>
      </c>
      <c r="M260" s="2"/>
      <c r="N260" s="21">
        <f t="shared" si="135"/>
        <v>-7.1491228070175439E-2</v>
      </c>
      <c r="O260" s="11"/>
      <c r="P260" s="2">
        <f>--21170</f>
        <v>21170</v>
      </c>
      <c r="Q260" s="2"/>
      <c r="R260" s="21">
        <f t="shared" si="136"/>
        <v>6.5289383070133572E-3</v>
      </c>
      <c r="S260" s="2"/>
      <c r="T260" s="2">
        <v>40400</v>
      </c>
      <c r="U260" s="2"/>
      <c r="V260" s="21">
        <f t="shared" si="137"/>
        <v>1.1685525265252055E-2</v>
      </c>
      <c r="W260" s="2"/>
      <c r="X260" s="2">
        <f t="shared" si="138"/>
        <v>-19230</v>
      </c>
      <c r="Y260" s="2"/>
      <c r="Z260" s="21">
        <f t="shared" si="139"/>
        <v>-0.47599009900990097</v>
      </c>
    </row>
    <row r="261" spans="1:26" x14ac:dyDescent="0.25">
      <c r="A261" s="9"/>
      <c r="B261" s="10"/>
      <c r="C261" s="10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O261" s="10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s="23" customFormat="1" x14ac:dyDescent="0.25">
      <c r="A262" s="10"/>
      <c r="B262" s="29" t="s">
        <v>3</v>
      </c>
      <c r="C262" s="29"/>
      <c r="D262" s="22">
        <f>+D150-D152+D253</f>
        <v>547493.23999999953</v>
      </c>
      <c r="E262" s="14"/>
      <c r="F262" s="20">
        <f>IF(D$12=0,0,D262/D$12)</f>
        <v>0.19334272349030601</v>
      </c>
      <c r="G262" s="14"/>
      <c r="H262" s="22">
        <f>+H150-H152+H253</f>
        <v>620717.28548218077</v>
      </c>
      <c r="I262" s="14"/>
      <c r="J262" s="20">
        <f>IF(H$12=0,0,H262/H$12)</f>
        <v>0.20616459867673828</v>
      </c>
      <c r="K262" s="15"/>
      <c r="L262" s="22">
        <f>+D262-H262</f>
        <v>-73224.045482181245</v>
      </c>
      <c r="M262" s="15"/>
      <c r="N262" s="20">
        <f>IF(H262=0,0,L262/H262)</f>
        <v>-0.11796682192489599</v>
      </c>
      <c r="O262" s="28"/>
      <c r="P262" s="22">
        <f>+P150-P152+P253</f>
        <v>369445.94999999949</v>
      </c>
      <c r="Q262" s="14"/>
      <c r="R262" s="20">
        <f>IF(P$12=0,0,P262/P$12)</f>
        <v>0.11393905599083316</v>
      </c>
      <c r="S262" s="14"/>
      <c r="T262" s="22">
        <f>+T150-T152+T253</f>
        <v>386350.06482251885</v>
      </c>
      <c r="U262" s="14"/>
      <c r="V262" s="20">
        <f>IF(T$12=0,0,T262/T$12)</f>
        <v>0.11175008524047805</v>
      </c>
      <c r="W262" s="15"/>
      <c r="X262" s="22">
        <f>+P262-T262</f>
        <v>-16904.114822519361</v>
      </c>
      <c r="Y262" s="15"/>
      <c r="Z262" s="20">
        <f>IF(T262=0,0,X262/T262)</f>
        <v>-4.3753363495059226E-2</v>
      </c>
    </row>
    <row r="263" spans="1:26" x14ac:dyDescent="0.25">
      <c r="A263" s="9"/>
      <c r="B263" s="10"/>
      <c r="C263" s="9"/>
      <c r="D263" s="3"/>
      <c r="E263" s="3"/>
      <c r="F263" s="8"/>
      <c r="G263" s="3"/>
      <c r="H263" s="3"/>
      <c r="I263" s="3"/>
      <c r="J263" s="8"/>
      <c r="K263" s="3"/>
      <c r="L263" s="3"/>
      <c r="M263" s="3"/>
      <c r="N263" s="8"/>
      <c r="P263" s="3"/>
      <c r="Q263" s="3"/>
      <c r="R263" s="8"/>
      <c r="S263" s="3"/>
      <c r="T263" s="3"/>
      <c r="U263" s="3"/>
      <c r="V263" s="8"/>
      <c r="W263" s="3"/>
      <c r="X263" s="3"/>
      <c r="Y263" s="3"/>
      <c r="Z263" s="8"/>
    </row>
    <row r="264" spans="1:26" s="23" customFormat="1" x14ac:dyDescent="0.25">
      <c r="A264" s="52"/>
      <c r="B264" s="10" t="s">
        <v>14</v>
      </c>
      <c r="C264" s="10"/>
      <c r="D264" s="4">
        <v>318869.24</v>
      </c>
      <c r="E264" s="4"/>
      <c r="F264" s="12">
        <f>IF(D$12=0,0,D264/D$12)</f>
        <v>0.11260604295111311</v>
      </c>
      <c r="G264" s="4"/>
      <c r="H264" s="4">
        <v>452658</v>
      </c>
      <c r="I264" s="4"/>
      <c r="J264" s="12">
        <f>IF(H$12=0,0,H264/H$12)</f>
        <v>0.15034550686843093</v>
      </c>
      <c r="K264" s="4"/>
      <c r="L264" s="4">
        <f>+D264-H264</f>
        <v>-133788.76</v>
      </c>
      <c r="M264" s="4"/>
      <c r="N264" s="12">
        <f>IF(H264=0,0,L264/H264)</f>
        <v>-0.29556256599905451</v>
      </c>
      <c r="O264" s="10"/>
      <c r="P264" s="4">
        <v>404279.03999999998</v>
      </c>
      <c r="Q264" s="4"/>
      <c r="R264" s="12">
        <f>IF(P$12=0,0,P264/P$12)</f>
        <v>0.12468176244584719</v>
      </c>
      <c r="S264" s="4"/>
      <c r="T264" s="4">
        <v>561469</v>
      </c>
      <c r="U264" s="4"/>
      <c r="V264" s="12">
        <f>IF(T$12=0,0,T264/T$12)</f>
        <v>0.16240247983058928</v>
      </c>
      <c r="W264" s="4"/>
      <c r="X264" s="4">
        <f>+P264-T264</f>
        <v>-157189.96000000002</v>
      </c>
      <c r="Y264" s="4"/>
      <c r="Z264" s="12">
        <f>IF(T264=0,0,X264/T264)</f>
        <v>-0.279961956937961</v>
      </c>
    </row>
    <row r="265" spans="1:26" x14ac:dyDescent="0.25">
      <c r="A265" s="9"/>
      <c r="B265" s="10"/>
      <c r="C265" s="10"/>
      <c r="D265" s="3"/>
      <c r="E265" s="3"/>
      <c r="F265" s="8"/>
      <c r="G265" s="3"/>
      <c r="H265" s="3"/>
      <c r="I265" s="3"/>
      <c r="J265" s="8"/>
      <c r="K265" s="3"/>
      <c r="L265" s="3"/>
      <c r="M265" s="3"/>
      <c r="N265" s="8"/>
      <c r="O265" s="10"/>
      <c r="P265" s="3"/>
      <c r="Q265" s="3"/>
      <c r="R265" s="8"/>
      <c r="S265" s="3"/>
      <c r="T265" s="3"/>
      <c r="U265" s="3"/>
      <c r="V265" s="8"/>
      <c r="W265" s="3"/>
      <c r="X265" s="3"/>
      <c r="Y265" s="3"/>
      <c r="Z265" s="8"/>
    </row>
    <row r="266" spans="1:26" s="23" customFormat="1" ht="15.75" thickBot="1" x14ac:dyDescent="0.3">
      <c r="A266" s="10"/>
      <c r="B266" s="29" t="s">
        <v>4</v>
      </c>
      <c r="C266" s="29"/>
      <c r="D266" s="31">
        <f>+D262-D264</f>
        <v>228623.99999999953</v>
      </c>
      <c r="E266" s="14"/>
      <c r="F266" s="32">
        <f>IF(D$12=0,0,D266/D$12)</f>
        <v>8.0736680539192904E-2</v>
      </c>
      <c r="G266" s="14"/>
      <c r="H266" s="31">
        <f>+H262-H264</f>
        <v>168059.28548218077</v>
      </c>
      <c r="I266" s="14"/>
      <c r="J266" s="32">
        <f>IF(H$12=0,0,H266/H$12)</f>
        <v>5.5819091808307381E-2</v>
      </c>
      <c r="K266" s="15"/>
      <c r="L266" s="31">
        <f>D266-H266</f>
        <v>60564.714517818764</v>
      </c>
      <c r="M266" s="15"/>
      <c r="N266" s="32">
        <f>IF(H266=0,0,L266/H266)</f>
        <v>0.3603770796957268</v>
      </c>
      <c r="O266" s="28"/>
      <c r="P266" s="31">
        <f>+P262-P264</f>
        <v>-34833.090000000491</v>
      </c>
      <c r="Q266" s="14"/>
      <c r="R266" s="32">
        <f>IF(P$12=0,0,P266/P$12)</f>
        <v>-1.0742706455014035E-2</v>
      </c>
      <c r="S266" s="14"/>
      <c r="T266" s="31">
        <f>+T262-T264</f>
        <v>-175118.93517748115</v>
      </c>
      <c r="U266" s="14"/>
      <c r="V266" s="32">
        <f>IF(T$12=0,0,T266/T$12)</f>
        <v>-5.0652394590111213E-2</v>
      </c>
      <c r="W266" s="15"/>
      <c r="X266" s="31">
        <f>P266-T266</f>
        <v>140285.84517748066</v>
      </c>
      <c r="Y266" s="15"/>
      <c r="Z266" s="32">
        <f>IF(T266=0,0,X266/T266)</f>
        <v>-0.8010889572581199</v>
      </c>
    </row>
    <row r="267" spans="1:26" ht="15.75" thickTop="1" x14ac:dyDescent="0.25">
      <c r="A267" s="9"/>
      <c r="B267" s="9"/>
      <c r="C267" s="9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x14ac:dyDescent="0.25">
      <c r="A268" s="9"/>
      <c r="B268" s="9"/>
      <c r="C268" s="9"/>
      <c r="D268" s="3"/>
      <c r="E268" s="3"/>
      <c r="F268" s="8"/>
      <c r="G268" s="3"/>
      <c r="H268" s="3"/>
      <c r="I268" s="3"/>
      <c r="J268" s="8"/>
      <c r="K268" s="3"/>
      <c r="L268" s="3"/>
      <c r="M268" s="3"/>
      <c r="N268" s="8"/>
      <c r="P268" s="3"/>
      <c r="Q268" s="3"/>
      <c r="R268" s="8"/>
      <c r="S268" s="3"/>
      <c r="T268" s="3"/>
      <c r="U268" s="3"/>
      <c r="V268" s="8"/>
      <c r="W268" s="3"/>
      <c r="X268" s="3"/>
      <c r="Y268" s="3"/>
      <c r="Z268" s="8"/>
    </row>
    <row r="269" spans="1:26" s="23" customFormat="1" ht="15.75" thickBot="1" x14ac:dyDescent="0.3">
      <c r="A269" s="10"/>
      <c r="B269" s="29" t="s">
        <v>5</v>
      </c>
      <c r="C269" s="29"/>
      <c r="D269" s="33">
        <f>SUM(D266:D268)</f>
        <v>228623.99999999953</v>
      </c>
      <c r="E269" s="14"/>
      <c r="F269" s="35">
        <f>IF(D$12=0,0,D269/D$12)</f>
        <v>8.0736680539192904E-2</v>
      </c>
      <c r="G269" s="14"/>
      <c r="H269" s="33">
        <f>SUM(H266:H268)</f>
        <v>168059.28548218077</v>
      </c>
      <c r="I269" s="14"/>
      <c r="J269" s="35">
        <f>IF(H$12=0,0,H269/H$12)</f>
        <v>5.5819091808307381E-2</v>
      </c>
      <c r="K269" s="15"/>
      <c r="L269" s="33">
        <f>+D269-H269</f>
        <v>60564.714517818764</v>
      </c>
      <c r="M269" s="15"/>
      <c r="N269" s="35">
        <f>IF(H269=0,0,L269/H269)</f>
        <v>0.3603770796957268</v>
      </c>
      <c r="O269" s="28"/>
      <c r="P269" s="33">
        <f>SUM(P266:P268)</f>
        <v>-34833.090000000491</v>
      </c>
      <c r="Q269" s="14"/>
      <c r="R269" s="35">
        <f>IF(P$12=0,0,P269/P$12)</f>
        <v>-1.0742706455014035E-2</v>
      </c>
      <c r="S269" s="14"/>
      <c r="T269" s="33">
        <f>SUM(T266:T268)</f>
        <v>-175118.93517748115</v>
      </c>
      <c r="U269" s="14"/>
      <c r="V269" s="35">
        <f>IF(T$12=0,0,T269/T$12)</f>
        <v>-5.0652394590111213E-2</v>
      </c>
      <c r="W269" s="15"/>
      <c r="X269" s="33">
        <f>+P269-T269</f>
        <v>140285.84517748066</v>
      </c>
      <c r="Y269" s="15"/>
      <c r="Z269" s="35">
        <f>IF(T269=0,0,X269/T269)</f>
        <v>-0.8010889572581199</v>
      </c>
    </row>
    <row r="270" spans="1:26" ht="15.75" thickTop="1" x14ac:dyDescent="0.25">
      <c r="A270" s="9"/>
      <c r="C270" s="9"/>
      <c r="D270" s="17"/>
      <c r="E270" s="17"/>
      <c r="G270" s="17"/>
      <c r="H270" s="17"/>
      <c r="I270" s="17"/>
      <c r="J270" s="42"/>
      <c r="K270" s="17"/>
      <c r="L270" s="17"/>
      <c r="M270" s="17"/>
      <c r="P270" s="17"/>
      <c r="Q270" s="17"/>
      <c r="R270" s="42"/>
      <c r="S270" s="17"/>
      <c r="T270" s="17"/>
      <c r="U270" s="17"/>
      <c r="V270" s="42"/>
      <c r="W270" s="17"/>
      <c r="X270" s="17"/>
    </row>
    <row r="271" spans="1:26" x14ac:dyDescent="0.25">
      <c r="A271" s="9"/>
      <c r="B271" s="61">
        <v>43732.705396562502</v>
      </c>
      <c r="D271" s="17"/>
      <c r="E271" s="17"/>
      <c r="G271" s="17"/>
      <c r="H271" s="17"/>
      <c r="I271" s="17"/>
      <c r="J271" s="42"/>
      <c r="K271" s="17"/>
      <c r="L271" s="17"/>
      <c r="M271" s="17"/>
      <c r="P271" s="17"/>
      <c r="Q271" s="17"/>
      <c r="R271" s="42"/>
      <c r="S271" s="17"/>
      <c r="T271" s="17"/>
      <c r="U271" s="17"/>
      <c r="V271" s="42"/>
      <c r="W271" s="17"/>
      <c r="X271" s="17"/>
    </row>
    <row r="272" spans="1:26" x14ac:dyDescent="0.25">
      <c r="A272" s="9"/>
      <c r="B272" s="62" t="s">
        <v>314</v>
      </c>
      <c r="D272" s="17"/>
      <c r="E272" s="17"/>
      <c r="G272" s="17"/>
      <c r="H272" s="17"/>
      <c r="I272" s="17"/>
      <c r="J272" s="42"/>
      <c r="K272" s="17"/>
      <c r="L272" s="17"/>
      <c r="M272" s="17"/>
      <c r="P272" s="17"/>
      <c r="Q272" s="17"/>
      <c r="R272" s="42"/>
      <c r="S272" s="17"/>
      <c r="T272" s="17"/>
      <c r="U272" s="17"/>
      <c r="V272" s="42"/>
      <c r="W272" s="17"/>
      <c r="X272" s="17"/>
    </row>
    <row r="273" spans="1:24" x14ac:dyDescent="0.25">
      <c r="A273" s="9"/>
      <c r="B273" s="58"/>
      <c r="D273" s="17"/>
      <c r="E273" s="17"/>
      <c r="G273" s="17"/>
      <c r="H273" s="17"/>
      <c r="I273" s="17"/>
      <c r="J273" s="42"/>
      <c r="K273" s="17"/>
      <c r="L273" s="17"/>
      <c r="M273" s="17"/>
      <c r="P273" s="17"/>
      <c r="Q273" s="17"/>
      <c r="R273" s="42"/>
      <c r="S273" s="17"/>
      <c r="T273" s="17"/>
      <c r="U273" s="17"/>
      <c r="V273" s="42"/>
      <c r="W273" s="17"/>
      <c r="X273" s="17"/>
    </row>
    <row r="274" spans="1:24" x14ac:dyDescent="0.25">
      <c r="D274" s="17"/>
      <c r="E274" s="17"/>
      <c r="G274" s="17"/>
      <c r="H274" s="17"/>
      <c r="I274" s="17"/>
      <c r="J274" s="42"/>
      <c r="K274" s="17"/>
      <c r="L274" s="17"/>
      <c r="M274" s="17"/>
      <c r="P274" s="17"/>
      <c r="Q274" s="17"/>
      <c r="R274" s="42"/>
      <c r="S274" s="17"/>
      <c r="T274" s="17"/>
      <c r="U274" s="17"/>
      <c r="V274" s="42"/>
      <c r="W274" s="17"/>
      <c r="X274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6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309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2703005.6900000004</v>
      </c>
      <c r="E12" s="4"/>
      <c r="F12" s="12"/>
      <c r="G12" s="4"/>
      <c r="H12" s="4">
        <f>SUM(OSRRefH13x_0)</f>
        <v>2871676.0206399998</v>
      </c>
      <c r="I12" s="4"/>
      <c r="J12" s="12"/>
      <c r="K12" s="4"/>
      <c r="L12" s="4">
        <f t="shared" ref="L12:L92" si="0">+D12-H12</f>
        <v>-168670.33063999936</v>
      </c>
      <c r="M12" s="4"/>
      <c r="N12" s="12">
        <f t="shared" ref="N12:N92" si="1">IF(H12=0,0,L12/H12)</f>
        <v>-5.8735849527485499E-2</v>
      </c>
      <c r="O12" s="10"/>
      <c r="P12" s="4">
        <f>SUM(OSRRefP13x_0)</f>
        <v>3054944.0700000017</v>
      </c>
      <c r="Q12" s="4"/>
      <c r="R12" s="12"/>
      <c r="S12" s="4"/>
      <c r="T12" s="4">
        <f>SUM(OSRRefT13x_0)</f>
        <v>3258325.4364499999</v>
      </c>
      <c r="U12" s="4"/>
      <c r="V12" s="12"/>
      <c r="W12" s="4"/>
      <c r="X12" s="4">
        <f t="shared" ref="X12:X92" si="2">+P12-T12</f>
        <v>-203381.36644999823</v>
      </c>
      <c r="Y12" s="4"/>
      <c r="Z12" s="12">
        <f t="shared" ref="Z12:Z92" si="3">IF(T12=0,0,X12/T12)</f>
        <v>-6.2418984971490642E-2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518802.02064</v>
      </c>
      <c r="I13" s="2"/>
      <c r="J13" s="21"/>
      <c r="K13" s="2"/>
      <c r="L13" s="2">
        <f t="shared" si="0"/>
        <v>-518802.02064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773111.43644999992</v>
      </c>
      <c r="U13" s="2"/>
      <c r="V13" s="21"/>
      <c r="W13" s="2"/>
      <c r="X13" s="2">
        <f t="shared" si="2"/>
        <v>-773111.43644999992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"4001", " - ", "TAXABLE SALES-NEW TEXT")</f>
        <v xml:space="preserve">          4001 - TAXABLE SALES-NEW TEXT</v>
      </c>
      <c r="C14" s="11"/>
      <c r="D14" s="2">
        <f>--1090909.72</f>
        <v>1090909.72</v>
      </c>
      <c r="E14" s="2"/>
      <c r="F14" s="21"/>
      <c r="G14" s="2"/>
      <c r="H14" s="2"/>
      <c r="I14" s="2"/>
      <c r="J14" s="21"/>
      <c r="K14" s="2"/>
      <c r="L14" s="2">
        <f t="shared" si="0"/>
        <v>1090909.72</v>
      </c>
      <c r="M14" s="2"/>
      <c r="N14" s="21">
        <f t="shared" si="1"/>
        <v>0</v>
      </c>
      <c r="O14" s="11"/>
      <c r="P14" s="2">
        <f>--1127221.97</f>
        <v>1127221.97</v>
      </c>
      <c r="Q14" s="2"/>
      <c r="R14" s="21"/>
      <c r="S14" s="2"/>
      <c r="T14" s="2"/>
      <c r="U14" s="2"/>
      <c r="V14" s="21"/>
      <c r="W14" s="2"/>
      <c r="X14" s="2">
        <f t="shared" si="2"/>
        <v>1127221.97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"4002", " - ", "TAXABLE SALES-USED TEXT")</f>
        <v xml:space="preserve">          4002 - TAXABLE SALES-USED TEXT</v>
      </c>
      <c r="C15" s="11"/>
      <c r="D15" s="2">
        <f>--533666.11</f>
        <v>533666.11</v>
      </c>
      <c r="E15" s="2"/>
      <c r="F15" s="21"/>
      <c r="G15" s="2"/>
      <c r="H15" s="2"/>
      <c r="I15" s="2"/>
      <c r="J15" s="21"/>
      <c r="K15" s="2"/>
      <c r="L15" s="2">
        <f t="shared" si="0"/>
        <v>533666.11</v>
      </c>
      <c r="M15" s="2"/>
      <c r="N15" s="21">
        <f t="shared" si="1"/>
        <v>0</v>
      </c>
      <c r="O15" s="11"/>
      <c r="P15" s="2">
        <f>--555460.92</f>
        <v>555460.92000000004</v>
      </c>
      <c r="Q15" s="2"/>
      <c r="R15" s="21"/>
      <c r="S15" s="2"/>
      <c r="T15" s="2"/>
      <c r="U15" s="2"/>
      <c r="V15" s="21"/>
      <c r="W15" s="2"/>
      <c r="X15" s="2">
        <f t="shared" si="2"/>
        <v>555460.92000000004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"4003", " - ", "TAXABLE SALES-RENTAL TEXT")</f>
        <v xml:space="preserve">          4003 - TAXABLE SALES-RENTAL TEXT</v>
      </c>
      <c r="C16" s="11"/>
      <c r="D16" s="2">
        <f>--12302.07</f>
        <v>12302.07</v>
      </c>
      <c r="E16" s="2"/>
      <c r="F16" s="21"/>
      <c r="G16" s="2"/>
      <c r="H16" s="2"/>
      <c r="I16" s="2"/>
      <c r="J16" s="21"/>
      <c r="K16" s="2"/>
      <c r="L16" s="2">
        <f t="shared" si="0"/>
        <v>12302.07</v>
      </c>
      <c r="M16" s="2"/>
      <c r="N16" s="21">
        <f t="shared" si="1"/>
        <v>0</v>
      </c>
      <c r="O16" s="11"/>
      <c r="P16" s="2">
        <f>--12736.05</f>
        <v>12736.05</v>
      </c>
      <c r="Q16" s="2"/>
      <c r="R16" s="21"/>
      <c r="S16" s="2"/>
      <c r="T16" s="2"/>
      <c r="U16" s="2"/>
      <c r="V16" s="21"/>
      <c r="W16" s="2"/>
      <c r="X16" s="2">
        <f t="shared" si="2"/>
        <v>12736.05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"4004", " - ", "TAXABLE SALES-DIGITAL TEXT")</f>
        <v xml:space="preserve">          4004 - TAXABLE SALES-DIGITAL TEXT</v>
      </c>
      <c r="C17" s="11"/>
      <c r="D17" s="2">
        <f>--22276.72</f>
        <v>22276.720000000001</v>
      </c>
      <c r="E17" s="2"/>
      <c r="F17" s="21"/>
      <c r="G17" s="2"/>
      <c r="H17" s="2"/>
      <c r="I17" s="2"/>
      <c r="J17" s="21"/>
      <c r="K17" s="2"/>
      <c r="L17" s="2">
        <f t="shared" si="0"/>
        <v>22276.720000000001</v>
      </c>
      <c r="M17" s="2"/>
      <c r="N17" s="21">
        <f t="shared" si="1"/>
        <v>0</v>
      </c>
      <c r="O17" s="11"/>
      <c r="P17" s="2">
        <f>--22410.07</f>
        <v>22410.07</v>
      </c>
      <c r="Q17" s="2"/>
      <c r="R17" s="21"/>
      <c r="S17" s="2"/>
      <c r="T17" s="2"/>
      <c r="U17" s="2"/>
      <c r="V17" s="21"/>
      <c r="W17" s="2"/>
      <c r="X17" s="2">
        <f t="shared" si="2"/>
        <v>22410.07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"4013", " - ", "TAXABLE SALES-TRADE BOOKS")</f>
        <v xml:space="preserve">          4013 - TAXABLE SALES-TRADE BOOKS</v>
      </c>
      <c r="C18" s="11"/>
      <c r="D18" s="2">
        <f>--70.86</f>
        <v>70.86</v>
      </c>
      <c r="E18" s="2"/>
      <c r="F18" s="21"/>
      <c r="G18" s="2"/>
      <c r="H18" s="2"/>
      <c r="I18" s="2"/>
      <c r="J18" s="21"/>
      <c r="K18" s="2"/>
      <c r="L18" s="2">
        <f t="shared" si="0"/>
        <v>70.86</v>
      </c>
      <c r="M18" s="2"/>
      <c r="N18" s="21">
        <f t="shared" si="1"/>
        <v>0</v>
      </c>
      <c r="O18" s="11"/>
      <c r="P18" s="2">
        <f>--110.81</f>
        <v>110.81</v>
      </c>
      <c r="Q18" s="2"/>
      <c r="R18" s="21"/>
      <c r="S18" s="2"/>
      <c r="T18" s="2"/>
      <c r="U18" s="2"/>
      <c r="V18" s="21"/>
      <c r="W18" s="2"/>
      <c r="X18" s="2">
        <f t="shared" si="2"/>
        <v>110.81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"4014", " - ", "TAXABLE SALES-REMAINDERS")</f>
        <v xml:space="preserve">          4014 - TAXABLE SALES-REMAINDERS</v>
      </c>
      <c r="C19" s="11"/>
      <c r="D19" s="2">
        <f>--175</f>
        <v>175</v>
      </c>
      <c r="E19" s="2"/>
      <c r="F19" s="21"/>
      <c r="G19" s="2"/>
      <c r="H19" s="2"/>
      <c r="I19" s="2"/>
      <c r="J19" s="21"/>
      <c r="K19" s="2"/>
      <c r="L19" s="2">
        <f t="shared" si="0"/>
        <v>175</v>
      </c>
      <c r="M19" s="2"/>
      <c r="N19" s="21">
        <f t="shared" si="1"/>
        <v>0</v>
      </c>
      <c r="O19" s="11"/>
      <c r="P19" s="2">
        <f>--425.65</f>
        <v>425.65</v>
      </c>
      <c r="Q19" s="2"/>
      <c r="R19" s="21"/>
      <c r="S19" s="2"/>
      <c r="T19" s="2"/>
      <c r="U19" s="2"/>
      <c r="V19" s="21"/>
      <c r="W19" s="2"/>
      <c r="X19" s="2">
        <f t="shared" si="2"/>
        <v>425.65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--152.83</f>
        <v>152.83000000000001</v>
      </c>
      <c r="E20" s="2"/>
      <c r="F20" s="21"/>
      <c r="G20" s="2"/>
      <c r="H20" s="2"/>
      <c r="I20" s="2"/>
      <c r="J20" s="21"/>
      <c r="K20" s="2"/>
      <c r="L20" s="2">
        <f t="shared" si="0"/>
        <v>152.83000000000001</v>
      </c>
      <c r="M20" s="2"/>
      <c r="N20" s="21">
        <f t="shared" si="1"/>
        <v>0</v>
      </c>
      <c r="O20" s="11"/>
      <c r="P20" s="2">
        <f>--157.3</f>
        <v>157.30000000000001</v>
      </c>
      <c r="Q20" s="2"/>
      <c r="R20" s="21"/>
      <c r="S20" s="2"/>
      <c r="T20" s="2"/>
      <c r="U20" s="2"/>
      <c r="V20" s="21"/>
      <c r="W20" s="2"/>
      <c r="X20" s="2">
        <f t="shared" si="2"/>
        <v>157.30000000000001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"4018", " - ", "TAXABLE SALES-STUDY GUIDES")</f>
        <v xml:space="preserve">          4018 - TAXABLE SALES-STUDY GUIDES</v>
      </c>
      <c r="C21" s="11"/>
      <c r="D21" s="2">
        <f>--1184.84</f>
        <v>1184.8399999999999</v>
      </c>
      <c r="E21" s="2"/>
      <c r="F21" s="21"/>
      <c r="G21" s="2"/>
      <c r="H21" s="2"/>
      <c r="I21" s="2"/>
      <c r="J21" s="21"/>
      <c r="K21" s="2"/>
      <c r="L21" s="2">
        <f t="shared" si="0"/>
        <v>1184.8399999999999</v>
      </c>
      <c r="M21" s="2"/>
      <c r="N21" s="21">
        <f t="shared" si="1"/>
        <v>0</v>
      </c>
      <c r="O21" s="11"/>
      <c r="P21" s="2">
        <f>--1364.13</f>
        <v>1364.13</v>
      </c>
      <c r="Q21" s="2"/>
      <c r="R21" s="21"/>
      <c r="S21" s="2"/>
      <c r="T21" s="2"/>
      <c r="U21" s="2"/>
      <c r="V21" s="21"/>
      <c r="W21" s="2"/>
      <c r="X21" s="2">
        <f t="shared" si="2"/>
        <v>1364.13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"4019", " - ", "TAXABLE SALES-BOOK RELATED")</f>
        <v xml:space="preserve">          4019 - TAXABLE SALES-BOOK RELATED</v>
      </c>
      <c r="C22" s="11"/>
      <c r="D22" s="2">
        <f>--14.95</f>
        <v>14.95</v>
      </c>
      <c r="E22" s="2"/>
      <c r="F22" s="21"/>
      <c r="G22" s="2"/>
      <c r="H22" s="2"/>
      <c r="I22" s="2"/>
      <c r="J22" s="21"/>
      <c r="K22" s="2"/>
      <c r="L22" s="2">
        <f t="shared" si="0"/>
        <v>14.95</v>
      </c>
      <c r="M22" s="2"/>
      <c r="N22" s="21">
        <f t="shared" si="1"/>
        <v>0</v>
      </c>
      <c r="O22" s="11"/>
      <c r="P22" s="2">
        <f>--14.95</f>
        <v>14.95</v>
      </c>
      <c r="Q22" s="2"/>
      <c r="R22" s="21"/>
      <c r="S22" s="2"/>
      <c r="T22" s="2"/>
      <c r="U22" s="2"/>
      <c r="V22" s="21"/>
      <c r="W22" s="2"/>
      <c r="X22" s="2">
        <f t="shared" si="2"/>
        <v>14.95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"4025", " - ", "TAXABLE SALES-TEST FORMS")</f>
        <v xml:space="preserve">          4025 - TAXABLE SALES-TEST FORMS</v>
      </c>
      <c r="C23" s="11"/>
      <c r="D23" s="2">
        <f>--4066.24</f>
        <v>4066.24</v>
      </c>
      <c r="E23" s="2"/>
      <c r="F23" s="21"/>
      <c r="G23" s="2"/>
      <c r="H23" s="2"/>
      <c r="I23" s="2"/>
      <c r="J23" s="21"/>
      <c r="K23" s="2"/>
      <c r="L23" s="2">
        <f t="shared" si="0"/>
        <v>4066.24</v>
      </c>
      <c r="M23" s="2"/>
      <c r="N23" s="21">
        <f t="shared" si="1"/>
        <v>0</v>
      </c>
      <c r="O23" s="11"/>
      <c r="P23" s="2">
        <f>--4458.53</f>
        <v>4458.53</v>
      </c>
      <c r="Q23" s="2"/>
      <c r="R23" s="21"/>
      <c r="S23" s="2"/>
      <c r="T23" s="2"/>
      <c r="U23" s="2"/>
      <c r="V23" s="21"/>
      <c r="W23" s="2"/>
      <c r="X23" s="2">
        <f t="shared" si="2"/>
        <v>4458.53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--10841.03</f>
        <v>10841.03</v>
      </c>
      <c r="E24" s="2"/>
      <c r="F24" s="21"/>
      <c r="G24" s="2"/>
      <c r="H24" s="2"/>
      <c r="I24" s="2"/>
      <c r="J24" s="21"/>
      <c r="K24" s="2"/>
      <c r="L24" s="2">
        <f t="shared" si="0"/>
        <v>10841.03</v>
      </c>
      <c r="M24" s="2"/>
      <c r="N24" s="21">
        <f t="shared" si="1"/>
        <v>0</v>
      </c>
      <c r="O24" s="11"/>
      <c r="P24" s="2">
        <f>--12776.54</f>
        <v>12776.54</v>
      </c>
      <c r="Q24" s="2"/>
      <c r="R24" s="21"/>
      <c r="S24" s="2"/>
      <c r="T24" s="2"/>
      <c r="U24" s="2"/>
      <c r="V24" s="21"/>
      <c r="W24" s="2"/>
      <c r="X24" s="2">
        <f t="shared" si="2"/>
        <v>12776.54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--65949.25</f>
        <v>65949.25</v>
      </c>
      <c r="E25" s="2"/>
      <c r="F25" s="21"/>
      <c r="G25" s="2"/>
      <c r="H25" s="2"/>
      <c r="I25" s="2"/>
      <c r="J25" s="21"/>
      <c r="K25" s="2"/>
      <c r="L25" s="2">
        <f t="shared" si="0"/>
        <v>65949.25</v>
      </c>
      <c r="M25" s="2"/>
      <c r="N25" s="21">
        <f t="shared" si="1"/>
        <v>0</v>
      </c>
      <c r="O25" s="11"/>
      <c r="P25" s="2">
        <f>--79099.25</f>
        <v>79099.25</v>
      </c>
      <c r="Q25" s="2"/>
      <c r="R25" s="21"/>
      <c r="S25" s="2"/>
      <c r="T25" s="2"/>
      <c r="U25" s="2"/>
      <c r="V25" s="21"/>
      <c r="W25" s="2"/>
      <c r="X25" s="2">
        <f t="shared" si="2"/>
        <v>79099.25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"4028", " - ", "TAXABLE SALES-ART/TECH")</f>
        <v xml:space="preserve">          4028 - TAXABLE SALES-ART/TECH</v>
      </c>
      <c r="C26" s="11"/>
      <c r="D26" s="2">
        <f>--46631.39</f>
        <v>46631.39</v>
      </c>
      <c r="E26" s="2"/>
      <c r="F26" s="21"/>
      <c r="G26" s="2"/>
      <c r="H26" s="2"/>
      <c r="I26" s="2"/>
      <c r="J26" s="21"/>
      <c r="K26" s="2"/>
      <c r="L26" s="2">
        <f t="shared" si="0"/>
        <v>46631.39</v>
      </c>
      <c r="M26" s="2"/>
      <c r="N26" s="21">
        <f t="shared" si="1"/>
        <v>0</v>
      </c>
      <c r="O26" s="11"/>
      <c r="P26" s="2">
        <f>--48915.55</f>
        <v>48915.55</v>
      </c>
      <c r="Q26" s="2"/>
      <c r="R26" s="21"/>
      <c r="S26" s="2"/>
      <c r="T26" s="2"/>
      <c r="U26" s="2"/>
      <c r="V26" s="21"/>
      <c r="W26" s="2"/>
      <c r="X26" s="2">
        <f t="shared" si="2"/>
        <v>48915.55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"4031", " - ", "TAXABLE SALES-FOOD")</f>
        <v xml:space="preserve">          4031 - TAXABLE SALES-FOOD</v>
      </c>
      <c r="C27" s="11"/>
      <c r="D27" s="2">
        <f>--30.82</f>
        <v>30.82</v>
      </c>
      <c r="E27" s="2"/>
      <c r="F27" s="21"/>
      <c r="G27" s="2"/>
      <c r="H27" s="2"/>
      <c r="I27" s="2"/>
      <c r="J27" s="21"/>
      <c r="K27" s="2"/>
      <c r="L27" s="2">
        <f t="shared" si="0"/>
        <v>30.82</v>
      </c>
      <c r="M27" s="2"/>
      <c r="N27" s="21">
        <f t="shared" si="1"/>
        <v>0</v>
      </c>
      <c r="O27" s="11"/>
      <c r="P27" s="2">
        <f>--32.34</f>
        <v>32.340000000000003</v>
      </c>
      <c r="Q27" s="2"/>
      <c r="R27" s="21"/>
      <c r="S27" s="2"/>
      <c r="T27" s="2"/>
      <c r="U27" s="2"/>
      <c r="V27" s="21"/>
      <c r="W27" s="2"/>
      <c r="X27" s="2">
        <f t="shared" si="2"/>
        <v>32.340000000000003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"4032", " - ", "TAXABLE SALES-JUICE")</f>
        <v xml:space="preserve">          4032 - TAXABLE SALES-JUICE</v>
      </c>
      <c r="C28" s="11"/>
      <c r="D28" s="2">
        <f>--2.34</f>
        <v>2.34</v>
      </c>
      <c r="E28" s="2"/>
      <c r="F28" s="21"/>
      <c r="G28" s="2"/>
      <c r="H28" s="2"/>
      <c r="I28" s="2"/>
      <c r="J28" s="21"/>
      <c r="K28" s="2"/>
      <c r="L28" s="2">
        <f t="shared" si="0"/>
        <v>2.34</v>
      </c>
      <c r="M28" s="2"/>
      <c r="N28" s="21">
        <f t="shared" si="1"/>
        <v>0</v>
      </c>
      <c r="O28" s="11"/>
      <c r="P28" s="2">
        <f>--3.81</f>
        <v>3.81</v>
      </c>
      <c r="Q28" s="2"/>
      <c r="R28" s="21"/>
      <c r="S28" s="2"/>
      <c r="T28" s="2"/>
      <c r="U28" s="2"/>
      <c r="V28" s="21"/>
      <c r="W28" s="2"/>
      <c r="X28" s="2">
        <f t="shared" si="2"/>
        <v>3.81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"4033", " - ", "TAXABLE SALES-CANDY")</f>
        <v xml:space="preserve">          4033 - TAXABLE SALES-CANDY</v>
      </c>
      <c r="C29" s="11"/>
      <c r="D29" s="2">
        <f>--9.83</f>
        <v>9.83</v>
      </c>
      <c r="E29" s="2"/>
      <c r="F29" s="21"/>
      <c r="G29" s="2"/>
      <c r="H29" s="2"/>
      <c r="I29" s="2"/>
      <c r="J29" s="21"/>
      <c r="K29" s="2"/>
      <c r="L29" s="2">
        <f t="shared" si="0"/>
        <v>9.83</v>
      </c>
      <c r="M29" s="2"/>
      <c r="N29" s="21">
        <f t="shared" si="1"/>
        <v>0</v>
      </c>
      <c r="O29" s="11"/>
      <c r="P29" s="2">
        <f>--13</f>
        <v>13</v>
      </c>
      <c r="Q29" s="2"/>
      <c r="R29" s="21"/>
      <c r="S29" s="2"/>
      <c r="T29" s="2"/>
      <c r="U29" s="2"/>
      <c r="V29" s="21"/>
      <c r="W29" s="2"/>
      <c r="X29" s="2">
        <f t="shared" si="2"/>
        <v>13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"4034", " - ", "TAXABLE SALES-SODA")</f>
        <v xml:space="preserve">          4034 - TAXABLE SALES-SODA</v>
      </c>
      <c r="C30" s="11"/>
      <c r="D30" s="2">
        <f>--280.8</f>
        <v>280.8</v>
      </c>
      <c r="E30" s="2"/>
      <c r="F30" s="21"/>
      <c r="G30" s="2"/>
      <c r="H30" s="2"/>
      <c r="I30" s="2"/>
      <c r="J30" s="21"/>
      <c r="K30" s="2"/>
      <c r="L30" s="2">
        <f t="shared" si="0"/>
        <v>280.8</v>
      </c>
      <c r="M30" s="2"/>
      <c r="N30" s="21">
        <f t="shared" si="1"/>
        <v>0</v>
      </c>
      <c r="O30" s="11"/>
      <c r="P30" s="2">
        <f>--315.54</f>
        <v>315.54000000000002</v>
      </c>
      <c r="Q30" s="2"/>
      <c r="R30" s="21"/>
      <c r="S30" s="2"/>
      <c r="T30" s="2"/>
      <c r="U30" s="2"/>
      <c r="V30" s="21"/>
      <c r="W30" s="2"/>
      <c r="X30" s="2">
        <f t="shared" si="2"/>
        <v>315.54000000000002</v>
      </c>
      <c r="Y30" s="2"/>
      <c r="Z30" s="21">
        <f t="shared" si="3"/>
        <v>0</v>
      </c>
    </row>
    <row r="31" spans="1:26" s="24" customFormat="1" hidden="1" outlineLevel="1" x14ac:dyDescent="0.25">
      <c r="A31" s="46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--92.48</f>
        <v>92.48</v>
      </c>
      <c r="E31" s="2"/>
      <c r="F31" s="21"/>
      <c r="G31" s="2"/>
      <c r="H31" s="2"/>
      <c r="I31" s="2"/>
      <c r="J31" s="21"/>
      <c r="K31" s="2"/>
      <c r="L31" s="2">
        <f t="shared" si="0"/>
        <v>92.48</v>
      </c>
      <c r="M31" s="2"/>
      <c r="N31" s="21">
        <f t="shared" si="1"/>
        <v>0</v>
      </c>
      <c r="O31" s="11"/>
      <c r="P31" s="2">
        <f>--98.45</f>
        <v>98.45</v>
      </c>
      <c r="Q31" s="2"/>
      <c r="R31" s="21"/>
      <c r="S31" s="2"/>
      <c r="T31" s="2"/>
      <c r="U31" s="2"/>
      <c r="V31" s="21"/>
      <c r="W31" s="2"/>
      <c r="X31" s="2">
        <f t="shared" si="2"/>
        <v>98.45</v>
      </c>
      <c r="Y31" s="2"/>
      <c r="Z31" s="21">
        <f t="shared" si="3"/>
        <v>0</v>
      </c>
    </row>
    <row r="32" spans="1:26" s="24" customFormat="1" hidden="1" outlineLevel="1" x14ac:dyDescent="0.25">
      <c r="A32" s="46"/>
      <c r="B32" s="11" t="str">
        <f>CONCATENATE("          ", "4037", " - ", "TAXABLE SALES-WATER")</f>
        <v xml:space="preserve">          4037 - TAXABLE SALES-WATER</v>
      </c>
      <c r="C32" s="11"/>
      <c r="D32" s="2">
        <f>--36.88</f>
        <v>36.880000000000003</v>
      </c>
      <c r="E32" s="2"/>
      <c r="F32" s="21"/>
      <c r="G32" s="2"/>
      <c r="H32" s="2"/>
      <c r="I32" s="2"/>
      <c r="J32" s="21"/>
      <c r="K32" s="2"/>
      <c r="L32" s="2">
        <f t="shared" si="0"/>
        <v>36.880000000000003</v>
      </c>
      <c r="M32" s="2"/>
      <c r="N32" s="21">
        <f t="shared" si="1"/>
        <v>0</v>
      </c>
      <c r="O32" s="11"/>
      <c r="P32" s="2">
        <f>--42.17</f>
        <v>42.17</v>
      </c>
      <c r="Q32" s="2"/>
      <c r="R32" s="21"/>
      <c r="S32" s="2"/>
      <c r="T32" s="2"/>
      <c r="U32" s="2"/>
      <c r="V32" s="21"/>
      <c r="W32" s="2"/>
      <c r="X32" s="2">
        <f t="shared" si="2"/>
        <v>42.17</v>
      </c>
      <c r="Y32" s="2"/>
      <c r="Z32" s="21">
        <f t="shared" si="3"/>
        <v>0</v>
      </c>
    </row>
    <row r="33" spans="1:26" s="24" customFormat="1" hidden="1" outlineLevel="1" x14ac:dyDescent="0.25">
      <c r="A33" s="46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--219441.66</f>
        <v>219441.66</v>
      </c>
      <c r="E33" s="2"/>
      <c r="F33" s="21"/>
      <c r="G33" s="2"/>
      <c r="H33" s="2"/>
      <c r="I33" s="2"/>
      <c r="J33" s="21"/>
      <c r="K33" s="2"/>
      <c r="L33" s="2">
        <f t="shared" si="0"/>
        <v>219441.66</v>
      </c>
      <c r="M33" s="2"/>
      <c r="N33" s="21">
        <f t="shared" si="1"/>
        <v>0</v>
      </c>
      <c r="O33" s="11"/>
      <c r="P33" s="2">
        <f>--389753.68</f>
        <v>389753.68</v>
      </c>
      <c r="Q33" s="2"/>
      <c r="R33" s="21"/>
      <c r="S33" s="2"/>
      <c r="T33" s="2"/>
      <c r="U33" s="2"/>
      <c r="V33" s="21"/>
      <c r="W33" s="2"/>
      <c r="X33" s="2">
        <f t="shared" si="2"/>
        <v>389753.68</v>
      </c>
      <c r="Y33" s="2"/>
      <c r="Z33" s="21">
        <f t="shared" si="3"/>
        <v>0</v>
      </c>
    </row>
    <row r="34" spans="1:26" s="24" customFormat="1" hidden="1" outlineLevel="1" x14ac:dyDescent="0.25">
      <c r="A34" s="46"/>
      <c r="B34" s="11" t="str">
        <f>CONCATENATE("          ", "4041", " - ", "TAXABLE SALES-LOGO GIFTS")</f>
        <v xml:space="preserve">          4041 - TAXABLE SALES-LOGO GIFTS</v>
      </c>
      <c r="C34" s="11"/>
      <c r="D34" s="2">
        <f>--120650.82</f>
        <v>120650.82</v>
      </c>
      <c r="E34" s="2"/>
      <c r="F34" s="21"/>
      <c r="G34" s="2"/>
      <c r="H34" s="2"/>
      <c r="I34" s="2"/>
      <c r="J34" s="21"/>
      <c r="K34" s="2"/>
      <c r="L34" s="2">
        <f t="shared" si="0"/>
        <v>120650.82</v>
      </c>
      <c r="M34" s="2"/>
      <c r="N34" s="21">
        <f t="shared" si="1"/>
        <v>0</v>
      </c>
      <c r="O34" s="11"/>
      <c r="P34" s="2">
        <f>--151692.41</f>
        <v>151692.41</v>
      </c>
      <c r="Q34" s="2"/>
      <c r="R34" s="21"/>
      <c r="S34" s="2"/>
      <c r="T34" s="2"/>
      <c r="U34" s="2"/>
      <c r="V34" s="21"/>
      <c r="W34" s="2"/>
      <c r="X34" s="2">
        <f t="shared" si="2"/>
        <v>151692.41</v>
      </c>
      <c r="Y34" s="2"/>
      <c r="Z34" s="21">
        <f t="shared" si="3"/>
        <v>0</v>
      </c>
    </row>
    <row r="35" spans="1:26" s="24" customFormat="1" hidden="1" outlineLevel="1" x14ac:dyDescent="0.25">
      <c r="A35" s="46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--44445.92</f>
        <v>44445.919999999998</v>
      </c>
      <c r="E35" s="2"/>
      <c r="F35" s="21"/>
      <c r="G35" s="2"/>
      <c r="H35" s="2"/>
      <c r="I35" s="2"/>
      <c r="J35" s="21"/>
      <c r="K35" s="2"/>
      <c r="L35" s="2">
        <f t="shared" si="0"/>
        <v>44445.919999999998</v>
      </c>
      <c r="M35" s="2"/>
      <c r="N35" s="21">
        <f t="shared" si="1"/>
        <v>0</v>
      </c>
      <c r="O35" s="11"/>
      <c r="P35" s="2">
        <f>--60038.97</f>
        <v>60038.97</v>
      </c>
      <c r="Q35" s="2"/>
      <c r="R35" s="21"/>
      <c r="S35" s="2"/>
      <c r="T35" s="2"/>
      <c r="U35" s="2"/>
      <c r="V35" s="21"/>
      <c r="W35" s="2"/>
      <c r="X35" s="2">
        <f t="shared" si="2"/>
        <v>60038.97</v>
      </c>
      <c r="Y35" s="2"/>
      <c r="Z35" s="21">
        <f t="shared" si="3"/>
        <v>0</v>
      </c>
    </row>
    <row r="36" spans="1:26" s="24" customFormat="1" hidden="1" outlineLevel="1" x14ac:dyDescent="0.25">
      <c r="A36" s="46"/>
      <c r="B36" s="11" t="str">
        <f>CONCATENATE("          ", "4043", " - ", "TAXABLE SALES-CARDS")</f>
        <v xml:space="preserve">          4043 - TAXABLE SALES-CARDS</v>
      </c>
      <c r="C36" s="11"/>
      <c r="D36" s="2">
        <f>--129.05</f>
        <v>129.05000000000001</v>
      </c>
      <c r="E36" s="2"/>
      <c r="F36" s="21"/>
      <c r="G36" s="2"/>
      <c r="H36" s="2"/>
      <c r="I36" s="2"/>
      <c r="J36" s="21"/>
      <c r="K36" s="2"/>
      <c r="L36" s="2">
        <f t="shared" si="0"/>
        <v>129.05000000000001</v>
      </c>
      <c r="M36" s="2"/>
      <c r="N36" s="21">
        <f t="shared" si="1"/>
        <v>0</v>
      </c>
      <c r="O36" s="11"/>
      <c r="P36" s="2">
        <f>--185.45</f>
        <v>185.45</v>
      </c>
      <c r="Q36" s="2"/>
      <c r="R36" s="21"/>
      <c r="S36" s="2"/>
      <c r="T36" s="2"/>
      <c r="U36" s="2"/>
      <c r="V36" s="21"/>
      <c r="W36" s="2"/>
      <c r="X36" s="2">
        <f t="shared" si="2"/>
        <v>185.45</v>
      </c>
      <c r="Y36" s="2"/>
      <c r="Z36" s="21">
        <f t="shared" si="3"/>
        <v>0</v>
      </c>
    </row>
    <row r="37" spans="1:26" s="24" customFormat="1" hidden="1" outlineLevel="1" x14ac:dyDescent="0.25">
      <c r="A37" s="46"/>
      <c r="B37" s="11" t="str">
        <f>CONCATENATE("          ", "4044", " - ", "TAXABLE SALES-ACCESSORIES")</f>
        <v xml:space="preserve">          4044 - TAXABLE SALES-ACCESSORIES</v>
      </c>
      <c r="C37" s="11"/>
      <c r="D37" s="2">
        <f>--19434.42</f>
        <v>19434.419999999998</v>
      </c>
      <c r="E37" s="2"/>
      <c r="F37" s="21"/>
      <c r="G37" s="2"/>
      <c r="H37" s="2"/>
      <c r="I37" s="2"/>
      <c r="J37" s="21"/>
      <c r="K37" s="2"/>
      <c r="L37" s="2">
        <f t="shared" si="0"/>
        <v>19434.419999999998</v>
      </c>
      <c r="M37" s="2"/>
      <c r="N37" s="21">
        <f t="shared" si="1"/>
        <v>0</v>
      </c>
      <c r="O37" s="11"/>
      <c r="P37" s="2">
        <f>--21777.07</f>
        <v>21777.07</v>
      </c>
      <c r="Q37" s="2"/>
      <c r="R37" s="21"/>
      <c r="S37" s="2"/>
      <c r="T37" s="2"/>
      <c r="U37" s="2"/>
      <c r="V37" s="21"/>
      <c r="W37" s="2"/>
      <c r="X37" s="2">
        <f t="shared" si="2"/>
        <v>21777.07</v>
      </c>
      <c r="Y37" s="2"/>
      <c r="Z37" s="21">
        <f t="shared" si="3"/>
        <v>0</v>
      </c>
    </row>
    <row r="38" spans="1:26" s="24" customFormat="1" hidden="1" outlineLevel="1" x14ac:dyDescent="0.25">
      <c r="A38" s="46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--6103.32</f>
        <v>6103.32</v>
      </c>
      <c r="E38" s="2"/>
      <c r="F38" s="21"/>
      <c r="G38" s="2"/>
      <c r="H38" s="2"/>
      <c r="I38" s="2"/>
      <c r="J38" s="21"/>
      <c r="K38" s="2"/>
      <c r="L38" s="2">
        <f t="shared" si="0"/>
        <v>6103.32</v>
      </c>
      <c r="M38" s="2"/>
      <c r="N38" s="21">
        <f t="shared" si="1"/>
        <v>0</v>
      </c>
      <c r="O38" s="11"/>
      <c r="P38" s="2">
        <f>--25524.04</f>
        <v>25524.04</v>
      </c>
      <c r="Q38" s="2"/>
      <c r="R38" s="21"/>
      <c r="S38" s="2"/>
      <c r="T38" s="2"/>
      <c r="U38" s="2"/>
      <c r="V38" s="21"/>
      <c r="W38" s="2"/>
      <c r="X38" s="2">
        <f t="shared" si="2"/>
        <v>25524.04</v>
      </c>
      <c r="Y38" s="2"/>
      <c r="Z38" s="21">
        <f t="shared" si="3"/>
        <v>0</v>
      </c>
    </row>
    <row r="39" spans="1:26" s="24" customFormat="1" hidden="1" outlineLevel="1" x14ac:dyDescent="0.25">
      <c r="A39" s="46"/>
      <c r="B39" s="11" t="str">
        <f>CONCATENATE("          ", "4047", " - ", "TAXABLE SALES-MISC")</f>
        <v xml:space="preserve">          4047 - TAXABLE SALES-MISC</v>
      </c>
      <c r="C39" s="11"/>
      <c r="D39" s="2">
        <f>--442.38</f>
        <v>442.38</v>
      </c>
      <c r="E39" s="2"/>
      <c r="F39" s="21"/>
      <c r="G39" s="2"/>
      <c r="H39" s="2"/>
      <c r="I39" s="2"/>
      <c r="J39" s="21"/>
      <c r="K39" s="2"/>
      <c r="L39" s="2">
        <f t="shared" si="0"/>
        <v>442.38</v>
      </c>
      <c r="M39" s="2"/>
      <c r="N39" s="21">
        <f t="shared" si="1"/>
        <v>0</v>
      </c>
      <c r="O39" s="11"/>
      <c r="P39" s="2">
        <f>--482.38</f>
        <v>482.38</v>
      </c>
      <c r="Q39" s="2"/>
      <c r="R39" s="21"/>
      <c r="S39" s="2"/>
      <c r="T39" s="2"/>
      <c r="U39" s="2"/>
      <c r="V39" s="21"/>
      <c r="W39" s="2"/>
      <c r="X39" s="2">
        <f t="shared" si="2"/>
        <v>482.38</v>
      </c>
      <c r="Y39" s="2"/>
      <c r="Z39" s="21">
        <f t="shared" si="3"/>
        <v>0</v>
      </c>
    </row>
    <row r="40" spans="1:26" s="24" customFormat="1" hidden="1" outlineLevel="1" x14ac:dyDescent="0.25">
      <c r="A40" s="46"/>
      <c r="B40" s="11" t="str">
        <f>CONCATENATE("          ", "4081", " - ", "TAXABLE SALES-ELECTRONICS")</f>
        <v xml:space="preserve">          4081 - TAXABLE SALES-ELECTRONICS</v>
      </c>
      <c r="C40" s="11"/>
      <c r="D40" s="2">
        <f>--260.88</f>
        <v>260.88</v>
      </c>
      <c r="E40" s="2"/>
      <c r="F40" s="21"/>
      <c r="G40" s="2"/>
      <c r="H40" s="2"/>
      <c r="I40" s="2"/>
      <c r="J40" s="21"/>
      <c r="K40" s="2"/>
      <c r="L40" s="2">
        <f t="shared" si="0"/>
        <v>260.88</v>
      </c>
      <c r="M40" s="2"/>
      <c r="N40" s="21">
        <f t="shared" si="1"/>
        <v>0</v>
      </c>
      <c r="O40" s="11"/>
      <c r="P40" s="2">
        <f>--268.86</f>
        <v>268.86</v>
      </c>
      <c r="Q40" s="2"/>
      <c r="R40" s="21"/>
      <c r="S40" s="2"/>
      <c r="T40" s="2"/>
      <c r="U40" s="2"/>
      <c r="V40" s="21"/>
      <c r="W40" s="2"/>
      <c r="X40" s="2">
        <f t="shared" si="2"/>
        <v>268.86</v>
      </c>
      <c r="Y40" s="2"/>
      <c r="Z40" s="21">
        <f t="shared" si="3"/>
        <v>0</v>
      </c>
    </row>
    <row r="41" spans="1:26" s="24" customFormat="1" hidden="1" outlineLevel="1" x14ac:dyDescent="0.25">
      <c r="A41" s="46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>--19</f>
        <v>19</v>
      </c>
      <c r="E41" s="2"/>
      <c r="F41" s="21"/>
      <c r="G41" s="2"/>
      <c r="H41" s="2"/>
      <c r="I41" s="2"/>
      <c r="J41" s="21"/>
      <c r="K41" s="2"/>
      <c r="L41" s="2">
        <f t="shared" si="0"/>
        <v>19</v>
      </c>
      <c r="M41" s="2"/>
      <c r="N41" s="21">
        <f t="shared" si="1"/>
        <v>0</v>
      </c>
      <c r="O41" s="11"/>
      <c r="P41" s="2">
        <f>--38</f>
        <v>38</v>
      </c>
      <c r="Q41" s="2"/>
      <c r="R41" s="21"/>
      <c r="S41" s="2"/>
      <c r="T41" s="2"/>
      <c r="U41" s="2"/>
      <c r="V41" s="21"/>
      <c r="W41" s="2"/>
      <c r="X41" s="2">
        <f t="shared" si="2"/>
        <v>38</v>
      </c>
      <c r="Y41" s="2"/>
      <c r="Z41" s="21">
        <f t="shared" si="3"/>
        <v>0</v>
      </c>
    </row>
    <row r="42" spans="1:26" s="24" customFormat="1" hidden="1" outlineLevel="1" x14ac:dyDescent="0.25">
      <c r="A42" s="46"/>
      <c r="B42" s="11" t="str">
        <f>CONCATENATE("          ", "4083", " - ", "TAXABLE SALES-COMPUTER EQUIPME")</f>
        <v xml:space="preserve">          4083 - TAXABLE SALES-COMPUTER EQUIPME</v>
      </c>
      <c r="C42" s="11"/>
      <c r="D42" s="2">
        <f>--29.98</f>
        <v>29.98</v>
      </c>
      <c r="E42" s="2"/>
      <c r="F42" s="21"/>
      <c r="G42" s="2"/>
      <c r="H42" s="2"/>
      <c r="I42" s="2"/>
      <c r="J42" s="21"/>
      <c r="K42" s="2"/>
      <c r="L42" s="2">
        <f t="shared" si="0"/>
        <v>29.98</v>
      </c>
      <c r="M42" s="2"/>
      <c r="N42" s="21">
        <f t="shared" si="1"/>
        <v>0</v>
      </c>
      <c r="O42" s="11"/>
      <c r="P42" s="2">
        <f>--29.98</f>
        <v>29.98</v>
      </c>
      <c r="Q42" s="2"/>
      <c r="R42" s="21"/>
      <c r="S42" s="2"/>
      <c r="T42" s="2"/>
      <c r="U42" s="2"/>
      <c r="V42" s="21"/>
      <c r="W42" s="2"/>
      <c r="X42" s="2">
        <f t="shared" si="2"/>
        <v>29.98</v>
      </c>
      <c r="Y42" s="2"/>
      <c r="Z42" s="21">
        <f t="shared" si="3"/>
        <v>0</v>
      </c>
    </row>
    <row r="43" spans="1:26" s="24" customFormat="1" hidden="1" outlineLevel="1" x14ac:dyDescent="0.25">
      <c r="A43" s="46"/>
      <c r="B43" s="11" t="str">
        <f>CONCATENATE("          ", "4086", " - ", "TAXABLE SALES-COMPUTER SUPPLIE")</f>
        <v xml:space="preserve">          4086 - TAXABLE SALES-COMPUTER SUPPLIE</v>
      </c>
      <c r="C43" s="11"/>
      <c r="D43" s="2">
        <f>--93.96</f>
        <v>93.96</v>
      </c>
      <c r="E43" s="2"/>
      <c r="F43" s="21"/>
      <c r="G43" s="2"/>
      <c r="H43" s="2"/>
      <c r="I43" s="2"/>
      <c r="J43" s="21"/>
      <c r="K43" s="2"/>
      <c r="L43" s="2">
        <f t="shared" si="0"/>
        <v>93.96</v>
      </c>
      <c r="M43" s="2"/>
      <c r="N43" s="21">
        <f t="shared" si="1"/>
        <v>0</v>
      </c>
      <c r="O43" s="11"/>
      <c r="P43" s="2">
        <f>--108.95</f>
        <v>108.95</v>
      </c>
      <c r="Q43" s="2"/>
      <c r="R43" s="21"/>
      <c r="S43" s="2"/>
      <c r="T43" s="2"/>
      <c r="U43" s="2"/>
      <c r="V43" s="21"/>
      <c r="W43" s="2"/>
      <c r="X43" s="2">
        <f t="shared" si="2"/>
        <v>108.95</v>
      </c>
      <c r="Y43" s="2"/>
      <c r="Z43" s="21">
        <f t="shared" si="3"/>
        <v>0</v>
      </c>
    </row>
    <row r="44" spans="1:26" s="24" customFormat="1" hidden="1" outlineLevel="1" x14ac:dyDescent="0.25">
      <c r="A44" s="46"/>
      <c r="B44" s="11" t="str">
        <f>CONCATENATE("          ", "4092", " - ", "TAXABLE SALES-GRAD MERCH")</f>
        <v xml:space="preserve">          4092 - TAXABLE SALES-GRAD MERCH</v>
      </c>
      <c r="C44" s="11"/>
      <c r="D44" s="2">
        <f>--1694.1</f>
        <v>1694.1</v>
      </c>
      <c r="E44" s="2"/>
      <c r="F44" s="21"/>
      <c r="G44" s="2"/>
      <c r="H44" s="2"/>
      <c r="I44" s="2"/>
      <c r="J44" s="21"/>
      <c r="K44" s="2"/>
      <c r="L44" s="2">
        <f t="shared" si="0"/>
        <v>1694.1</v>
      </c>
      <c r="M44" s="2"/>
      <c r="N44" s="21">
        <f t="shared" si="1"/>
        <v>0</v>
      </c>
      <c r="O44" s="11"/>
      <c r="P44" s="2">
        <f>--3822.73</f>
        <v>3822.73</v>
      </c>
      <c r="Q44" s="2"/>
      <c r="R44" s="21"/>
      <c r="S44" s="2"/>
      <c r="T44" s="2"/>
      <c r="U44" s="2"/>
      <c r="V44" s="21"/>
      <c r="W44" s="2"/>
      <c r="X44" s="2">
        <f t="shared" si="2"/>
        <v>3822.73</v>
      </c>
      <c r="Y44" s="2"/>
      <c r="Z44" s="21">
        <f t="shared" si="3"/>
        <v>0</v>
      </c>
    </row>
    <row r="45" spans="1:26" s="24" customFormat="1" hidden="1" outlineLevel="1" x14ac:dyDescent="0.25">
      <c r="A45" s="46"/>
      <c r="B45" s="11" t="str">
        <f>CONCATENATE("          ", "4095", " - ", "TAXABLE SALES-CUSTOMER SERVICE")</f>
        <v xml:space="preserve">          4095 - TAXABLE SALES-CUSTOMER SERVICE</v>
      </c>
      <c r="C45" s="11"/>
      <c r="D45" s="2">
        <f>--127.49</f>
        <v>127.49</v>
      </c>
      <c r="E45" s="2"/>
      <c r="F45" s="21"/>
      <c r="G45" s="2"/>
      <c r="H45" s="2"/>
      <c r="I45" s="2"/>
      <c r="J45" s="21"/>
      <c r="K45" s="2"/>
      <c r="L45" s="2">
        <f t="shared" si="0"/>
        <v>127.49</v>
      </c>
      <c r="M45" s="2"/>
      <c r="N45" s="21">
        <f t="shared" si="1"/>
        <v>0</v>
      </c>
      <c r="O45" s="11"/>
      <c r="P45" s="2">
        <f>--174.02</f>
        <v>174.02</v>
      </c>
      <c r="Q45" s="2"/>
      <c r="R45" s="21"/>
      <c r="S45" s="2"/>
      <c r="T45" s="2"/>
      <c r="U45" s="2"/>
      <c r="V45" s="21"/>
      <c r="W45" s="2"/>
      <c r="X45" s="2">
        <f t="shared" si="2"/>
        <v>174.02</v>
      </c>
      <c r="Y45" s="2"/>
      <c r="Z45" s="21">
        <f t="shared" si="3"/>
        <v>0</v>
      </c>
    </row>
    <row r="46" spans="1:26" s="24" customFormat="1" hidden="1" outlineLevel="1" x14ac:dyDescent="0.25">
      <c r="A46" s="46"/>
      <c r="B46" s="11" t="str">
        <f>CONCATENATE("          ", "4100", " - ", "NON-TAXABLE SALES")</f>
        <v xml:space="preserve">          4100 - NON-TAXABLE SALES</v>
      </c>
      <c r="C46" s="11"/>
      <c r="D46" s="2">
        <f>--261252.23</f>
        <v>261252.23</v>
      </c>
      <c r="E46" s="2"/>
      <c r="F46" s="21"/>
      <c r="G46" s="2"/>
      <c r="H46" s="2">
        <v>2352874</v>
      </c>
      <c r="I46" s="2"/>
      <c r="J46" s="21"/>
      <c r="K46" s="2"/>
      <c r="L46" s="2">
        <f t="shared" si="0"/>
        <v>-2091621.77</v>
      </c>
      <c r="M46" s="2"/>
      <c r="N46" s="21">
        <f t="shared" si="1"/>
        <v>-0.88896463219024902</v>
      </c>
      <c r="O46" s="11"/>
      <c r="P46" s="2">
        <f>--265514.43</f>
        <v>265514.43</v>
      </c>
      <c r="Q46" s="2"/>
      <c r="R46" s="21"/>
      <c r="S46" s="2"/>
      <c r="T46" s="2">
        <v>2485214</v>
      </c>
      <c r="U46" s="2"/>
      <c r="V46" s="21"/>
      <c r="W46" s="2"/>
      <c r="X46" s="2">
        <f t="shared" si="2"/>
        <v>-2219699.5699999998</v>
      </c>
      <c r="Y46" s="2"/>
      <c r="Z46" s="21">
        <f t="shared" si="3"/>
        <v>-0.89316234738738787</v>
      </c>
    </row>
    <row r="47" spans="1:26" s="24" customFormat="1" hidden="1" outlineLevel="1" x14ac:dyDescent="0.25">
      <c r="A47" s="46"/>
      <c r="B47" s="11" t="str">
        <f>CONCATENATE("          ", "4101", " - ", "NON-TAXABLE SALES-NEW TEXT")</f>
        <v xml:space="preserve">          4101 - NON-TAXABLE SALES-NEW TEXT</v>
      </c>
      <c r="C47" s="11"/>
      <c r="D47" s="2">
        <f>--48156.44</f>
        <v>48156.44</v>
      </c>
      <c r="E47" s="2"/>
      <c r="F47" s="21"/>
      <c r="G47" s="2"/>
      <c r="H47" s="2"/>
      <c r="I47" s="2"/>
      <c r="J47" s="21"/>
      <c r="K47" s="2"/>
      <c r="L47" s="2">
        <f t="shared" si="0"/>
        <v>48156.44</v>
      </c>
      <c r="M47" s="2"/>
      <c r="N47" s="21">
        <f t="shared" si="1"/>
        <v>0</v>
      </c>
      <c r="O47" s="11"/>
      <c r="P47" s="2">
        <f>--55893.02</f>
        <v>55893.02</v>
      </c>
      <c r="Q47" s="2"/>
      <c r="R47" s="21"/>
      <c r="S47" s="2"/>
      <c r="T47" s="2"/>
      <c r="U47" s="2"/>
      <c r="V47" s="21"/>
      <c r="W47" s="2"/>
      <c r="X47" s="2">
        <f t="shared" si="2"/>
        <v>55893.02</v>
      </c>
      <c r="Y47" s="2"/>
      <c r="Z47" s="21">
        <f t="shared" si="3"/>
        <v>0</v>
      </c>
    </row>
    <row r="48" spans="1:26" s="24" customFormat="1" hidden="1" outlineLevel="1" x14ac:dyDescent="0.25">
      <c r="A48" s="46"/>
      <c r="B48" s="11" t="str">
        <f>CONCATENATE("          ", "4102", " - ", "NON-TAXABLE SALES-USED TEXT")</f>
        <v xml:space="preserve">          4102 - NON-TAXABLE SALES-USED TEXT</v>
      </c>
      <c r="C48" s="11"/>
      <c r="D48" s="2">
        <f>--27115.09</f>
        <v>27115.09</v>
      </c>
      <c r="E48" s="2"/>
      <c r="F48" s="21"/>
      <c r="G48" s="2"/>
      <c r="H48" s="2"/>
      <c r="I48" s="2"/>
      <c r="J48" s="21"/>
      <c r="K48" s="2"/>
      <c r="L48" s="2">
        <f t="shared" si="0"/>
        <v>27115.09</v>
      </c>
      <c r="M48" s="2"/>
      <c r="N48" s="21">
        <f t="shared" si="1"/>
        <v>0</v>
      </c>
      <c r="O48" s="11"/>
      <c r="P48" s="2">
        <f>--32474.33</f>
        <v>32474.33</v>
      </c>
      <c r="Q48" s="2"/>
      <c r="R48" s="21"/>
      <c r="S48" s="2"/>
      <c r="T48" s="2"/>
      <c r="U48" s="2"/>
      <c r="V48" s="21"/>
      <c r="W48" s="2"/>
      <c r="X48" s="2">
        <f t="shared" si="2"/>
        <v>32474.33</v>
      </c>
      <c r="Y48" s="2"/>
      <c r="Z48" s="21">
        <f t="shared" si="3"/>
        <v>0</v>
      </c>
    </row>
    <row r="49" spans="1:26" s="24" customFormat="1" hidden="1" outlineLevel="1" x14ac:dyDescent="0.25">
      <c r="A49" s="46"/>
      <c r="B49" s="11" t="str">
        <f>CONCATENATE("          ", "4103", " - ", "NON-TAXABLE SALES-RENTAL TEXT")</f>
        <v xml:space="preserve">          4103 - NON-TAXABLE SALES-RENTAL TEXT</v>
      </c>
      <c r="C49" s="11"/>
      <c r="D49" s="2">
        <f>--474.97</f>
        <v>474.97</v>
      </c>
      <c r="E49" s="2"/>
      <c r="F49" s="21"/>
      <c r="G49" s="2"/>
      <c r="H49" s="2"/>
      <c r="I49" s="2"/>
      <c r="J49" s="21"/>
      <c r="K49" s="2"/>
      <c r="L49" s="2">
        <f t="shared" si="0"/>
        <v>474.97</v>
      </c>
      <c r="M49" s="2"/>
      <c r="N49" s="21">
        <f t="shared" si="1"/>
        <v>0</v>
      </c>
      <c r="O49" s="11"/>
      <c r="P49" s="2">
        <f>--474.97</f>
        <v>474.97</v>
      </c>
      <c r="Q49" s="2"/>
      <c r="R49" s="21"/>
      <c r="S49" s="2"/>
      <c r="T49" s="2"/>
      <c r="U49" s="2"/>
      <c r="V49" s="21"/>
      <c r="W49" s="2"/>
      <c r="X49" s="2">
        <f t="shared" si="2"/>
        <v>474.97</v>
      </c>
      <c r="Y49" s="2"/>
      <c r="Z49" s="21">
        <f t="shared" si="3"/>
        <v>0</v>
      </c>
    </row>
    <row r="50" spans="1:26" s="24" customFormat="1" hidden="1" outlineLevel="1" x14ac:dyDescent="0.25">
      <c r="A50" s="46"/>
      <c r="B50" s="11" t="str">
        <f>CONCATENATE("          ", "4104", " - ", "NON-TAXABLE SALES-DIGITAL TEXT")</f>
        <v xml:space="preserve">          4104 - NON-TAXABLE SALES-DIGITAL TEXT</v>
      </c>
      <c r="C50" s="11"/>
      <c r="D50" s="2">
        <f>--246443.9</f>
        <v>246443.9</v>
      </c>
      <c r="E50" s="2"/>
      <c r="F50" s="21"/>
      <c r="G50" s="2"/>
      <c r="H50" s="2"/>
      <c r="I50" s="2"/>
      <c r="J50" s="21"/>
      <c r="K50" s="2"/>
      <c r="L50" s="2">
        <f t="shared" si="0"/>
        <v>246443.9</v>
      </c>
      <c r="M50" s="2"/>
      <c r="N50" s="21">
        <f t="shared" si="1"/>
        <v>0</v>
      </c>
      <c r="O50" s="11"/>
      <c r="P50" s="2">
        <f>--259868.07</f>
        <v>259868.07</v>
      </c>
      <c r="Q50" s="2"/>
      <c r="R50" s="21"/>
      <c r="S50" s="2"/>
      <c r="T50" s="2"/>
      <c r="U50" s="2"/>
      <c r="V50" s="21"/>
      <c r="W50" s="2"/>
      <c r="X50" s="2">
        <f t="shared" si="2"/>
        <v>259868.07</v>
      </c>
      <c r="Y50" s="2"/>
      <c r="Z50" s="21">
        <f t="shared" si="3"/>
        <v>0</v>
      </c>
    </row>
    <row r="51" spans="1:26" s="24" customFormat="1" hidden="1" outlineLevel="1" x14ac:dyDescent="0.25">
      <c r="A51" s="46"/>
      <c r="B51" s="11" t="str">
        <f>CONCATENATE("          ", "4111", " - ", "NON-TAXABLE SALES-NO VALUE TEX")</f>
        <v xml:space="preserve">          4111 - NON-TAXABLE SALES-NO VALUE TEX</v>
      </c>
      <c r="C51" s="11"/>
      <c r="D51" s="2">
        <f>--3067.16</f>
        <v>3067.16</v>
      </c>
      <c r="E51" s="2"/>
      <c r="F51" s="21"/>
      <c r="G51" s="2"/>
      <c r="H51" s="2"/>
      <c r="I51" s="2"/>
      <c r="J51" s="21"/>
      <c r="K51" s="2"/>
      <c r="L51" s="2">
        <f t="shared" si="0"/>
        <v>3067.16</v>
      </c>
      <c r="M51" s="2"/>
      <c r="N51" s="21">
        <f t="shared" si="1"/>
        <v>0</v>
      </c>
      <c r="O51" s="11"/>
      <c r="P51" s="2">
        <f>--5748.11</f>
        <v>5748.11</v>
      </c>
      <c r="Q51" s="2"/>
      <c r="R51" s="21"/>
      <c r="S51" s="2"/>
      <c r="T51" s="2"/>
      <c r="U51" s="2"/>
      <c r="V51" s="21"/>
      <c r="W51" s="2"/>
      <c r="X51" s="2">
        <f t="shared" si="2"/>
        <v>5748.11</v>
      </c>
      <c r="Y51" s="2"/>
      <c r="Z51" s="21">
        <f t="shared" si="3"/>
        <v>0</v>
      </c>
    </row>
    <row r="52" spans="1:26" s="24" customFormat="1" hidden="1" outlineLevel="1" x14ac:dyDescent="0.25">
      <c r="A52" s="46"/>
      <c r="B52" s="11" t="str">
        <f>CONCATENATE("          ", "4113", " - ", "NON-TAXABLE SALES-TRADE BOOKS")</f>
        <v xml:space="preserve">          4113 - NON-TAXABLE SALES-TRADE BOOKS</v>
      </c>
      <c r="C52" s="11"/>
      <c r="D52" s="2">
        <f>--12.72</f>
        <v>12.72</v>
      </c>
      <c r="E52" s="2"/>
      <c r="F52" s="21"/>
      <c r="G52" s="2"/>
      <c r="H52" s="2"/>
      <c r="I52" s="2"/>
      <c r="J52" s="21"/>
      <c r="K52" s="2"/>
      <c r="L52" s="2">
        <f t="shared" si="0"/>
        <v>12.72</v>
      </c>
      <c r="M52" s="2"/>
      <c r="N52" s="21">
        <f t="shared" si="1"/>
        <v>0</v>
      </c>
      <c r="O52" s="11"/>
      <c r="P52" s="2">
        <f>--1146.72</f>
        <v>1146.72</v>
      </c>
      <c r="Q52" s="2"/>
      <c r="R52" s="21"/>
      <c r="S52" s="2"/>
      <c r="T52" s="2"/>
      <c r="U52" s="2"/>
      <c r="V52" s="21"/>
      <c r="W52" s="2"/>
      <c r="X52" s="2">
        <f t="shared" si="2"/>
        <v>1146.72</v>
      </c>
      <c r="Y52" s="2"/>
      <c r="Z52" s="21">
        <f t="shared" si="3"/>
        <v>0</v>
      </c>
    </row>
    <row r="53" spans="1:26" s="24" customFormat="1" hidden="1" outlineLevel="1" x14ac:dyDescent="0.25">
      <c r="A53" s="46"/>
      <c r="B53" s="11" t="str">
        <f>CONCATENATE("          ", "4118", " - ", "NON-TAXABLE SALES-STUDY GUIDES")</f>
        <v xml:space="preserve">          4118 - NON-TAXABLE SALES-STUDY GUIDES</v>
      </c>
      <c r="C53" s="11"/>
      <c r="D53" s="2">
        <f>--7.02</f>
        <v>7.02</v>
      </c>
      <c r="E53" s="2"/>
      <c r="F53" s="21"/>
      <c r="G53" s="2"/>
      <c r="H53" s="2"/>
      <c r="I53" s="2"/>
      <c r="J53" s="21"/>
      <c r="K53" s="2"/>
      <c r="L53" s="2">
        <f t="shared" si="0"/>
        <v>7.02</v>
      </c>
      <c r="M53" s="2"/>
      <c r="N53" s="21">
        <f t="shared" si="1"/>
        <v>0</v>
      </c>
      <c r="O53" s="11"/>
      <c r="P53" s="2">
        <f>--13.97</f>
        <v>13.97</v>
      </c>
      <c r="Q53" s="2"/>
      <c r="R53" s="21"/>
      <c r="S53" s="2"/>
      <c r="T53" s="2"/>
      <c r="U53" s="2"/>
      <c r="V53" s="21"/>
      <c r="W53" s="2"/>
      <c r="X53" s="2">
        <f t="shared" si="2"/>
        <v>13.97</v>
      </c>
      <c r="Y53" s="2"/>
      <c r="Z53" s="21">
        <f t="shared" si="3"/>
        <v>0</v>
      </c>
    </row>
    <row r="54" spans="1:26" s="24" customFormat="1" hidden="1" outlineLevel="1" x14ac:dyDescent="0.25">
      <c r="A54" s="46"/>
      <c r="B54" s="11" t="str">
        <f>CONCATENATE("          ", "4125", " - ", "NON-TAXABLE SALES-TEST FORMS")</f>
        <v xml:space="preserve">          4125 - NON-TAXABLE SALES-TEST FORMS</v>
      </c>
      <c r="C54" s="11"/>
      <c r="D54" s="2">
        <f>--77.17</f>
        <v>77.17</v>
      </c>
      <c r="E54" s="2"/>
      <c r="F54" s="21"/>
      <c r="G54" s="2"/>
      <c r="H54" s="2"/>
      <c r="I54" s="2"/>
      <c r="J54" s="21"/>
      <c r="K54" s="2"/>
      <c r="L54" s="2">
        <f t="shared" si="0"/>
        <v>77.17</v>
      </c>
      <c r="M54" s="2"/>
      <c r="N54" s="21">
        <f t="shared" si="1"/>
        <v>0</v>
      </c>
      <c r="O54" s="11"/>
      <c r="P54" s="2">
        <f>--82.15</f>
        <v>82.15</v>
      </c>
      <c r="Q54" s="2"/>
      <c r="R54" s="21"/>
      <c r="S54" s="2"/>
      <c r="T54" s="2"/>
      <c r="U54" s="2"/>
      <c r="V54" s="21"/>
      <c r="W54" s="2"/>
      <c r="X54" s="2">
        <f t="shared" si="2"/>
        <v>82.15</v>
      </c>
      <c r="Y54" s="2"/>
      <c r="Z54" s="21">
        <f t="shared" si="3"/>
        <v>0</v>
      </c>
    </row>
    <row r="55" spans="1:26" s="24" customFormat="1" hidden="1" outlineLevel="1" x14ac:dyDescent="0.25">
      <c r="A55" s="46"/>
      <c r="B55" s="11" t="str">
        <f>CONCATENATE("          ", "4126", " - ", "NON-TAXABLE SALES-WRITING INST")</f>
        <v xml:space="preserve">          4126 - NON-TAXABLE SALES-WRITING INST</v>
      </c>
      <c r="C55" s="11"/>
      <c r="D55" s="2">
        <f>--844.09</f>
        <v>844.09</v>
      </c>
      <c r="E55" s="2"/>
      <c r="F55" s="21"/>
      <c r="G55" s="2"/>
      <c r="H55" s="2"/>
      <c r="I55" s="2"/>
      <c r="J55" s="21"/>
      <c r="K55" s="2"/>
      <c r="L55" s="2">
        <f t="shared" si="0"/>
        <v>844.09</v>
      </c>
      <c r="M55" s="2"/>
      <c r="N55" s="21">
        <f t="shared" si="1"/>
        <v>0</v>
      </c>
      <c r="O55" s="11"/>
      <c r="P55" s="2">
        <f>--1011.12</f>
        <v>1011.12</v>
      </c>
      <c r="Q55" s="2"/>
      <c r="R55" s="21"/>
      <c r="S55" s="2"/>
      <c r="T55" s="2"/>
      <c r="U55" s="2"/>
      <c r="V55" s="21"/>
      <c r="W55" s="2"/>
      <c r="X55" s="2">
        <f t="shared" si="2"/>
        <v>1011.12</v>
      </c>
      <c r="Y55" s="2"/>
      <c r="Z55" s="21">
        <f t="shared" si="3"/>
        <v>0</v>
      </c>
    </row>
    <row r="56" spans="1:26" s="24" customFormat="1" hidden="1" outlineLevel="1" x14ac:dyDescent="0.25">
      <c r="A56" s="46"/>
      <c r="B56" s="11" t="str">
        <f>CONCATENATE("          ", "4127", " - ", "NON-TAXABLE SALES-SCHOOL SUPPL")</f>
        <v xml:space="preserve">          4127 - NON-TAXABLE SALES-SCHOOL SUPPL</v>
      </c>
      <c r="C56" s="11"/>
      <c r="D56" s="2">
        <f>--1692.39</f>
        <v>1692.39</v>
      </c>
      <c r="E56" s="2"/>
      <c r="F56" s="21"/>
      <c r="G56" s="2"/>
      <c r="H56" s="2"/>
      <c r="I56" s="2"/>
      <c r="J56" s="21"/>
      <c r="K56" s="2"/>
      <c r="L56" s="2">
        <f t="shared" si="0"/>
        <v>1692.39</v>
      </c>
      <c r="M56" s="2"/>
      <c r="N56" s="21">
        <f t="shared" si="1"/>
        <v>0</v>
      </c>
      <c r="O56" s="11"/>
      <c r="P56" s="2">
        <f>--1870.28</f>
        <v>1870.28</v>
      </c>
      <c r="Q56" s="2"/>
      <c r="R56" s="21"/>
      <c r="S56" s="2"/>
      <c r="T56" s="2"/>
      <c r="U56" s="2"/>
      <c r="V56" s="21"/>
      <c r="W56" s="2"/>
      <c r="X56" s="2">
        <f t="shared" si="2"/>
        <v>1870.28</v>
      </c>
      <c r="Y56" s="2"/>
      <c r="Z56" s="21">
        <f t="shared" si="3"/>
        <v>0</v>
      </c>
    </row>
    <row r="57" spans="1:26" s="24" customFormat="1" hidden="1" outlineLevel="1" x14ac:dyDescent="0.25">
      <c r="A57" s="46"/>
      <c r="B57" s="11" t="str">
        <f>CONCATENATE("          ", "4128", " - ", "NON-TAXABLE SALES-ART/TECH")</f>
        <v xml:space="preserve">          4128 - NON-TAXABLE SALES-ART/TECH</v>
      </c>
      <c r="C57" s="11"/>
      <c r="D57" s="2">
        <f>--128.61</f>
        <v>128.61000000000001</v>
      </c>
      <c r="E57" s="2"/>
      <c r="F57" s="21"/>
      <c r="G57" s="2"/>
      <c r="H57" s="2"/>
      <c r="I57" s="2"/>
      <c r="J57" s="21"/>
      <c r="K57" s="2"/>
      <c r="L57" s="2">
        <f t="shared" si="0"/>
        <v>128.61000000000001</v>
      </c>
      <c r="M57" s="2"/>
      <c r="N57" s="21">
        <f t="shared" si="1"/>
        <v>0</v>
      </c>
      <c r="O57" s="11"/>
      <c r="P57" s="2">
        <f>--130.1</f>
        <v>130.1</v>
      </c>
      <c r="Q57" s="2"/>
      <c r="R57" s="21"/>
      <c r="S57" s="2"/>
      <c r="T57" s="2"/>
      <c r="U57" s="2"/>
      <c r="V57" s="21"/>
      <c r="W57" s="2"/>
      <c r="X57" s="2">
        <f t="shared" si="2"/>
        <v>130.1</v>
      </c>
      <c r="Y57" s="2"/>
      <c r="Z57" s="21">
        <f t="shared" si="3"/>
        <v>0</v>
      </c>
    </row>
    <row r="58" spans="1:26" s="24" customFormat="1" hidden="1" outlineLevel="1" x14ac:dyDescent="0.25">
      <c r="A58" s="46"/>
      <c r="B58" s="11" t="str">
        <f>CONCATENATE("          ", "4131", " - ", "NON-TAXABLE SALES-FOOD")</f>
        <v xml:space="preserve">          4131 - NON-TAXABLE SALES-FOOD</v>
      </c>
      <c r="C58" s="11"/>
      <c r="D58" s="2">
        <f>--2447.58</f>
        <v>2447.58</v>
      </c>
      <c r="E58" s="2"/>
      <c r="F58" s="21"/>
      <c r="G58" s="2"/>
      <c r="H58" s="2"/>
      <c r="I58" s="2"/>
      <c r="J58" s="21"/>
      <c r="K58" s="2"/>
      <c r="L58" s="2">
        <f t="shared" si="0"/>
        <v>2447.58</v>
      </c>
      <c r="M58" s="2"/>
      <c r="N58" s="21">
        <f t="shared" si="1"/>
        <v>0</v>
      </c>
      <c r="O58" s="11"/>
      <c r="P58" s="2">
        <f>--2717.2</f>
        <v>2717.2</v>
      </c>
      <c r="Q58" s="2"/>
      <c r="R58" s="21"/>
      <c r="S58" s="2"/>
      <c r="T58" s="2"/>
      <c r="U58" s="2"/>
      <c r="V58" s="21"/>
      <c r="W58" s="2"/>
      <c r="X58" s="2">
        <f t="shared" si="2"/>
        <v>2717.2</v>
      </c>
      <c r="Y58" s="2"/>
      <c r="Z58" s="21">
        <f t="shared" si="3"/>
        <v>0</v>
      </c>
    </row>
    <row r="59" spans="1:26" s="24" customFormat="1" hidden="1" outlineLevel="1" x14ac:dyDescent="0.25">
      <c r="A59" s="46"/>
      <c r="B59" s="11" t="str">
        <f>CONCATENATE("          ", "4132", " - ", "NON-TAXABLE SALES-JUICE")</f>
        <v xml:space="preserve">          4132 - NON-TAXABLE SALES-JUICE</v>
      </c>
      <c r="C59" s="11"/>
      <c r="D59" s="2">
        <f>--713.6</f>
        <v>713.6</v>
      </c>
      <c r="E59" s="2"/>
      <c r="F59" s="21"/>
      <c r="G59" s="2"/>
      <c r="H59" s="2"/>
      <c r="I59" s="2"/>
      <c r="J59" s="21"/>
      <c r="K59" s="2"/>
      <c r="L59" s="2">
        <f t="shared" si="0"/>
        <v>713.6</v>
      </c>
      <c r="M59" s="2"/>
      <c r="N59" s="21">
        <f t="shared" si="1"/>
        <v>0</v>
      </c>
      <c r="O59" s="11"/>
      <c r="P59" s="2">
        <f>--758.91</f>
        <v>758.91</v>
      </c>
      <c r="Q59" s="2"/>
      <c r="R59" s="21"/>
      <c r="S59" s="2"/>
      <c r="T59" s="2"/>
      <c r="U59" s="2"/>
      <c r="V59" s="21"/>
      <c r="W59" s="2"/>
      <c r="X59" s="2">
        <f t="shared" si="2"/>
        <v>758.91</v>
      </c>
      <c r="Y59" s="2"/>
      <c r="Z59" s="21">
        <f t="shared" si="3"/>
        <v>0</v>
      </c>
    </row>
    <row r="60" spans="1:26" s="24" customFormat="1" hidden="1" outlineLevel="1" x14ac:dyDescent="0.25">
      <c r="A60" s="46"/>
      <c r="B60" s="11" t="str">
        <f>CONCATENATE("          ", "4133", " - ", "NON-TAXABLE SALES-CANDY")</f>
        <v xml:space="preserve">          4133 - NON-TAXABLE SALES-CANDY</v>
      </c>
      <c r="C60" s="11"/>
      <c r="D60" s="2">
        <f>--900.13</f>
        <v>900.13</v>
      </c>
      <c r="E60" s="2"/>
      <c r="F60" s="21"/>
      <c r="G60" s="2"/>
      <c r="H60" s="2"/>
      <c r="I60" s="2"/>
      <c r="J60" s="21"/>
      <c r="K60" s="2"/>
      <c r="L60" s="2">
        <f t="shared" si="0"/>
        <v>900.13</v>
      </c>
      <c r="M60" s="2"/>
      <c r="N60" s="21">
        <f t="shared" si="1"/>
        <v>0</v>
      </c>
      <c r="O60" s="11"/>
      <c r="P60" s="2">
        <f>--1372.35</f>
        <v>1372.35</v>
      </c>
      <c r="Q60" s="2"/>
      <c r="R60" s="21"/>
      <c r="S60" s="2"/>
      <c r="T60" s="2"/>
      <c r="U60" s="2"/>
      <c r="V60" s="21"/>
      <c r="W60" s="2"/>
      <c r="X60" s="2">
        <f t="shared" si="2"/>
        <v>1372.35</v>
      </c>
      <c r="Y60" s="2"/>
      <c r="Z60" s="21">
        <f t="shared" si="3"/>
        <v>0</v>
      </c>
    </row>
    <row r="61" spans="1:26" s="24" customFormat="1" hidden="1" outlineLevel="1" x14ac:dyDescent="0.25">
      <c r="A61" s="46"/>
      <c r="B61" s="11" t="str">
        <f>CONCATENATE("          ", "4135", " - ", "NON-TAXABLE SALES")</f>
        <v xml:space="preserve">          4135 - NON-TAXABLE SALES</v>
      </c>
      <c r="C61" s="11"/>
      <c r="D61" s="2">
        <f>--32.21</f>
        <v>32.21</v>
      </c>
      <c r="E61" s="2"/>
      <c r="F61" s="21"/>
      <c r="G61" s="2"/>
      <c r="H61" s="2"/>
      <c r="I61" s="2"/>
      <c r="J61" s="21"/>
      <c r="K61" s="2"/>
      <c r="L61" s="2">
        <f t="shared" si="0"/>
        <v>32.21</v>
      </c>
      <c r="M61" s="2"/>
      <c r="N61" s="21">
        <f t="shared" si="1"/>
        <v>0</v>
      </c>
      <c r="O61" s="11"/>
      <c r="P61" s="2">
        <f>--53.75</f>
        <v>53.75</v>
      </c>
      <c r="Q61" s="2"/>
      <c r="R61" s="21"/>
      <c r="S61" s="2"/>
      <c r="T61" s="2"/>
      <c r="U61" s="2"/>
      <c r="V61" s="21"/>
      <c r="W61" s="2"/>
      <c r="X61" s="2">
        <f t="shared" si="2"/>
        <v>53.75</v>
      </c>
      <c r="Y61" s="2"/>
      <c r="Z61" s="21">
        <f t="shared" si="3"/>
        <v>0</v>
      </c>
    </row>
    <row r="62" spans="1:26" s="24" customFormat="1" hidden="1" outlineLevel="1" x14ac:dyDescent="0.25">
      <c r="A62" s="46"/>
      <c r="B62" s="11" t="str">
        <f>CONCATENATE("          ", "4137", " - ", "NON-TAXABLE SALES-WATER")</f>
        <v xml:space="preserve">          4137 - NON-TAXABLE SALES-WATER</v>
      </c>
      <c r="C62" s="11"/>
      <c r="D62" s="2">
        <f>--553.7</f>
        <v>553.70000000000005</v>
      </c>
      <c r="E62" s="2"/>
      <c r="F62" s="21"/>
      <c r="G62" s="2"/>
      <c r="H62" s="2"/>
      <c r="I62" s="2"/>
      <c r="J62" s="21"/>
      <c r="K62" s="2"/>
      <c r="L62" s="2">
        <f t="shared" si="0"/>
        <v>553.70000000000005</v>
      </c>
      <c r="M62" s="2"/>
      <c r="N62" s="21">
        <f t="shared" si="1"/>
        <v>0</v>
      </c>
      <c r="O62" s="11"/>
      <c r="P62" s="2">
        <f>--606.72</f>
        <v>606.72</v>
      </c>
      <c r="Q62" s="2"/>
      <c r="R62" s="21"/>
      <c r="S62" s="2"/>
      <c r="T62" s="2"/>
      <c r="U62" s="2"/>
      <c r="V62" s="21"/>
      <c r="W62" s="2"/>
      <c r="X62" s="2">
        <f t="shared" si="2"/>
        <v>606.72</v>
      </c>
      <c r="Y62" s="2"/>
      <c r="Z62" s="21">
        <f t="shared" si="3"/>
        <v>0</v>
      </c>
    </row>
    <row r="63" spans="1:26" s="24" customFormat="1" hidden="1" outlineLevel="1" x14ac:dyDescent="0.25">
      <c r="A63" s="46"/>
      <c r="B63" s="11" t="str">
        <f>CONCATENATE("          ", "4140", " - ", "NON-TAXABLE SALES-LOGO CLOTHIN")</f>
        <v xml:space="preserve">          4140 - NON-TAXABLE SALES-LOGO CLOTHIN</v>
      </c>
      <c r="C63" s="11"/>
      <c r="D63" s="2">
        <f>--1979.29</f>
        <v>1979.29</v>
      </c>
      <c r="E63" s="2"/>
      <c r="F63" s="21"/>
      <c r="G63" s="2"/>
      <c r="H63" s="2"/>
      <c r="I63" s="2"/>
      <c r="J63" s="21"/>
      <c r="K63" s="2"/>
      <c r="L63" s="2">
        <f t="shared" si="0"/>
        <v>1979.29</v>
      </c>
      <c r="M63" s="2"/>
      <c r="N63" s="21">
        <f t="shared" si="1"/>
        <v>0</v>
      </c>
      <c r="O63" s="11"/>
      <c r="P63" s="2">
        <f>--5142.96</f>
        <v>5142.96</v>
      </c>
      <c r="Q63" s="2"/>
      <c r="R63" s="21"/>
      <c r="S63" s="2"/>
      <c r="T63" s="2"/>
      <c r="U63" s="2"/>
      <c r="V63" s="21"/>
      <c r="W63" s="2"/>
      <c r="X63" s="2">
        <f t="shared" si="2"/>
        <v>5142.96</v>
      </c>
      <c r="Y63" s="2"/>
      <c r="Z63" s="21">
        <f t="shared" si="3"/>
        <v>0</v>
      </c>
    </row>
    <row r="64" spans="1:26" s="24" customFormat="1" hidden="1" outlineLevel="1" x14ac:dyDescent="0.25">
      <c r="A64" s="46"/>
      <c r="B64" s="11" t="str">
        <f>CONCATENATE("          ", "4141", " - ", "NON-TAXABLE SALES-LOGO GIFTS")</f>
        <v xml:space="preserve">          4141 - NON-TAXABLE SALES-LOGO GIFTS</v>
      </c>
      <c r="C64" s="11"/>
      <c r="D64" s="2">
        <f>--432.15</f>
        <v>432.15</v>
      </c>
      <c r="E64" s="2"/>
      <c r="F64" s="21"/>
      <c r="G64" s="2"/>
      <c r="H64" s="2"/>
      <c r="I64" s="2"/>
      <c r="J64" s="21"/>
      <c r="K64" s="2"/>
      <c r="L64" s="2">
        <f t="shared" si="0"/>
        <v>432.15</v>
      </c>
      <c r="M64" s="2"/>
      <c r="N64" s="21">
        <f t="shared" si="1"/>
        <v>0</v>
      </c>
      <c r="O64" s="11"/>
      <c r="P64" s="2">
        <f>--694.3</f>
        <v>694.3</v>
      </c>
      <c r="Q64" s="2"/>
      <c r="R64" s="21"/>
      <c r="S64" s="2"/>
      <c r="T64" s="2"/>
      <c r="U64" s="2"/>
      <c r="V64" s="21"/>
      <c r="W64" s="2"/>
      <c r="X64" s="2">
        <f t="shared" si="2"/>
        <v>694.3</v>
      </c>
      <c r="Y64" s="2"/>
      <c r="Z64" s="21">
        <f t="shared" si="3"/>
        <v>0</v>
      </c>
    </row>
    <row r="65" spans="1:26" s="24" customFormat="1" hidden="1" outlineLevel="1" x14ac:dyDescent="0.25">
      <c r="A65" s="46"/>
      <c r="B65" s="11" t="str">
        <f>CONCATENATE("          ", "4142", " - ", "NON-TAXABLE SALES-EVERYDAY GIF")</f>
        <v xml:space="preserve">          4142 - NON-TAXABLE SALES-EVERYDAY GIF</v>
      </c>
      <c r="C65" s="11"/>
      <c r="D65" s="2">
        <f>--577.66</f>
        <v>577.66</v>
      </c>
      <c r="E65" s="2"/>
      <c r="F65" s="21"/>
      <c r="G65" s="2"/>
      <c r="H65" s="2"/>
      <c r="I65" s="2"/>
      <c r="J65" s="21"/>
      <c r="K65" s="2"/>
      <c r="L65" s="2">
        <f t="shared" si="0"/>
        <v>577.66</v>
      </c>
      <c r="M65" s="2"/>
      <c r="N65" s="21">
        <f t="shared" si="1"/>
        <v>0</v>
      </c>
      <c r="O65" s="11"/>
      <c r="P65" s="2">
        <f>--920.1</f>
        <v>920.1</v>
      </c>
      <c r="Q65" s="2"/>
      <c r="R65" s="21"/>
      <c r="S65" s="2"/>
      <c r="T65" s="2"/>
      <c r="U65" s="2"/>
      <c r="V65" s="21"/>
      <c r="W65" s="2"/>
      <c r="X65" s="2">
        <f t="shared" si="2"/>
        <v>920.1</v>
      </c>
      <c r="Y65" s="2"/>
      <c r="Z65" s="21">
        <f t="shared" si="3"/>
        <v>0</v>
      </c>
    </row>
    <row r="66" spans="1:26" s="24" customFormat="1" hidden="1" outlineLevel="1" x14ac:dyDescent="0.25">
      <c r="A66" s="46"/>
      <c r="B66" s="11" t="str">
        <f>CONCATENATE("          ", "4144", " - ", "NON-TAXABLE SALES-ACCESSORIES")</f>
        <v xml:space="preserve">          4144 - NON-TAXABLE SALES-ACCESSORIES</v>
      </c>
      <c r="C66" s="11"/>
      <c r="D66" s="2">
        <f>--117.86</f>
        <v>117.86</v>
      </c>
      <c r="E66" s="2"/>
      <c r="F66" s="21"/>
      <c r="G66" s="2"/>
      <c r="H66" s="2"/>
      <c r="I66" s="2"/>
      <c r="J66" s="21"/>
      <c r="K66" s="2"/>
      <c r="L66" s="2">
        <f t="shared" si="0"/>
        <v>117.86</v>
      </c>
      <c r="M66" s="2"/>
      <c r="N66" s="21">
        <f t="shared" si="1"/>
        <v>0</v>
      </c>
      <c r="O66" s="11"/>
      <c r="P66" s="2">
        <f>--139.76</f>
        <v>139.76</v>
      </c>
      <c r="Q66" s="2"/>
      <c r="R66" s="21"/>
      <c r="S66" s="2"/>
      <c r="T66" s="2"/>
      <c r="U66" s="2"/>
      <c r="V66" s="21"/>
      <c r="W66" s="2"/>
      <c r="X66" s="2">
        <f t="shared" si="2"/>
        <v>139.76</v>
      </c>
      <c r="Y66" s="2"/>
      <c r="Z66" s="21">
        <f t="shared" si="3"/>
        <v>0</v>
      </c>
    </row>
    <row r="67" spans="1:26" s="24" customFormat="1" hidden="1" outlineLevel="1" x14ac:dyDescent="0.25">
      <c r="A67" s="46"/>
      <c r="B67" s="11" t="str">
        <f>CONCATENATE("          ", "4145", " - ", "NON-TAXABLE SALES-SPECIAL ORDE")</f>
        <v xml:space="preserve">          4145 - NON-TAXABLE SALES-SPECIAL ORDE</v>
      </c>
      <c r="C67" s="11"/>
      <c r="D67" s="2">
        <f>--90</f>
        <v>90</v>
      </c>
      <c r="E67" s="2"/>
      <c r="F67" s="21"/>
      <c r="G67" s="2"/>
      <c r="H67" s="2"/>
      <c r="I67" s="2"/>
      <c r="J67" s="21"/>
      <c r="K67" s="2"/>
      <c r="L67" s="2">
        <f t="shared" si="0"/>
        <v>90</v>
      </c>
      <c r="M67" s="2"/>
      <c r="N67" s="21">
        <f t="shared" si="1"/>
        <v>0</v>
      </c>
      <c r="O67" s="11"/>
      <c r="P67" s="2">
        <f>--90</f>
        <v>90</v>
      </c>
      <c r="Q67" s="2"/>
      <c r="R67" s="21"/>
      <c r="S67" s="2"/>
      <c r="T67" s="2"/>
      <c r="U67" s="2"/>
      <c r="V67" s="21"/>
      <c r="W67" s="2"/>
      <c r="X67" s="2">
        <f t="shared" si="2"/>
        <v>90</v>
      </c>
      <c r="Y67" s="2"/>
      <c r="Z67" s="21">
        <f t="shared" si="3"/>
        <v>0</v>
      </c>
    </row>
    <row r="68" spans="1:26" s="24" customFormat="1" hidden="1" outlineLevel="1" x14ac:dyDescent="0.25">
      <c r="A68" s="46"/>
      <c r="B68" s="11" t="str">
        <f>CONCATENATE("          ", "4146", " - ", "NON-TAXABLE SALES-COIN OP MACH")</f>
        <v xml:space="preserve">          4146 - NON-TAXABLE SALES-COIN OP MACH</v>
      </c>
      <c r="C68" s="11"/>
      <c r="D68" s="2">
        <f>--13281.65</f>
        <v>13281.65</v>
      </c>
      <c r="E68" s="2"/>
      <c r="F68" s="21"/>
      <c r="G68" s="2"/>
      <c r="H68" s="2"/>
      <c r="I68" s="2"/>
      <c r="J68" s="21"/>
      <c r="K68" s="2"/>
      <c r="L68" s="2">
        <f t="shared" si="0"/>
        <v>13281.65</v>
      </c>
      <c r="M68" s="2"/>
      <c r="N68" s="21">
        <f t="shared" si="1"/>
        <v>0</v>
      </c>
      <c r="O68" s="11"/>
      <c r="P68" s="2">
        <f>--15348.75</f>
        <v>15348.75</v>
      </c>
      <c r="Q68" s="2"/>
      <c r="R68" s="21"/>
      <c r="S68" s="2"/>
      <c r="T68" s="2"/>
      <c r="U68" s="2"/>
      <c r="V68" s="21"/>
      <c r="W68" s="2"/>
      <c r="X68" s="2">
        <f t="shared" si="2"/>
        <v>15348.75</v>
      </c>
      <c r="Y68" s="2"/>
      <c r="Z68" s="21">
        <f t="shared" si="3"/>
        <v>0</v>
      </c>
    </row>
    <row r="69" spans="1:26" s="24" customFormat="1" hidden="1" outlineLevel="1" x14ac:dyDescent="0.25">
      <c r="A69" s="46"/>
      <c r="B69" s="11" t="str">
        <f>CONCATENATE("          ", "4147", " - ", "NON-TAXABLE SALES-MISC")</f>
        <v xml:space="preserve">          4147 - NON-TAXABLE SALES-MISC</v>
      </c>
      <c r="C69" s="11"/>
      <c r="D69" s="2">
        <f>--53.9</f>
        <v>53.9</v>
      </c>
      <c r="E69" s="2"/>
      <c r="F69" s="21"/>
      <c r="G69" s="2"/>
      <c r="H69" s="2"/>
      <c r="I69" s="2"/>
      <c r="J69" s="21"/>
      <c r="K69" s="2"/>
      <c r="L69" s="2">
        <f t="shared" si="0"/>
        <v>53.9</v>
      </c>
      <c r="M69" s="2"/>
      <c r="N69" s="21">
        <f t="shared" si="1"/>
        <v>0</v>
      </c>
      <c r="O69" s="11"/>
      <c r="P69" s="2">
        <f>--70.4</f>
        <v>70.400000000000006</v>
      </c>
      <c r="Q69" s="2"/>
      <c r="R69" s="21"/>
      <c r="S69" s="2"/>
      <c r="T69" s="2"/>
      <c r="U69" s="2"/>
      <c r="V69" s="21"/>
      <c r="W69" s="2"/>
      <c r="X69" s="2">
        <f t="shared" si="2"/>
        <v>70.400000000000006</v>
      </c>
      <c r="Y69" s="2"/>
      <c r="Z69" s="21">
        <f t="shared" si="3"/>
        <v>0</v>
      </c>
    </row>
    <row r="70" spans="1:26" s="24" customFormat="1" hidden="1" outlineLevel="1" x14ac:dyDescent="0.25">
      <c r="A70" s="46"/>
      <c r="B70" s="11" t="str">
        <f>CONCATENATE("          ", "4201", " - ", "SALES RETURN TAXABLE-NEW TEXT")</f>
        <v xml:space="preserve">          4201 - SALES RETURN TAXABLE-NEW TEXT</v>
      </c>
      <c r="C70" s="11"/>
      <c r="D70" s="2">
        <f>-58563.26</f>
        <v>-58563.26</v>
      </c>
      <c r="E70" s="2"/>
      <c r="F70" s="21"/>
      <c r="G70" s="2"/>
      <c r="H70" s="2"/>
      <c r="I70" s="2"/>
      <c r="J70" s="21"/>
      <c r="K70" s="2"/>
      <c r="L70" s="2">
        <f t="shared" si="0"/>
        <v>-58563.26</v>
      </c>
      <c r="M70" s="2"/>
      <c r="N70" s="21">
        <f t="shared" si="1"/>
        <v>0</v>
      </c>
      <c r="O70" s="11"/>
      <c r="P70" s="2">
        <f>-59170.41</f>
        <v>-59170.41</v>
      </c>
      <c r="Q70" s="2"/>
      <c r="R70" s="21"/>
      <c r="S70" s="2"/>
      <c r="T70" s="2"/>
      <c r="U70" s="2"/>
      <c r="V70" s="21"/>
      <c r="W70" s="2"/>
      <c r="X70" s="2">
        <f t="shared" si="2"/>
        <v>-59170.41</v>
      </c>
      <c r="Y70" s="2"/>
      <c r="Z70" s="21">
        <f t="shared" si="3"/>
        <v>0</v>
      </c>
    </row>
    <row r="71" spans="1:26" s="24" customFormat="1" hidden="1" outlineLevel="1" x14ac:dyDescent="0.25">
      <c r="A71" s="46"/>
      <c r="B71" s="11" t="str">
        <f>CONCATENATE("          ", "4202", " - ", "SALES RETURN TAXABLE-USED TEXT")</f>
        <v xml:space="preserve">          4202 - SALES RETURN TAXABLE-USED TEXT</v>
      </c>
      <c r="C71" s="11"/>
      <c r="D71" s="2">
        <f>-20533</f>
        <v>-20533</v>
      </c>
      <c r="E71" s="2"/>
      <c r="F71" s="21"/>
      <c r="G71" s="2"/>
      <c r="H71" s="2"/>
      <c r="I71" s="2"/>
      <c r="J71" s="21"/>
      <c r="K71" s="2"/>
      <c r="L71" s="2">
        <f t="shared" si="0"/>
        <v>-20533</v>
      </c>
      <c r="M71" s="2"/>
      <c r="N71" s="21">
        <f t="shared" si="1"/>
        <v>0</v>
      </c>
      <c r="O71" s="11"/>
      <c r="P71" s="2">
        <f>-21254.45</f>
        <v>-21254.45</v>
      </c>
      <c r="Q71" s="2"/>
      <c r="R71" s="21"/>
      <c r="S71" s="2"/>
      <c r="T71" s="2"/>
      <c r="U71" s="2"/>
      <c r="V71" s="21"/>
      <c r="W71" s="2"/>
      <c r="X71" s="2">
        <f t="shared" si="2"/>
        <v>-21254.45</v>
      </c>
      <c r="Y71" s="2"/>
      <c r="Z71" s="21">
        <f t="shared" si="3"/>
        <v>0</v>
      </c>
    </row>
    <row r="72" spans="1:26" s="24" customFormat="1" hidden="1" outlineLevel="1" x14ac:dyDescent="0.25">
      <c r="A72" s="46"/>
      <c r="B72" s="11" t="str">
        <f>CONCATENATE("          ", "4204", " - ", "SALES RETURN TAXABLE-DIGITAL T")</f>
        <v xml:space="preserve">          4204 - SALES RETURN TAXABLE-DIGITAL T</v>
      </c>
      <c r="C72" s="11"/>
      <c r="D72" s="2">
        <f>-6848.37</f>
        <v>-6848.37</v>
      </c>
      <c r="E72" s="2"/>
      <c r="F72" s="21"/>
      <c r="G72" s="2"/>
      <c r="H72" s="2"/>
      <c r="I72" s="2"/>
      <c r="J72" s="21"/>
      <c r="K72" s="2"/>
      <c r="L72" s="2">
        <f t="shared" si="0"/>
        <v>-6848.37</v>
      </c>
      <c r="M72" s="2"/>
      <c r="N72" s="21">
        <f t="shared" si="1"/>
        <v>0</v>
      </c>
      <c r="O72" s="11"/>
      <c r="P72" s="2">
        <f>-6848.37</f>
        <v>-6848.37</v>
      </c>
      <c r="Q72" s="2"/>
      <c r="R72" s="21"/>
      <c r="S72" s="2"/>
      <c r="T72" s="2"/>
      <c r="U72" s="2"/>
      <c r="V72" s="21"/>
      <c r="W72" s="2"/>
      <c r="X72" s="2">
        <f t="shared" si="2"/>
        <v>-6848.37</v>
      </c>
      <c r="Y72" s="2"/>
      <c r="Z72" s="21">
        <f t="shared" si="3"/>
        <v>0</v>
      </c>
    </row>
    <row r="73" spans="1:26" s="24" customFormat="1" hidden="1" outlineLevel="1" x14ac:dyDescent="0.25">
      <c r="A73" s="46"/>
      <c r="B73" s="11" t="str">
        <f>CONCATENATE("          ", "4218", " - ", "SALES RETURN TAXABLE-STUDY GUI")</f>
        <v xml:space="preserve">          4218 - SALES RETURN TAXABLE-STUDY GUI</v>
      </c>
      <c r="C73" s="11"/>
      <c r="D73" s="2">
        <f>-26.8</f>
        <v>-26.8</v>
      </c>
      <c r="E73" s="2"/>
      <c r="F73" s="21"/>
      <c r="G73" s="2"/>
      <c r="H73" s="2"/>
      <c r="I73" s="2"/>
      <c r="J73" s="21"/>
      <c r="K73" s="2"/>
      <c r="L73" s="2">
        <f t="shared" si="0"/>
        <v>-26.8</v>
      </c>
      <c r="M73" s="2"/>
      <c r="N73" s="21">
        <f t="shared" si="1"/>
        <v>0</v>
      </c>
      <c r="O73" s="11"/>
      <c r="P73" s="2">
        <f>-26.8</f>
        <v>-26.8</v>
      </c>
      <c r="Q73" s="2"/>
      <c r="R73" s="21"/>
      <c r="S73" s="2"/>
      <c r="T73" s="2"/>
      <c r="U73" s="2"/>
      <c r="V73" s="21"/>
      <c r="W73" s="2"/>
      <c r="X73" s="2">
        <f t="shared" si="2"/>
        <v>-26.8</v>
      </c>
      <c r="Y73" s="2"/>
      <c r="Z73" s="21">
        <f t="shared" si="3"/>
        <v>0</v>
      </c>
    </row>
    <row r="74" spans="1:26" s="24" customFormat="1" hidden="1" outlineLevel="1" x14ac:dyDescent="0.25">
      <c r="A74" s="46"/>
      <c r="B74" s="11" t="str">
        <f>CONCATENATE("          ", "4225", " - ", "SALES RETURN TAXABLE-TEST FORM")</f>
        <v xml:space="preserve">          4225 - SALES RETURN TAXABLE-TEST FORM</v>
      </c>
      <c r="C74" s="11"/>
      <c r="D74" s="2">
        <f>-8.61</f>
        <v>-8.61</v>
      </c>
      <c r="E74" s="2"/>
      <c r="F74" s="21"/>
      <c r="G74" s="2"/>
      <c r="H74" s="2"/>
      <c r="I74" s="2"/>
      <c r="J74" s="21"/>
      <c r="K74" s="2"/>
      <c r="L74" s="2">
        <f t="shared" si="0"/>
        <v>-8.61</v>
      </c>
      <c r="M74" s="2"/>
      <c r="N74" s="21">
        <f t="shared" si="1"/>
        <v>0</v>
      </c>
      <c r="O74" s="11"/>
      <c r="P74" s="2">
        <f>-12.69</f>
        <v>-12.69</v>
      </c>
      <c r="Q74" s="2"/>
      <c r="R74" s="21"/>
      <c r="S74" s="2"/>
      <c r="T74" s="2"/>
      <c r="U74" s="2"/>
      <c r="V74" s="21"/>
      <c r="W74" s="2"/>
      <c r="X74" s="2">
        <f t="shared" si="2"/>
        <v>-12.69</v>
      </c>
      <c r="Y74" s="2"/>
      <c r="Z74" s="21">
        <f t="shared" si="3"/>
        <v>0</v>
      </c>
    </row>
    <row r="75" spans="1:26" s="24" customFormat="1" hidden="1" outlineLevel="1" x14ac:dyDescent="0.25">
      <c r="A75" s="46"/>
      <c r="B75" s="11" t="str">
        <f>CONCATENATE("          ", "4226", " - ", "SALES RETURN TAXABLE-WRITING I")</f>
        <v xml:space="preserve">          4226 - SALES RETURN TAXABLE-WRITING I</v>
      </c>
      <c r="C75" s="11"/>
      <c r="D75" s="2">
        <f>-60.28</f>
        <v>-60.28</v>
      </c>
      <c r="E75" s="2"/>
      <c r="F75" s="21"/>
      <c r="G75" s="2"/>
      <c r="H75" s="2"/>
      <c r="I75" s="2"/>
      <c r="J75" s="21"/>
      <c r="K75" s="2"/>
      <c r="L75" s="2">
        <f t="shared" si="0"/>
        <v>-60.28</v>
      </c>
      <c r="M75" s="2"/>
      <c r="N75" s="21">
        <f t="shared" si="1"/>
        <v>0</v>
      </c>
      <c r="O75" s="11"/>
      <c r="P75" s="2">
        <f>-124.21</f>
        <v>-124.21</v>
      </c>
      <c r="Q75" s="2"/>
      <c r="R75" s="21"/>
      <c r="S75" s="2"/>
      <c r="T75" s="2"/>
      <c r="U75" s="2"/>
      <c r="V75" s="21"/>
      <c r="W75" s="2"/>
      <c r="X75" s="2">
        <f t="shared" si="2"/>
        <v>-124.21</v>
      </c>
      <c r="Y75" s="2"/>
      <c r="Z75" s="21">
        <f t="shared" si="3"/>
        <v>0</v>
      </c>
    </row>
    <row r="76" spans="1:26" s="24" customFormat="1" hidden="1" outlineLevel="1" x14ac:dyDescent="0.25">
      <c r="A76" s="46"/>
      <c r="B76" s="11" t="str">
        <f>CONCATENATE("          ", "4227", " - ", "SALES RETURN TAXABLE-SCHOOL SU")</f>
        <v xml:space="preserve">          4227 - SALES RETURN TAXABLE-SCHOOL SU</v>
      </c>
      <c r="C76" s="11"/>
      <c r="D76" s="2">
        <f>-1531.15</f>
        <v>-1531.15</v>
      </c>
      <c r="E76" s="2"/>
      <c r="F76" s="21"/>
      <c r="G76" s="2"/>
      <c r="H76" s="2"/>
      <c r="I76" s="2"/>
      <c r="J76" s="21"/>
      <c r="K76" s="2"/>
      <c r="L76" s="2">
        <f t="shared" si="0"/>
        <v>-1531.15</v>
      </c>
      <c r="M76" s="2"/>
      <c r="N76" s="21">
        <f t="shared" si="1"/>
        <v>0</v>
      </c>
      <c r="O76" s="11"/>
      <c r="P76" s="2">
        <f>-1696.59</f>
        <v>-1696.59</v>
      </c>
      <c r="Q76" s="2"/>
      <c r="R76" s="21"/>
      <c r="S76" s="2"/>
      <c r="T76" s="2"/>
      <c r="U76" s="2"/>
      <c r="V76" s="21"/>
      <c r="W76" s="2"/>
      <c r="X76" s="2">
        <f t="shared" si="2"/>
        <v>-1696.59</v>
      </c>
      <c r="Y76" s="2"/>
      <c r="Z76" s="21">
        <f t="shared" si="3"/>
        <v>0</v>
      </c>
    </row>
    <row r="77" spans="1:26" s="24" customFormat="1" hidden="1" outlineLevel="1" x14ac:dyDescent="0.25">
      <c r="A77" s="46"/>
      <c r="B77" s="11" t="str">
        <f>CONCATENATE("          ", "4228", " - ", "SALES RETURN TAXABLE-ART/TECH")</f>
        <v xml:space="preserve">          4228 - SALES RETURN TAXABLE-ART/TECH</v>
      </c>
      <c r="C77" s="11"/>
      <c r="D77" s="2">
        <f>-858.36</f>
        <v>-858.36</v>
      </c>
      <c r="E77" s="2"/>
      <c r="F77" s="21"/>
      <c r="G77" s="2"/>
      <c r="H77" s="2"/>
      <c r="I77" s="2"/>
      <c r="J77" s="21"/>
      <c r="K77" s="2"/>
      <c r="L77" s="2">
        <f t="shared" si="0"/>
        <v>-858.36</v>
      </c>
      <c r="M77" s="2"/>
      <c r="N77" s="21">
        <f t="shared" si="1"/>
        <v>0</v>
      </c>
      <c r="O77" s="11"/>
      <c r="P77" s="2">
        <f>-868.73</f>
        <v>-868.73</v>
      </c>
      <c r="Q77" s="2"/>
      <c r="R77" s="21"/>
      <c r="S77" s="2"/>
      <c r="T77" s="2"/>
      <c r="U77" s="2"/>
      <c r="V77" s="21"/>
      <c r="W77" s="2"/>
      <c r="X77" s="2">
        <f t="shared" si="2"/>
        <v>-868.73</v>
      </c>
      <c r="Y77" s="2"/>
      <c r="Z77" s="21">
        <f t="shared" si="3"/>
        <v>0</v>
      </c>
    </row>
    <row r="78" spans="1:26" s="24" customFormat="1" hidden="1" outlineLevel="1" x14ac:dyDescent="0.25">
      <c r="A78" s="46"/>
      <c r="B78" s="11" t="str">
        <f>CONCATENATE("          ", "4240", " - ", "SALES RETURN TAXABLE-LOGO CLOT")</f>
        <v xml:space="preserve">          4240 - SALES RETURN TAXABLE-LOGO CLOT</v>
      </c>
      <c r="C78" s="11"/>
      <c r="D78" s="2">
        <f>-6807.65</f>
        <v>-6807.65</v>
      </c>
      <c r="E78" s="2"/>
      <c r="F78" s="21"/>
      <c r="G78" s="2"/>
      <c r="H78" s="2"/>
      <c r="I78" s="2"/>
      <c r="J78" s="21"/>
      <c r="K78" s="2"/>
      <c r="L78" s="2">
        <f t="shared" si="0"/>
        <v>-6807.65</v>
      </c>
      <c r="M78" s="2"/>
      <c r="N78" s="21">
        <f t="shared" si="1"/>
        <v>0</v>
      </c>
      <c r="O78" s="11"/>
      <c r="P78" s="2">
        <f>-11254.49</f>
        <v>-11254.49</v>
      </c>
      <c r="Q78" s="2"/>
      <c r="R78" s="21"/>
      <c r="S78" s="2"/>
      <c r="T78" s="2"/>
      <c r="U78" s="2"/>
      <c r="V78" s="21"/>
      <c r="W78" s="2"/>
      <c r="X78" s="2">
        <f t="shared" si="2"/>
        <v>-11254.49</v>
      </c>
      <c r="Y78" s="2"/>
      <c r="Z78" s="21">
        <f t="shared" si="3"/>
        <v>0</v>
      </c>
    </row>
    <row r="79" spans="1:26" s="24" customFormat="1" hidden="1" outlineLevel="1" x14ac:dyDescent="0.25">
      <c r="A79" s="46"/>
      <c r="B79" s="11" t="str">
        <f>CONCATENATE("          ", "4241", " - ", "SALES RETURN TAXABLE-LOGO GIFT")</f>
        <v xml:space="preserve">          4241 - SALES RETURN TAXABLE-LOGO GIFT</v>
      </c>
      <c r="C79" s="11"/>
      <c r="D79" s="2">
        <f>-971.11</f>
        <v>-971.11</v>
      </c>
      <c r="E79" s="2"/>
      <c r="F79" s="21"/>
      <c r="G79" s="2"/>
      <c r="H79" s="2"/>
      <c r="I79" s="2"/>
      <c r="J79" s="21"/>
      <c r="K79" s="2"/>
      <c r="L79" s="2">
        <f t="shared" si="0"/>
        <v>-971.11</v>
      </c>
      <c r="M79" s="2"/>
      <c r="N79" s="21">
        <f t="shared" si="1"/>
        <v>0</v>
      </c>
      <c r="O79" s="11"/>
      <c r="P79" s="2">
        <f>-1690.01</f>
        <v>-1690.01</v>
      </c>
      <c r="Q79" s="2"/>
      <c r="R79" s="21"/>
      <c r="S79" s="2"/>
      <c r="T79" s="2"/>
      <c r="U79" s="2"/>
      <c r="V79" s="21"/>
      <c r="W79" s="2"/>
      <c r="X79" s="2">
        <f t="shared" si="2"/>
        <v>-1690.01</v>
      </c>
      <c r="Y79" s="2"/>
      <c r="Z79" s="21">
        <f t="shared" si="3"/>
        <v>0</v>
      </c>
    </row>
    <row r="80" spans="1:26" s="24" customFormat="1" hidden="1" outlineLevel="1" x14ac:dyDescent="0.25">
      <c r="A80" s="46"/>
      <c r="B80" s="11" t="str">
        <f>CONCATENATE("          ", "4242", " - ", "SALES RETURN TAXABLE-EVERYDAY")</f>
        <v xml:space="preserve">          4242 - SALES RETURN TAXABLE-EVERYDAY</v>
      </c>
      <c r="C80" s="11"/>
      <c r="D80" s="2">
        <f>-450.83</f>
        <v>-450.83</v>
      </c>
      <c r="E80" s="2"/>
      <c r="F80" s="21"/>
      <c r="G80" s="2"/>
      <c r="H80" s="2"/>
      <c r="I80" s="2"/>
      <c r="J80" s="21"/>
      <c r="K80" s="2"/>
      <c r="L80" s="2">
        <f t="shared" si="0"/>
        <v>-450.83</v>
      </c>
      <c r="M80" s="2"/>
      <c r="N80" s="21">
        <f t="shared" si="1"/>
        <v>0</v>
      </c>
      <c r="O80" s="11"/>
      <c r="P80" s="2">
        <f>-824.81</f>
        <v>-824.81</v>
      </c>
      <c r="Q80" s="2"/>
      <c r="R80" s="21"/>
      <c r="S80" s="2"/>
      <c r="T80" s="2"/>
      <c r="U80" s="2"/>
      <c r="V80" s="21"/>
      <c r="W80" s="2"/>
      <c r="X80" s="2">
        <f t="shared" si="2"/>
        <v>-824.81</v>
      </c>
      <c r="Y80" s="2"/>
      <c r="Z80" s="21">
        <f t="shared" si="3"/>
        <v>0</v>
      </c>
    </row>
    <row r="81" spans="1:26" s="24" customFormat="1" hidden="1" outlineLevel="1" x14ac:dyDescent="0.25">
      <c r="A81" s="46"/>
      <c r="B81" s="11" t="str">
        <f>CONCATENATE("          ", "4244", " - ", "SALES RETURN TAXABLE-ACCESSORI")</f>
        <v xml:space="preserve">          4244 - SALES RETURN TAXABLE-ACCESSORI</v>
      </c>
      <c r="C81" s="11"/>
      <c r="D81" s="2">
        <f>-443.68</f>
        <v>-443.68</v>
      </c>
      <c r="E81" s="2"/>
      <c r="F81" s="21"/>
      <c r="G81" s="2"/>
      <c r="H81" s="2"/>
      <c r="I81" s="2"/>
      <c r="J81" s="21"/>
      <c r="K81" s="2"/>
      <c r="L81" s="2">
        <f t="shared" si="0"/>
        <v>-443.68</v>
      </c>
      <c r="M81" s="2"/>
      <c r="N81" s="21">
        <f t="shared" si="1"/>
        <v>0</v>
      </c>
      <c r="O81" s="11"/>
      <c r="P81" s="2">
        <f>-550.47</f>
        <v>-550.47</v>
      </c>
      <c r="Q81" s="2"/>
      <c r="R81" s="21"/>
      <c r="S81" s="2"/>
      <c r="T81" s="2"/>
      <c r="U81" s="2"/>
      <c r="V81" s="21"/>
      <c r="W81" s="2"/>
      <c r="X81" s="2">
        <f t="shared" si="2"/>
        <v>-550.47</v>
      </c>
      <c r="Y81" s="2"/>
      <c r="Z81" s="21">
        <f t="shared" si="3"/>
        <v>0</v>
      </c>
    </row>
    <row r="82" spans="1:26" s="24" customFormat="1" hidden="1" outlineLevel="1" x14ac:dyDescent="0.25">
      <c r="A82" s="46"/>
      <c r="B82" s="11" t="str">
        <f>CONCATENATE("          ", "4245", " - ", "SALES RETURN TAXABLE-SPECIAL O")</f>
        <v xml:space="preserve">          4245 - SALES RETURN TAXABLE-SPECIAL O</v>
      </c>
      <c r="C82" s="11"/>
      <c r="D82" s="2">
        <f>-19.98</f>
        <v>-19.98</v>
      </c>
      <c r="E82" s="2"/>
      <c r="F82" s="21"/>
      <c r="G82" s="2"/>
      <c r="H82" s="2"/>
      <c r="I82" s="2"/>
      <c r="J82" s="21"/>
      <c r="K82" s="2"/>
      <c r="L82" s="2">
        <f t="shared" si="0"/>
        <v>-19.98</v>
      </c>
      <c r="M82" s="2"/>
      <c r="N82" s="21">
        <f t="shared" si="1"/>
        <v>0</v>
      </c>
      <c r="O82" s="11"/>
      <c r="P82" s="2">
        <f>-19.98</f>
        <v>-19.98</v>
      </c>
      <c r="Q82" s="2"/>
      <c r="R82" s="21"/>
      <c r="S82" s="2"/>
      <c r="T82" s="2"/>
      <c r="U82" s="2"/>
      <c r="V82" s="21"/>
      <c r="W82" s="2"/>
      <c r="X82" s="2">
        <f t="shared" si="2"/>
        <v>-19.98</v>
      </c>
      <c r="Y82" s="2"/>
      <c r="Z82" s="21">
        <f t="shared" si="3"/>
        <v>0</v>
      </c>
    </row>
    <row r="83" spans="1:26" s="24" customFormat="1" hidden="1" outlineLevel="1" x14ac:dyDescent="0.25">
      <c r="A83" s="46"/>
      <c r="B83" s="11" t="str">
        <f>CONCATENATE("          ", "4292", " - ", "SALES RETURN TAXABLE-GRAD MERC")</f>
        <v xml:space="preserve">          4292 - SALES RETURN TAXABLE-GRAD MERC</v>
      </c>
      <c r="C83" s="11"/>
      <c r="D83" s="2">
        <f>-359.2</f>
        <v>-359.2</v>
      </c>
      <c r="E83" s="2"/>
      <c r="F83" s="21"/>
      <c r="G83" s="2"/>
      <c r="H83" s="2"/>
      <c r="I83" s="2"/>
      <c r="J83" s="21"/>
      <c r="K83" s="2"/>
      <c r="L83" s="2">
        <f t="shared" si="0"/>
        <v>-359.2</v>
      </c>
      <c r="M83" s="2"/>
      <c r="N83" s="21">
        <f t="shared" si="1"/>
        <v>0</v>
      </c>
      <c r="O83" s="11"/>
      <c r="P83" s="2">
        <f>-369.15</f>
        <v>-369.15</v>
      </c>
      <c r="Q83" s="2"/>
      <c r="R83" s="21"/>
      <c r="S83" s="2"/>
      <c r="T83" s="2"/>
      <c r="U83" s="2"/>
      <c r="V83" s="21"/>
      <c r="W83" s="2"/>
      <c r="X83" s="2">
        <f t="shared" si="2"/>
        <v>-369.15</v>
      </c>
      <c r="Y83" s="2"/>
      <c r="Z83" s="21">
        <f t="shared" si="3"/>
        <v>0</v>
      </c>
    </row>
    <row r="84" spans="1:26" s="24" customFormat="1" hidden="1" outlineLevel="1" x14ac:dyDescent="0.25">
      <c r="A84" s="46"/>
      <c r="B84" s="11" t="str">
        <f>CONCATENATE("          ", "4295", " - ", "SALES RETURN TAXABLE-CUSTOMER")</f>
        <v xml:space="preserve">          4295 - SALES RETURN TAXABLE-CUSTOMER</v>
      </c>
      <c r="C84" s="11"/>
      <c r="D84" s="2">
        <f>--0.99</f>
        <v>0.99</v>
      </c>
      <c r="E84" s="2"/>
      <c r="F84" s="21"/>
      <c r="G84" s="2"/>
      <c r="H84" s="2"/>
      <c r="I84" s="2"/>
      <c r="J84" s="21"/>
      <c r="K84" s="2"/>
      <c r="L84" s="2">
        <f t="shared" si="0"/>
        <v>0.99</v>
      </c>
      <c r="M84" s="2"/>
      <c r="N84" s="21">
        <f t="shared" si="1"/>
        <v>0</v>
      </c>
      <c r="O84" s="11"/>
      <c r="P84" s="2">
        <f>--0.99</f>
        <v>0.99</v>
      </c>
      <c r="Q84" s="2"/>
      <c r="R84" s="21"/>
      <c r="S84" s="2"/>
      <c r="T84" s="2"/>
      <c r="U84" s="2"/>
      <c r="V84" s="21"/>
      <c r="W84" s="2"/>
      <c r="X84" s="2">
        <f t="shared" si="2"/>
        <v>0.99</v>
      </c>
      <c r="Y84" s="2"/>
      <c r="Z84" s="21">
        <f t="shared" si="3"/>
        <v>0</v>
      </c>
    </row>
    <row r="85" spans="1:26" s="24" customFormat="1" hidden="1" outlineLevel="1" x14ac:dyDescent="0.25">
      <c r="A85" s="46"/>
      <c r="B85" s="11" t="str">
        <f>CONCATENATE("          ", "4301", " - ", "SALES RETURN NON TAXABLE-NEW T")</f>
        <v xml:space="preserve">          4301 - SALES RETURN NON TAXABLE-NEW T</v>
      </c>
      <c r="C85" s="11"/>
      <c r="D85" s="2">
        <f>-2665.19</f>
        <v>-2665.19</v>
      </c>
      <c r="E85" s="2"/>
      <c r="F85" s="21"/>
      <c r="G85" s="2"/>
      <c r="H85" s="2"/>
      <c r="I85" s="2"/>
      <c r="J85" s="21"/>
      <c r="K85" s="2"/>
      <c r="L85" s="2">
        <f t="shared" si="0"/>
        <v>-2665.19</v>
      </c>
      <c r="M85" s="2"/>
      <c r="N85" s="21">
        <f t="shared" si="1"/>
        <v>0</v>
      </c>
      <c r="O85" s="11"/>
      <c r="P85" s="2">
        <f>-2919.78</f>
        <v>-2919.78</v>
      </c>
      <c r="Q85" s="2"/>
      <c r="R85" s="21"/>
      <c r="S85" s="2"/>
      <c r="T85" s="2"/>
      <c r="U85" s="2"/>
      <c r="V85" s="21"/>
      <c r="W85" s="2"/>
      <c r="X85" s="2">
        <f t="shared" si="2"/>
        <v>-2919.78</v>
      </c>
      <c r="Y85" s="2"/>
      <c r="Z85" s="21">
        <f t="shared" si="3"/>
        <v>0</v>
      </c>
    </row>
    <row r="86" spans="1:26" s="24" customFormat="1" hidden="1" outlineLevel="1" x14ac:dyDescent="0.25">
      <c r="A86" s="46"/>
      <c r="B86" s="11" t="str">
        <f>CONCATENATE("          ", "4302", " - ", "SALES RETURN NON TAXABLE-TEXT")</f>
        <v xml:space="preserve">          4302 - SALES RETURN NON TAXABLE-TEXT</v>
      </c>
      <c r="C86" s="11"/>
      <c r="D86" s="2">
        <f>-250.25</f>
        <v>-250.25</v>
      </c>
      <c r="E86" s="2"/>
      <c r="F86" s="21"/>
      <c r="G86" s="2"/>
      <c r="H86" s="2"/>
      <c r="I86" s="2"/>
      <c r="J86" s="21"/>
      <c r="K86" s="2"/>
      <c r="L86" s="2">
        <f t="shared" si="0"/>
        <v>-250.25</v>
      </c>
      <c r="M86" s="2"/>
      <c r="N86" s="21">
        <f t="shared" si="1"/>
        <v>0</v>
      </c>
      <c r="O86" s="11"/>
      <c r="P86" s="2">
        <f>-250.25</f>
        <v>-250.25</v>
      </c>
      <c r="Q86" s="2"/>
      <c r="R86" s="21"/>
      <c r="S86" s="2"/>
      <c r="T86" s="2"/>
      <c r="U86" s="2"/>
      <c r="V86" s="21"/>
      <c r="W86" s="2"/>
      <c r="X86" s="2">
        <f t="shared" si="2"/>
        <v>-250.25</v>
      </c>
      <c r="Y86" s="2"/>
      <c r="Z86" s="21">
        <f t="shared" si="3"/>
        <v>0</v>
      </c>
    </row>
    <row r="87" spans="1:26" s="24" customFormat="1" hidden="1" outlineLevel="1" x14ac:dyDescent="0.25">
      <c r="A87" s="46"/>
      <c r="B87" s="11" t="str">
        <f>CONCATENATE("          ", "4304", " - ", "SALES RETURN NON TAXABLE-DIGIT")</f>
        <v xml:space="preserve">          4304 - SALES RETURN NON TAXABLE-DIGIT</v>
      </c>
      <c r="C87" s="11"/>
      <c r="D87" s="2">
        <f>-8466.55</f>
        <v>-8466.5499999999993</v>
      </c>
      <c r="E87" s="2"/>
      <c r="F87" s="21"/>
      <c r="G87" s="2"/>
      <c r="H87" s="2"/>
      <c r="I87" s="2"/>
      <c r="J87" s="21"/>
      <c r="K87" s="2"/>
      <c r="L87" s="2">
        <f t="shared" si="0"/>
        <v>-8466.5499999999993</v>
      </c>
      <c r="M87" s="2"/>
      <c r="N87" s="21">
        <f t="shared" si="1"/>
        <v>0</v>
      </c>
      <c r="O87" s="11"/>
      <c r="P87" s="2">
        <f>-8466.55</f>
        <v>-8466.5499999999993</v>
      </c>
      <c r="Q87" s="2"/>
      <c r="R87" s="21"/>
      <c r="S87" s="2"/>
      <c r="T87" s="2"/>
      <c r="U87" s="2"/>
      <c r="V87" s="21"/>
      <c r="W87" s="2"/>
      <c r="X87" s="2">
        <f t="shared" si="2"/>
        <v>-8466.5499999999993</v>
      </c>
      <c r="Y87" s="2"/>
      <c r="Z87" s="21">
        <f t="shared" si="3"/>
        <v>0</v>
      </c>
    </row>
    <row r="88" spans="1:26" s="24" customFormat="1" hidden="1" outlineLevel="1" x14ac:dyDescent="0.25">
      <c r="A88" s="46"/>
      <c r="B88" s="11" t="str">
        <f>CONCATENATE("          ", "4311", " - ", "SALES RETURN NON TAXABLE-NO VA")</f>
        <v xml:space="preserve">          4311 - SALES RETURN NON TAXABLE-NO VA</v>
      </c>
      <c r="C88" s="11"/>
      <c r="D88" s="2">
        <f>-79.06</f>
        <v>-79.06</v>
      </c>
      <c r="E88" s="2"/>
      <c r="F88" s="21"/>
      <c r="G88" s="2"/>
      <c r="H88" s="2"/>
      <c r="I88" s="2"/>
      <c r="J88" s="21"/>
      <c r="K88" s="2"/>
      <c r="L88" s="2">
        <f t="shared" si="0"/>
        <v>-79.06</v>
      </c>
      <c r="M88" s="2"/>
      <c r="N88" s="21">
        <f t="shared" si="1"/>
        <v>0</v>
      </c>
      <c r="O88" s="11"/>
      <c r="P88" s="2">
        <f>-111.04</f>
        <v>-111.04</v>
      </c>
      <c r="Q88" s="2"/>
      <c r="R88" s="21"/>
      <c r="S88" s="2"/>
      <c r="T88" s="2"/>
      <c r="U88" s="2"/>
      <c r="V88" s="21"/>
      <c r="W88" s="2"/>
      <c r="X88" s="2">
        <f t="shared" si="2"/>
        <v>-111.04</v>
      </c>
      <c r="Y88" s="2"/>
      <c r="Z88" s="21">
        <f t="shared" si="3"/>
        <v>0</v>
      </c>
    </row>
    <row r="89" spans="1:26" s="24" customFormat="1" hidden="1" outlineLevel="1" x14ac:dyDescent="0.25">
      <c r="A89" s="46"/>
      <c r="B89" s="11" t="str">
        <f>CONCATENATE("          ", "4327", " - ", "SALES RETURN NON TAXABLE-SCHOO")</f>
        <v xml:space="preserve">          4327 - SALES RETURN NON TAXABLE-SCHOO</v>
      </c>
      <c r="C89" s="11"/>
      <c r="D89" s="2">
        <f>-13.58</f>
        <v>-13.58</v>
      </c>
      <c r="E89" s="2"/>
      <c r="F89" s="21"/>
      <c r="G89" s="2"/>
      <c r="H89" s="2"/>
      <c r="I89" s="2"/>
      <c r="J89" s="21"/>
      <c r="K89" s="2"/>
      <c r="L89" s="2">
        <f t="shared" si="0"/>
        <v>-13.58</v>
      </c>
      <c r="M89" s="2"/>
      <c r="N89" s="21">
        <f t="shared" si="1"/>
        <v>0</v>
      </c>
      <c r="O89" s="11"/>
      <c r="P89" s="2">
        <f>-13.58</f>
        <v>-13.58</v>
      </c>
      <c r="Q89" s="2"/>
      <c r="R89" s="21"/>
      <c r="S89" s="2"/>
      <c r="T89" s="2"/>
      <c r="U89" s="2"/>
      <c r="V89" s="21"/>
      <c r="W89" s="2"/>
      <c r="X89" s="2">
        <f t="shared" si="2"/>
        <v>-13.58</v>
      </c>
      <c r="Y89" s="2"/>
      <c r="Z89" s="21">
        <f t="shared" si="3"/>
        <v>0</v>
      </c>
    </row>
    <row r="90" spans="1:26" s="24" customFormat="1" hidden="1" outlineLevel="1" x14ac:dyDescent="0.25">
      <c r="A90" s="46"/>
      <c r="B90" s="11" t="str">
        <f>CONCATENATE("          ", "4340", " - ", "SALES RETURN NON TAXABLE-LOGO")</f>
        <v xml:space="preserve">          4340 - SALES RETURN NON TAXABLE-LOGO</v>
      </c>
      <c r="C90" s="11"/>
      <c r="D90" s="2">
        <f>-44.95</f>
        <v>-44.95</v>
      </c>
      <c r="E90" s="2"/>
      <c r="F90" s="21"/>
      <c r="G90" s="2"/>
      <c r="H90" s="2"/>
      <c r="I90" s="2"/>
      <c r="J90" s="21"/>
      <c r="K90" s="2"/>
      <c r="L90" s="2">
        <f t="shared" si="0"/>
        <v>-44.95</v>
      </c>
      <c r="M90" s="2"/>
      <c r="N90" s="21">
        <f t="shared" si="1"/>
        <v>0</v>
      </c>
      <c r="O90" s="11"/>
      <c r="P90" s="2">
        <f>-268.5</f>
        <v>-268.5</v>
      </c>
      <c r="Q90" s="2"/>
      <c r="R90" s="21"/>
      <c r="S90" s="2"/>
      <c r="T90" s="2"/>
      <c r="U90" s="2"/>
      <c r="V90" s="21"/>
      <c r="W90" s="2"/>
      <c r="X90" s="2">
        <f t="shared" si="2"/>
        <v>-268.5</v>
      </c>
      <c r="Y90" s="2"/>
      <c r="Z90" s="21">
        <f t="shared" si="3"/>
        <v>0</v>
      </c>
    </row>
    <row r="91" spans="1:26" s="24" customFormat="1" hidden="1" outlineLevel="1" x14ac:dyDescent="0.25">
      <c r="A91" s="46"/>
      <c r="B91" s="11" t="str">
        <f>CONCATENATE("          ", "4341", " - ", "SALES RETURN NON TAXABLE-LOGO")</f>
        <v xml:space="preserve">          4341 - SALES RETURN NON TAXABLE-LOGO</v>
      </c>
      <c r="C91" s="11"/>
      <c r="D91" s="2">
        <f>-3.95</f>
        <v>-3.95</v>
      </c>
      <c r="E91" s="2"/>
      <c r="F91" s="21"/>
      <c r="G91" s="2"/>
      <c r="H91" s="2"/>
      <c r="I91" s="2"/>
      <c r="J91" s="21"/>
      <c r="K91" s="2"/>
      <c r="L91" s="2">
        <f t="shared" si="0"/>
        <v>-3.95</v>
      </c>
      <c r="M91" s="2"/>
      <c r="N91" s="21">
        <f t="shared" si="1"/>
        <v>0</v>
      </c>
      <c r="O91" s="11"/>
      <c r="P91" s="2">
        <f>-3.95</f>
        <v>-3.95</v>
      </c>
      <c r="Q91" s="2"/>
      <c r="R91" s="21"/>
      <c r="S91" s="2"/>
      <c r="T91" s="2"/>
      <c r="U91" s="2"/>
      <c r="V91" s="21"/>
      <c r="W91" s="2"/>
      <c r="X91" s="2">
        <f t="shared" si="2"/>
        <v>-3.95</v>
      </c>
      <c r="Y91" s="2"/>
      <c r="Z91" s="21">
        <f t="shared" si="3"/>
        <v>0</v>
      </c>
    </row>
    <row r="92" spans="1:26" s="24" customFormat="1" hidden="1" outlineLevel="1" x14ac:dyDescent="0.25">
      <c r="A92" s="46"/>
      <c r="B92" s="11" t="str">
        <f>CONCATENATE("          ", "4346", " - ", "SALES RETURN NON TAXABLE-COIN-")</f>
        <v xml:space="preserve">          4346 - SALES RETURN NON TAXABLE-COIN-</v>
      </c>
      <c r="C92" s="11"/>
      <c r="D92" s="2">
        <f>-8.15</f>
        <v>-8.15</v>
      </c>
      <c r="E92" s="2"/>
      <c r="F92" s="21"/>
      <c r="G92" s="2"/>
      <c r="H92" s="2"/>
      <c r="I92" s="2"/>
      <c r="J92" s="21"/>
      <c r="K92" s="2"/>
      <c r="L92" s="2">
        <f t="shared" si="0"/>
        <v>-8.15</v>
      </c>
      <c r="M92" s="2"/>
      <c r="N92" s="21">
        <f t="shared" si="1"/>
        <v>0</v>
      </c>
      <c r="O92" s="11"/>
      <c r="P92" s="2">
        <f>-8.15</f>
        <v>-8.15</v>
      </c>
      <c r="Q92" s="2"/>
      <c r="R92" s="21"/>
      <c r="S92" s="2"/>
      <c r="T92" s="2"/>
      <c r="U92" s="2"/>
      <c r="V92" s="21"/>
      <c r="W92" s="2"/>
      <c r="X92" s="2">
        <f t="shared" si="2"/>
        <v>-8.15</v>
      </c>
      <c r="Y92" s="2"/>
      <c r="Z92" s="21">
        <f t="shared" si="3"/>
        <v>0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collapsed="1" x14ac:dyDescent="0.25">
      <c r="A94" s="10"/>
      <c r="B94" s="28" t="s">
        <v>8</v>
      </c>
      <c r="C94" s="10"/>
      <c r="D94" s="4">
        <f>SUM(OSRRefD16x_0)</f>
        <v>1770277.83</v>
      </c>
      <c r="E94" s="4"/>
      <c r="F94" s="12">
        <f t="shared" ref="F94:F142" si="4">IF(D$12=0,0,D94/D$12)</f>
        <v>0.65492937604581947</v>
      </c>
      <c r="G94" s="4"/>
      <c r="H94" s="4">
        <f>SUM(OSRRefH16x_0)</f>
        <v>1873629.8266399999</v>
      </c>
      <c r="I94" s="4"/>
      <c r="J94" s="12">
        <f t="shared" ref="J94:J142" si="5">IF(H$12=0,0,H94/H$12)</f>
        <v>0.6524516739260966</v>
      </c>
      <c r="K94" s="4"/>
      <c r="L94" s="4">
        <f t="shared" ref="L94:L142" si="6">+D94-H94</f>
        <v>-103351.99663999979</v>
      </c>
      <c r="M94" s="4"/>
      <c r="N94" s="12">
        <f t="shared" ref="N94:N142" si="7">IF(H94=0,0,L94/H94)</f>
        <v>-5.5161374552486722E-2</v>
      </c>
      <c r="O94" s="10"/>
      <c r="P94" s="4">
        <f>SUM(OSRRefP16x_0)</f>
        <v>1964200.2600000012</v>
      </c>
      <c r="Q94" s="4"/>
      <c r="R94" s="12">
        <f t="shared" ref="R94:R142" si="8">IF(P$12=0,0,P94/P$12)</f>
        <v>0.64295784636083375</v>
      </c>
      <c r="S94" s="4"/>
      <c r="T94" s="4">
        <f>SUM(OSRRefT16x_0)</f>
        <v>2082819.39096</v>
      </c>
      <c r="U94" s="4"/>
      <c r="V94" s="12">
        <f t="shared" ref="V94:V142" si="9">IF(T$12=0,0,T94/T$12)</f>
        <v>0.63923000681886044</v>
      </c>
      <c r="W94" s="4"/>
      <c r="X94" s="4">
        <f t="shared" ref="X94:X142" si="10">+P94-T94</f>
        <v>-118619.13095999882</v>
      </c>
      <c r="Y94" s="4"/>
      <c r="Z94" s="12">
        <f t="shared" ref="Z94:Z142" si="11">IF(T94=0,0,X94/T94)</f>
        <v>-5.6951232293514245E-2</v>
      </c>
    </row>
    <row r="95" spans="1:26" s="24" customFormat="1" hidden="1" outlineLevel="1" x14ac:dyDescent="0.25">
      <c r="A95" s="46"/>
      <c r="B95" s="11" t="str">
        <f>CONCATENATE("          ", "5000", " - ", "PURCHASES @ COST")</f>
        <v xml:space="preserve">          5000 - PURCHASES @ COST</v>
      </c>
      <c r="C95" s="11"/>
      <c r="D95" s="2"/>
      <c r="E95" s="2"/>
      <c r="F95" s="21">
        <f t="shared" si="4"/>
        <v>0</v>
      </c>
      <c r="G95" s="2"/>
      <c r="H95" s="2">
        <v>1873629.8266399999</v>
      </c>
      <c r="I95" s="2"/>
      <c r="J95" s="21">
        <f t="shared" si="5"/>
        <v>0.6524516739260966</v>
      </c>
      <c r="K95" s="2"/>
      <c r="L95" s="2">
        <f t="shared" si="6"/>
        <v>-1873629.8266399999</v>
      </c>
      <c r="M95" s="2"/>
      <c r="N95" s="21">
        <f t="shared" si="7"/>
        <v>-1</v>
      </c>
      <c r="O95" s="11"/>
      <c r="P95" s="2"/>
      <c r="Q95" s="2"/>
      <c r="R95" s="21">
        <f t="shared" si="8"/>
        <v>0</v>
      </c>
      <c r="S95" s="2"/>
      <c r="T95" s="2">
        <v>2082819.39096</v>
      </c>
      <c r="U95" s="2"/>
      <c r="V95" s="21">
        <f t="shared" si="9"/>
        <v>0.63923000681886044</v>
      </c>
      <c r="W95" s="2"/>
      <c r="X95" s="2">
        <f t="shared" si="10"/>
        <v>-2082819.39096</v>
      </c>
      <c r="Y95" s="2"/>
      <c r="Z95" s="21">
        <f t="shared" si="11"/>
        <v>-1</v>
      </c>
    </row>
    <row r="96" spans="1:26" s="24" customFormat="1" hidden="1" outlineLevel="1" x14ac:dyDescent="0.25">
      <c r="A96" s="46"/>
      <c r="B96" s="11" t="str">
        <f>CONCATENATE("          ", "5001", " - ", "PURCHASES @ COST-NEW TEXT")</f>
        <v xml:space="preserve">          5001 - PURCHASES @ COST-NEW TEXT</v>
      </c>
      <c r="C96" s="11"/>
      <c r="D96" s="2">
        <v>1483764.14</v>
      </c>
      <c r="E96" s="2"/>
      <c r="F96" s="21">
        <f t="shared" si="4"/>
        <v>0.54893119370385035</v>
      </c>
      <c r="G96" s="2"/>
      <c r="H96" s="2"/>
      <c r="I96" s="2"/>
      <c r="J96" s="21">
        <f t="shared" si="5"/>
        <v>0</v>
      </c>
      <c r="K96" s="2"/>
      <c r="L96" s="2">
        <f t="shared" si="6"/>
        <v>1483764.14</v>
      </c>
      <c r="M96" s="2"/>
      <c r="N96" s="21">
        <f t="shared" si="7"/>
        <v>0</v>
      </c>
      <c r="O96" s="11"/>
      <c r="P96" s="2">
        <v>1827758.7</v>
      </c>
      <c r="Q96" s="2"/>
      <c r="R96" s="21">
        <f t="shared" si="8"/>
        <v>0.5982953069252096</v>
      </c>
      <c r="S96" s="2"/>
      <c r="T96" s="2"/>
      <c r="U96" s="2"/>
      <c r="V96" s="21">
        <f t="shared" si="9"/>
        <v>0</v>
      </c>
      <c r="W96" s="2"/>
      <c r="X96" s="2">
        <f t="shared" si="10"/>
        <v>1827758.7</v>
      </c>
      <c r="Y96" s="2"/>
      <c r="Z96" s="21">
        <f t="shared" si="11"/>
        <v>0</v>
      </c>
    </row>
    <row r="97" spans="1:26" s="24" customFormat="1" hidden="1" outlineLevel="1" x14ac:dyDescent="0.25">
      <c r="A97" s="46"/>
      <c r="B97" s="11" t="str">
        <f>CONCATENATE("          ", "5002", " - ", "PURCHASES @ COST-USED TEXT")</f>
        <v xml:space="preserve">          5002 - PURCHASES @ COST-USED TEXT</v>
      </c>
      <c r="C97" s="11"/>
      <c r="D97" s="2">
        <v>224687.41999999998</v>
      </c>
      <c r="E97" s="2"/>
      <c r="F97" s="21">
        <f t="shared" si="4"/>
        <v>8.312502664395055E-2</v>
      </c>
      <c r="G97" s="2"/>
      <c r="H97" s="2"/>
      <c r="I97" s="2"/>
      <c r="J97" s="21">
        <f t="shared" si="5"/>
        <v>0</v>
      </c>
      <c r="K97" s="2"/>
      <c r="L97" s="2">
        <f t="shared" si="6"/>
        <v>224687.41999999998</v>
      </c>
      <c r="M97" s="2"/>
      <c r="N97" s="21">
        <f t="shared" si="7"/>
        <v>0</v>
      </c>
      <c r="O97" s="11"/>
      <c r="P97" s="2">
        <v>334980.67</v>
      </c>
      <c r="Q97" s="2"/>
      <c r="R97" s="21">
        <f t="shared" si="8"/>
        <v>0.10965198128815491</v>
      </c>
      <c r="S97" s="2"/>
      <c r="T97" s="2"/>
      <c r="U97" s="2"/>
      <c r="V97" s="21">
        <f t="shared" si="9"/>
        <v>0</v>
      </c>
      <c r="W97" s="2"/>
      <c r="X97" s="2">
        <f t="shared" si="10"/>
        <v>334980.67</v>
      </c>
      <c r="Y97" s="2"/>
      <c r="Z97" s="21">
        <f t="shared" si="11"/>
        <v>0</v>
      </c>
    </row>
    <row r="98" spans="1:26" s="24" customFormat="1" hidden="1" outlineLevel="1" x14ac:dyDescent="0.25">
      <c r="A98" s="46"/>
      <c r="B98" s="11" t="str">
        <f>CONCATENATE("          ", "5003", " - ", "PURCHASES @ COST-RENTAL TEXT")</f>
        <v xml:space="preserve">          5003 - PURCHASES @ COST-RENTAL TEXT</v>
      </c>
      <c r="C98" s="11"/>
      <c r="D98" s="2">
        <v>-38374.199999999997</v>
      </c>
      <c r="E98" s="2"/>
      <c r="F98" s="21">
        <f t="shared" si="4"/>
        <v>-1.4196862456475254E-2</v>
      </c>
      <c r="G98" s="2"/>
      <c r="H98" s="2"/>
      <c r="I98" s="2"/>
      <c r="J98" s="21">
        <f t="shared" si="5"/>
        <v>0</v>
      </c>
      <c r="K98" s="2"/>
      <c r="L98" s="2">
        <f t="shared" si="6"/>
        <v>-38374.199999999997</v>
      </c>
      <c r="M98" s="2"/>
      <c r="N98" s="21">
        <f t="shared" si="7"/>
        <v>0</v>
      </c>
      <c r="O98" s="11"/>
      <c r="P98" s="2">
        <v>-78.400000000000006</v>
      </c>
      <c r="Q98" s="2"/>
      <c r="R98" s="21">
        <f t="shared" si="8"/>
        <v>-2.5663317626630057E-5</v>
      </c>
      <c r="S98" s="2"/>
      <c r="T98" s="2"/>
      <c r="U98" s="2"/>
      <c r="V98" s="21">
        <f t="shared" si="9"/>
        <v>0</v>
      </c>
      <c r="W98" s="2"/>
      <c r="X98" s="2">
        <f t="shared" si="10"/>
        <v>-78.400000000000006</v>
      </c>
      <c r="Y98" s="2"/>
      <c r="Z98" s="21">
        <f t="shared" si="11"/>
        <v>0</v>
      </c>
    </row>
    <row r="99" spans="1:26" s="24" customFormat="1" hidden="1" outlineLevel="1" x14ac:dyDescent="0.25">
      <c r="A99" s="46"/>
      <c r="B99" s="11" t="str">
        <f>CONCATENATE("          ", "5004", " - ", "PURCHASES @ COST-DIGITAL TEXT")</f>
        <v xml:space="preserve">          5004 - PURCHASES @ COST-DIGITAL TEXT</v>
      </c>
      <c r="C99" s="11"/>
      <c r="D99" s="2">
        <v>169007.92</v>
      </c>
      <c r="E99" s="2"/>
      <c r="F99" s="21">
        <f t="shared" si="4"/>
        <v>6.2525920912878286E-2</v>
      </c>
      <c r="G99" s="2"/>
      <c r="H99" s="2"/>
      <c r="I99" s="2"/>
      <c r="J99" s="21">
        <f t="shared" si="5"/>
        <v>0</v>
      </c>
      <c r="K99" s="2"/>
      <c r="L99" s="2">
        <f t="shared" si="6"/>
        <v>169007.92</v>
      </c>
      <c r="M99" s="2"/>
      <c r="N99" s="21">
        <f t="shared" si="7"/>
        <v>0</v>
      </c>
      <c r="O99" s="11"/>
      <c r="P99" s="2">
        <v>302966.49000000005</v>
      </c>
      <c r="Q99" s="2"/>
      <c r="R99" s="21">
        <f t="shared" si="8"/>
        <v>9.9172516110908659E-2</v>
      </c>
      <c r="S99" s="2"/>
      <c r="T99" s="2"/>
      <c r="U99" s="2"/>
      <c r="V99" s="21">
        <f t="shared" si="9"/>
        <v>0</v>
      </c>
      <c r="W99" s="2"/>
      <c r="X99" s="2">
        <f t="shared" si="10"/>
        <v>302966.49000000005</v>
      </c>
      <c r="Y99" s="2"/>
      <c r="Z99" s="21">
        <f t="shared" si="11"/>
        <v>0</v>
      </c>
    </row>
    <row r="100" spans="1:26" s="24" customFormat="1" hidden="1" outlineLevel="1" x14ac:dyDescent="0.25">
      <c r="A100" s="46"/>
      <c r="B100" s="11" t="str">
        <f>CONCATENATE("          ", "5011", " - ", "PURCHASES @ COST-NO VALUE TEXT")</f>
        <v xml:space="preserve">          5011 - PURCHASES @ COST-NO VALUE TEXT</v>
      </c>
      <c r="C100" s="11"/>
      <c r="D100" s="2">
        <v>369</v>
      </c>
      <c r="E100" s="2"/>
      <c r="F100" s="21">
        <f t="shared" si="4"/>
        <v>1.3651469597905283E-4</v>
      </c>
      <c r="G100" s="2"/>
      <c r="H100" s="2"/>
      <c r="I100" s="2"/>
      <c r="J100" s="21">
        <f t="shared" si="5"/>
        <v>0</v>
      </c>
      <c r="K100" s="2"/>
      <c r="L100" s="2">
        <f t="shared" si="6"/>
        <v>369</v>
      </c>
      <c r="M100" s="2"/>
      <c r="N100" s="21">
        <f t="shared" si="7"/>
        <v>0</v>
      </c>
      <c r="O100" s="11"/>
      <c r="P100" s="2">
        <v>657</v>
      </c>
      <c r="Q100" s="2"/>
      <c r="R100" s="21">
        <f t="shared" si="8"/>
        <v>2.1506122041704012E-4</v>
      </c>
      <c r="S100" s="2"/>
      <c r="T100" s="2"/>
      <c r="U100" s="2"/>
      <c r="V100" s="21">
        <f t="shared" si="9"/>
        <v>0</v>
      </c>
      <c r="W100" s="2"/>
      <c r="X100" s="2">
        <f t="shared" si="10"/>
        <v>657</v>
      </c>
      <c r="Y100" s="2"/>
      <c r="Z100" s="21">
        <f t="shared" si="11"/>
        <v>0</v>
      </c>
    </row>
    <row r="101" spans="1:26" s="24" customFormat="1" hidden="1" outlineLevel="1" x14ac:dyDescent="0.25">
      <c r="A101" s="46"/>
      <c r="B101" s="11" t="str">
        <f>CONCATENATE("          ", "5013", " - ", "PURCHASES @ COST-TRADE BOOKS")</f>
        <v xml:space="preserve">          5013 - PURCHASES @ COST-TRADE BOOKS</v>
      </c>
      <c r="C101" s="11"/>
      <c r="D101" s="2"/>
      <c r="E101" s="2"/>
      <c r="F101" s="21">
        <f t="shared" si="4"/>
        <v>0</v>
      </c>
      <c r="G101" s="2"/>
      <c r="H101" s="2"/>
      <c r="I101" s="2"/>
      <c r="J101" s="21">
        <f t="shared" si="5"/>
        <v>0</v>
      </c>
      <c r="K101" s="2"/>
      <c r="L101" s="2">
        <f t="shared" si="6"/>
        <v>0</v>
      </c>
      <c r="M101" s="2"/>
      <c r="N101" s="21">
        <f t="shared" si="7"/>
        <v>0</v>
      </c>
      <c r="O101" s="11"/>
      <c r="P101" s="2">
        <v>204.9</v>
      </c>
      <c r="Q101" s="2"/>
      <c r="R101" s="21">
        <f t="shared" si="8"/>
        <v>6.7071604358373698E-5</v>
      </c>
      <c r="S101" s="2"/>
      <c r="T101" s="2"/>
      <c r="U101" s="2"/>
      <c r="V101" s="21">
        <f t="shared" si="9"/>
        <v>0</v>
      </c>
      <c r="W101" s="2"/>
      <c r="X101" s="2">
        <f t="shared" si="10"/>
        <v>204.9</v>
      </c>
      <c r="Y101" s="2"/>
      <c r="Z101" s="21">
        <f t="shared" si="11"/>
        <v>0</v>
      </c>
    </row>
    <row r="102" spans="1:26" s="24" customFormat="1" hidden="1" outlineLevel="1" x14ac:dyDescent="0.25">
      <c r="A102" s="46"/>
      <c r="B102" s="11" t="str">
        <f>CONCATENATE("          ", "5014", " - ", "PURCHASES @ COST-REMAINDERS")</f>
        <v xml:space="preserve">          5014 - PURCHASES @ COST-REMAINDERS</v>
      </c>
      <c r="C102" s="11"/>
      <c r="D102" s="2">
        <v>133.84</v>
      </c>
      <c r="E102" s="2"/>
      <c r="F102" s="21">
        <f t="shared" si="4"/>
        <v>4.9515249078147514E-5</v>
      </c>
      <c r="G102" s="2"/>
      <c r="H102" s="2"/>
      <c r="I102" s="2"/>
      <c r="J102" s="21">
        <f t="shared" si="5"/>
        <v>0</v>
      </c>
      <c r="K102" s="2"/>
      <c r="L102" s="2">
        <f t="shared" si="6"/>
        <v>133.84</v>
      </c>
      <c r="M102" s="2"/>
      <c r="N102" s="21">
        <f t="shared" si="7"/>
        <v>0</v>
      </c>
      <c r="O102" s="11"/>
      <c r="P102" s="2">
        <v>234.32</v>
      </c>
      <c r="Q102" s="2"/>
      <c r="R102" s="21">
        <f t="shared" si="8"/>
        <v>7.6701895233060639E-5</v>
      </c>
      <c r="S102" s="2"/>
      <c r="T102" s="2"/>
      <c r="U102" s="2"/>
      <c r="V102" s="21">
        <f t="shared" si="9"/>
        <v>0</v>
      </c>
      <c r="W102" s="2"/>
      <c r="X102" s="2">
        <f t="shared" si="10"/>
        <v>234.32</v>
      </c>
      <c r="Y102" s="2"/>
      <c r="Z102" s="21">
        <f t="shared" si="11"/>
        <v>0</v>
      </c>
    </row>
    <row r="103" spans="1:26" s="24" customFormat="1" hidden="1" outlineLevel="1" x14ac:dyDescent="0.25">
      <c r="A103" s="46"/>
      <c r="B103" s="11" t="str">
        <f>CONCATENATE("          ", "5017", " - ", "PURCHASES @ COST-DORM/HOUSEWAR")</f>
        <v xml:space="preserve">          5017 - PURCHASES @ COST-DORM/HOUSEWAR</v>
      </c>
      <c r="C103" s="11"/>
      <c r="D103" s="2">
        <v>139.86000000000001</v>
      </c>
      <c r="E103" s="2"/>
      <c r="F103" s="21">
        <f t="shared" si="4"/>
        <v>5.1742399402792225E-5</v>
      </c>
      <c r="G103" s="2"/>
      <c r="H103" s="2"/>
      <c r="I103" s="2"/>
      <c r="J103" s="21">
        <f t="shared" si="5"/>
        <v>0</v>
      </c>
      <c r="K103" s="2"/>
      <c r="L103" s="2">
        <f t="shared" si="6"/>
        <v>139.86000000000001</v>
      </c>
      <c r="M103" s="2"/>
      <c r="N103" s="21">
        <f t="shared" si="7"/>
        <v>0</v>
      </c>
      <c r="O103" s="11"/>
      <c r="P103" s="2">
        <v>139.86000000000001</v>
      </c>
      <c r="Q103" s="2"/>
      <c r="R103" s="21">
        <f t="shared" si="8"/>
        <v>4.5781525551791831E-5</v>
      </c>
      <c r="S103" s="2"/>
      <c r="T103" s="2"/>
      <c r="U103" s="2"/>
      <c r="V103" s="21">
        <f t="shared" si="9"/>
        <v>0</v>
      </c>
      <c r="W103" s="2"/>
      <c r="X103" s="2">
        <f t="shared" si="10"/>
        <v>139.86000000000001</v>
      </c>
      <c r="Y103" s="2"/>
      <c r="Z103" s="21">
        <f t="shared" si="11"/>
        <v>0</v>
      </c>
    </row>
    <row r="104" spans="1:26" s="24" customFormat="1" hidden="1" outlineLevel="1" x14ac:dyDescent="0.25">
      <c r="A104" s="46"/>
      <c r="B104" s="11" t="str">
        <f>CONCATENATE("          ", "5018", " - ", "PURCHASES @ COST-STUDY GUIDES")</f>
        <v xml:space="preserve">          5018 - PURCHASES @ COST-STUDY GUIDES</v>
      </c>
      <c r="C104" s="11"/>
      <c r="D104" s="2"/>
      <c r="E104" s="2"/>
      <c r="F104" s="21">
        <f t="shared" si="4"/>
        <v>0</v>
      </c>
      <c r="G104" s="2"/>
      <c r="H104" s="2"/>
      <c r="I104" s="2"/>
      <c r="J104" s="21">
        <f t="shared" si="5"/>
        <v>0</v>
      </c>
      <c r="K104" s="2"/>
      <c r="L104" s="2">
        <f t="shared" si="6"/>
        <v>0</v>
      </c>
      <c r="M104" s="2"/>
      <c r="N104" s="21">
        <f t="shared" si="7"/>
        <v>0</v>
      </c>
      <c r="O104" s="11"/>
      <c r="P104" s="2">
        <v>503.93</v>
      </c>
      <c r="Q104" s="2"/>
      <c r="R104" s="21">
        <f t="shared" si="8"/>
        <v>1.6495555678045515E-4</v>
      </c>
      <c r="S104" s="2"/>
      <c r="T104" s="2"/>
      <c r="U104" s="2"/>
      <c r="V104" s="21">
        <f t="shared" si="9"/>
        <v>0</v>
      </c>
      <c r="W104" s="2"/>
      <c r="X104" s="2">
        <f t="shared" si="10"/>
        <v>503.93</v>
      </c>
      <c r="Y104" s="2"/>
      <c r="Z104" s="21">
        <f t="shared" si="11"/>
        <v>0</v>
      </c>
    </row>
    <row r="105" spans="1:26" s="24" customFormat="1" hidden="1" outlineLevel="1" x14ac:dyDescent="0.25">
      <c r="A105" s="46"/>
      <c r="B105" s="11" t="str">
        <f>CONCATENATE("          ", "5025", " - ", "PURCHASES @ COST-TEST FORMS")</f>
        <v xml:space="preserve">          5025 - PURCHASES @ COST-TEST FORMS</v>
      </c>
      <c r="C105" s="11"/>
      <c r="D105" s="2">
        <v>878.02</v>
      </c>
      <c r="E105" s="2"/>
      <c r="F105" s="21">
        <f t="shared" si="4"/>
        <v>3.2483098472500804E-4</v>
      </c>
      <c r="G105" s="2"/>
      <c r="H105" s="2"/>
      <c r="I105" s="2"/>
      <c r="J105" s="21">
        <f t="shared" si="5"/>
        <v>0</v>
      </c>
      <c r="K105" s="2"/>
      <c r="L105" s="2">
        <f t="shared" si="6"/>
        <v>878.02</v>
      </c>
      <c r="M105" s="2"/>
      <c r="N105" s="21">
        <f t="shared" si="7"/>
        <v>0</v>
      </c>
      <c r="O105" s="11"/>
      <c r="P105" s="2">
        <v>1757.14</v>
      </c>
      <c r="Q105" s="2"/>
      <c r="R105" s="21">
        <f t="shared" si="8"/>
        <v>5.7517910630684613E-4</v>
      </c>
      <c r="S105" s="2"/>
      <c r="T105" s="2"/>
      <c r="U105" s="2"/>
      <c r="V105" s="21">
        <f t="shared" si="9"/>
        <v>0</v>
      </c>
      <c r="W105" s="2"/>
      <c r="X105" s="2">
        <f t="shared" si="10"/>
        <v>1757.14</v>
      </c>
      <c r="Y105" s="2"/>
      <c r="Z105" s="21">
        <f t="shared" si="11"/>
        <v>0</v>
      </c>
    </row>
    <row r="106" spans="1:26" s="24" customFormat="1" hidden="1" outlineLevel="1" x14ac:dyDescent="0.25">
      <c r="A106" s="46"/>
      <c r="B106" s="11" t="str">
        <f>CONCATENATE("          ", "5026", " - ", "PURCHASES @ COST-WRITING INSTR")</f>
        <v xml:space="preserve">          5026 - PURCHASES @ COST-WRITING INSTR</v>
      </c>
      <c r="C106" s="11"/>
      <c r="D106" s="2">
        <v>2205.4899999999998</v>
      </c>
      <c r="E106" s="2"/>
      <c r="F106" s="21">
        <f t="shared" si="4"/>
        <v>8.1593982882070793E-4</v>
      </c>
      <c r="G106" s="2"/>
      <c r="H106" s="2"/>
      <c r="I106" s="2"/>
      <c r="J106" s="21">
        <f t="shared" si="5"/>
        <v>0</v>
      </c>
      <c r="K106" s="2"/>
      <c r="L106" s="2">
        <f t="shared" si="6"/>
        <v>2205.4899999999998</v>
      </c>
      <c r="M106" s="2"/>
      <c r="N106" s="21">
        <f t="shared" si="7"/>
        <v>0</v>
      </c>
      <c r="O106" s="11"/>
      <c r="P106" s="2">
        <v>12536.53</v>
      </c>
      <c r="Q106" s="2"/>
      <c r="R106" s="21">
        <f t="shared" si="8"/>
        <v>4.103685603645108E-3</v>
      </c>
      <c r="S106" s="2"/>
      <c r="T106" s="2"/>
      <c r="U106" s="2"/>
      <c r="V106" s="21">
        <f t="shared" si="9"/>
        <v>0</v>
      </c>
      <c r="W106" s="2"/>
      <c r="X106" s="2">
        <f t="shared" si="10"/>
        <v>12536.53</v>
      </c>
      <c r="Y106" s="2"/>
      <c r="Z106" s="21">
        <f t="shared" si="11"/>
        <v>0</v>
      </c>
    </row>
    <row r="107" spans="1:26" s="24" customFormat="1" hidden="1" outlineLevel="1" x14ac:dyDescent="0.25">
      <c r="A107" s="46"/>
      <c r="B107" s="11" t="str">
        <f>CONCATENATE("          ", "5027", " - ", "PURCHASES @ COST-SCHOOL SUPPLI")</f>
        <v xml:space="preserve">          5027 - PURCHASES @ COST-SCHOOL SUPPLI</v>
      </c>
      <c r="C107" s="11"/>
      <c r="D107" s="2">
        <v>-588.74</v>
      </c>
      <c r="E107" s="2"/>
      <c r="F107" s="21">
        <f t="shared" si="4"/>
        <v>-2.1780938241384166E-4</v>
      </c>
      <c r="G107" s="2"/>
      <c r="H107" s="2"/>
      <c r="I107" s="2"/>
      <c r="J107" s="21">
        <f t="shared" si="5"/>
        <v>0</v>
      </c>
      <c r="K107" s="2"/>
      <c r="L107" s="2">
        <f t="shared" si="6"/>
        <v>-588.74</v>
      </c>
      <c r="M107" s="2"/>
      <c r="N107" s="21">
        <f t="shared" si="7"/>
        <v>0</v>
      </c>
      <c r="O107" s="11"/>
      <c r="P107" s="2">
        <v>49526.729999999996</v>
      </c>
      <c r="Q107" s="2"/>
      <c r="R107" s="21">
        <f t="shared" si="8"/>
        <v>1.6211992385183002E-2</v>
      </c>
      <c r="S107" s="2"/>
      <c r="T107" s="2"/>
      <c r="U107" s="2"/>
      <c r="V107" s="21">
        <f t="shared" si="9"/>
        <v>0</v>
      </c>
      <c r="W107" s="2"/>
      <c r="X107" s="2">
        <f t="shared" si="10"/>
        <v>49526.729999999996</v>
      </c>
      <c r="Y107" s="2"/>
      <c r="Z107" s="21">
        <f t="shared" si="11"/>
        <v>0</v>
      </c>
    </row>
    <row r="108" spans="1:26" s="24" customFormat="1" hidden="1" outlineLevel="1" x14ac:dyDescent="0.25">
      <c r="A108" s="46"/>
      <c r="B108" s="11" t="str">
        <f>CONCATENATE("          ", "5028", " - ", "PURCHASES @ COST-ART/TECH")</f>
        <v xml:space="preserve">          5028 - PURCHASES @ COST-ART/TECH</v>
      </c>
      <c r="C108" s="11"/>
      <c r="D108" s="2">
        <v>27987.119999999999</v>
      </c>
      <c r="E108" s="2"/>
      <c r="F108" s="21">
        <f t="shared" si="4"/>
        <v>1.0354073653466854E-2</v>
      </c>
      <c r="G108" s="2"/>
      <c r="H108" s="2"/>
      <c r="I108" s="2"/>
      <c r="J108" s="21">
        <f t="shared" si="5"/>
        <v>0</v>
      </c>
      <c r="K108" s="2"/>
      <c r="L108" s="2">
        <f t="shared" si="6"/>
        <v>27987.119999999999</v>
      </c>
      <c r="M108" s="2"/>
      <c r="N108" s="21">
        <f t="shared" si="7"/>
        <v>0</v>
      </c>
      <c r="O108" s="11"/>
      <c r="P108" s="2">
        <v>56014.77</v>
      </c>
      <c r="Q108" s="2"/>
      <c r="R108" s="21">
        <f t="shared" si="8"/>
        <v>1.8335775947610055E-2</v>
      </c>
      <c r="S108" s="2"/>
      <c r="T108" s="2"/>
      <c r="U108" s="2"/>
      <c r="V108" s="21">
        <f t="shared" si="9"/>
        <v>0</v>
      </c>
      <c r="W108" s="2"/>
      <c r="X108" s="2">
        <f t="shared" si="10"/>
        <v>56014.77</v>
      </c>
      <c r="Y108" s="2"/>
      <c r="Z108" s="21">
        <f t="shared" si="11"/>
        <v>0</v>
      </c>
    </row>
    <row r="109" spans="1:26" s="24" customFormat="1" hidden="1" outlineLevel="1" x14ac:dyDescent="0.25">
      <c r="A109" s="46"/>
      <c r="B109" s="11" t="str">
        <f>CONCATENATE("          ", "5031", " - ", "PURCHASES @ COST-FOOD")</f>
        <v xml:space="preserve">          5031 - PURCHASES @ COST-FOOD</v>
      </c>
      <c r="C109" s="11"/>
      <c r="D109" s="2">
        <v>2679.04</v>
      </c>
      <c r="E109" s="2"/>
      <c r="F109" s="21">
        <f t="shared" si="4"/>
        <v>9.9113368866049251E-4</v>
      </c>
      <c r="G109" s="2"/>
      <c r="H109" s="2"/>
      <c r="I109" s="2"/>
      <c r="J109" s="21">
        <f t="shared" si="5"/>
        <v>0</v>
      </c>
      <c r="K109" s="2"/>
      <c r="L109" s="2">
        <f t="shared" si="6"/>
        <v>2679.04</v>
      </c>
      <c r="M109" s="2"/>
      <c r="N109" s="21">
        <f t="shared" si="7"/>
        <v>0</v>
      </c>
      <c r="O109" s="11"/>
      <c r="P109" s="2">
        <v>2679.04</v>
      </c>
      <c r="Q109" s="2"/>
      <c r="R109" s="21">
        <f t="shared" si="8"/>
        <v>8.7695222518427267E-4</v>
      </c>
      <c r="S109" s="2"/>
      <c r="T109" s="2"/>
      <c r="U109" s="2"/>
      <c r="V109" s="21">
        <f t="shared" si="9"/>
        <v>0</v>
      </c>
      <c r="W109" s="2"/>
      <c r="X109" s="2">
        <f t="shared" si="10"/>
        <v>2679.04</v>
      </c>
      <c r="Y109" s="2"/>
      <c r="Z109" s="21">
        <f t="shared" si="11"/>
        <v>0</v>
      </c>
    </row>
    <row r="110" spans="1:26" s="24" customFormat="1" hidden="1" outlineLevel="1" x14ac:dyDescent="0.25">
      <c r="A110" s="46"/>
      <c r="B110" s="11" t="str">
        <f>CONCATENATE("          ", "5032", " - ", "PURCHASES @ COST-JUICE")</f>
        <v xml:space="preserve">          5032 - PURCHASES @ COST-JUICE</v>
      </c>
      <c r="C110" s="11"/>
      <c r="D110" s="2">
        <v>227.18</v>
      </c>
      <c r="E110" s="2"/>
      <c r="F110" s="21">
        <f t="shared" si="4"/>
        <v>8.4047177865911185E-5</v>
      </c>
      <c r="G110" s="2"/>
      <c r="H110" s="2"/>
      <c r="I110" s="2"/>
      <c r="J110" s="21">
        <f t="shared" si="5"/>
        <v>0</v>
      </c>
      <c r="K110" s="2"/>
      <c r="L110" s="2">
        <f t="shared" si="6"/>
        <v>227.18</v>
      </c>
      <c r="M110" s="2"/>
      <c r="N110" s="21">
        <f t="shared" si="7"/>
        <v>0</v>
      </c>
      <c r="O110" s="11"/>
      <c r="P110" s="2">
        <v>341.6</v>
      </c>
      <c r="Q110" s="2"/>
      <c r="R110" s="21">
        <f t="shared" si="8"/>
        <v>1.1181874108745953E-4</v>
      </c>
      <c r="S110" s="2"/>
      <c r="T110" s="2"/>
      <c r="U110" s="2"/>
      <c r="V110" s="21">
        <f t="shared" si="9"/>
        <v>0</v>
      </c>
      <c r="W110" s="2"/>
      <c r="X110" s="2">
        <f t="shared" si="10"/>
        <v>341.6</v>
      </c>
      <c r="Y110" s="2"/>
      <c r="Z110" s="21">
        <f t="shared" si="11"/>
        <v>0</v>
      </c>
    </row>
    <row r="111" spans="1:26" s="24" customFormat="1" hidden="1" outlineLevel="1" x14ac:dyDescent="0.25">
      <c r="A111" s="46"/>
      <c r="B111" s="11" t="str">
        <f>CONCATENATE("          ", "5033", " - ", "PURCHASES @ COST-CANDY")</f>
        <v xml:space="preserve">          5033 - PURCHASES @ COST-CANDY</v>
      </c>
      <c r="C111" s="11"/>
      <c r="D111" s="2">
        <v>986.46</v>
      </c>
      <c r="E111" s="2"/>
      <c r="F111" s="21">
        <f t="shared" si="4"/>
        <v>3.6494928725066796E-4</v>
      </c>
      <c r="G111" s="2"/>
      <c r="H111" s="2"/>
      <c r="I111" s="2"/>
      <c r="J111" s="21">
        <f t="shared" si="5"/>
        <v>0</v>
      </c>
      <c r="K111" s="2"/>
      <c r="L111" s="2">
        <f t="shared" si="6"/>
        <v>986.46</v>
      </c>
      <c r="M111" s="2"/>
      <c r="N111" s="21">
        <f t="shared" si="7"/>
        <v>0</v>
      </c>
      <c r="O111" s="11"/>
      <c r="P111" s="2">
        <v>986.46</v>
      </c>
      <c r="Q111" s="2"/>
      <c r="R111" s="21">
        <f t="shared" si="8"/>
        <v>3.2290607533119238E-4</v>
      </c>
      <c r="S111" s="2"/>
      <c r="T111" s="2"/>
      <c r="U111" s="2"/>
      <c r="V111" s="21">
        <f t="shared" si="9"/>
        <v>0</v>
      </c>
      <c r="W111" s="2"/>
      <c r="X111" s="2">
        <f t="shared" si="10"/>
        <v>986.46</v>
      </c>
      <c r="Y111" s="2"/>
      <c r="Z111" s="21">
        <f t="shared" si="11"/>
        <v>0</v>
      </c>
    </row>
    <row r="112" spans="1:26" s="24" customFormat="1" hidden="1" outlineLevel="1" x14ac:dyDescent="0.25">
      <c r="A112" s="46"/>
      <c r="B112" s="11" t="str">
        <f>CONCATENATE("          ", "5034", " - ", "PURCHASES @ COST-SODA")</f>
        <v xml:space="preserve">          5034 - PURCHASES @ COST-SODA</v>
      </c>
      <c r="C112" s="11"/>
      <c r="D112" s="2">
        <v>350.04</v>
      </c>
      <c r="E112" s="2"/>
      <c r="F112" s="21">
        <f t="shared" si="4"/>
        <v>1.2950028233199906E-4</v>
      </c>
      <c r="G112" s="2"/>
      <c r="H112" s="2"/>
      <c r="I112" s="2"/>
      <c r="J112" s="21">
        <f t="shared" si="5"/>
        <v>0</v>
      </c>
      <c r="K112" s="2"/>
      <c r="L112" s="2">
        <f t="shared" si="6"/>
        <v>350.04</v>
      </c>
      <c r="M112" s="2"/>
      <c r="N112" s="21">
        <f t="shared" si="7"/>
        <v>0</v>
      </c>
      <c r="O112" s="11"/>
      <c r="P112" s="2">
        <v>288.5</v>
      </c>
      <c r="Q112" s="2"/>
      <c r="R112" s="21">
        <f t="shared" si="8"/>
        <v>9.44370808071782E-5</v>
      </c>
      <c r="S112" s="2"/>
      <c r="T112" s="2"/>
      <c r="U112" s="2"/>
      <c r="V112" s="21">
        <f t="shared" si="9"/>
        <v>0</v>
      </c>
      <c r="W112" s="2"/>
      <c r="X112" s="2">
        <f t="shared" si="10"/>
        <v>288.5</v>
      </c>
      <c r="Y112" s="2"/>
      <c r="Z112" s="21">
        <f t="shared" si="11"/>
        <v>0</v>
      </c>
    </row>
    <row r="113" spans="1:26" s="24" customFormat="1" hidden="1" outlineLevel="1" x14ac:dyDescent="0.25">
      <c r="A113" s="46"/>
      <c r="B113" s="11" t="str">
        <f>CONCATENATE("          ", "5035", " - ", "PURCHASES @ COST-HEALTH &amp; BEAU")</f>
        <v xml:space="preserve">          5035 - PURCHASES @ COST-HEALTH &amp; BEAU</v>
      </c>
      <c r="C113" s="11"/>
      <c r="D113" s="2">
        <v>76.73</v>
      </c>
      <c r="E113" s="2"/>
      <c r="F113" s="21">
        <f t="shared" si="4"/>
        <v>2.8386917676077847E-5</v>
      </c>
      <c r="G113" s="2"/>
      <c r="H113" s="2"/>
      <c r="I113" s="2"/>
      <c r="J113" s="21">
        <f t="shared" si="5"/>
        <v>0</v>
      </c>
      <c r="K113" s="2"/>
      <c r="L113" s="2">
        <f t="shared" si="6"/>
        <v>76.73</v>
      </c>
      <c r="M113" s="2"/>
      <c r="N113" s="21">
        <f t="shared" si="7"/>
        <v>0</v>
      </c>
      <c r="O113" s="11"/>
      <c r="P113" s="2">
        <v>76.73</v>
      </c>
      <c r="Q113" s="2"/>
      <c r="R113" s="21">
        <f t="shared" si="8"/>
        <v>2.5116662774124033E-5</v>
      </c>
      <c r="S113" s="2"/>
      <c r="T113" s="2"/>
      <c r="U113" s="2"/>
      <c r="V113" s="21">
        <f t="shared" si="9"/>
        <v>0</v>
      </c>
      <c r="W113" s="2"/>
      <c r="X113" s="2">
        <f t="shared" si="10"/>
        <v>76.73</v>
      </c>
      <c r="Y113" s="2"/>
      <c r="Z113" s="21">
        <f t="shared" si="11"/>
        <v>0</v>
      </c>
    </row>
    <row r="114" spans="1:26" s="24" customFormat="1" hidden="1" outlineLevel="1" x14ac:dyDescent="0.25">
      <c r="A114" s="46"/>
      <c r="B114" s="11" t="str">
        <f>CONCATENATE("          ", "5037", " - ", "PURCHASES @ COST-WATER")</f>
        <v xml:space="preserve">          5037 - PURCHASES @ COST-WATER</v>
      </c>
      <c r="C114" s="11"/>
      <c r="D114" s="2">
        <v>462.36</v>
      </c>
      <c r="E114" s="2"/>
      <c r="F114" s="21">
        <f t="shared" si="4"/>
        <v>1.7105402393733027E-4</v>
      </c>
      <c r="G114" s="2"/>
      <c r="H114" s="2"/>
      <c r="I114" s="2"/>
      <c r="J114" s="21">
        <f t="shared" si="5"/>
        <v>0</v>
      </c>
      <c r="K114" s="2"/>
      <c r="L114" s="2">
        <f t="shared" si="6"/>
        <v>462.36</v>
      </c>
      <c r="M114" s="2"/>
      <c r="N114" s="21">
        <f t="shared" si="7"/>
        <v>0</v>
      </c>
      <c r="O114" s="11"/>
      <c r="P114" s="2">
        <v>495.94</v>
      </c>
      <c r="Q114" s="2"/>
      <c r="R114" s="21">
        <f t="shared" si="8"/>
        <v>1.6234012428253711E-4</v>
      </c>
      <c r="S114" s="2"/>
      <c r="T114" s="2"/>
      <c r="U114" s="2"/>
      <c r="V114" s="21">
        <f t="shared" si="9"/>
        <v>0</v>
      </c>
      <c r="W114" s="2"/>
      <c r="X114" s="2">
        <f t="shared" si="10"/>
        <v>495.94</v>
      </c>
      <c r="Y114" s="2"/>
      <c r="Z114" s="21">
        <f t="shared" si="11"/>
        <v>0</v>
      </c>
    </row>
    <row r="115" spans="1:26" s="24" customFormat="1" hidden="1" outlineLevel="1" x14ac:dyDescent="0.25">
      <c r="A115" s="46"/>
      <c r="B115" s="11" t="str">
        <f>CONCATENATE("          ", "5040", " - ", "PURCHASES @ COST-LOGO CLOTHING")</f>
        <v xml:space="preserve">          5040 - PURCHASES @ COST-LOGO CLOTHING</v>
      </c>
      <c r="C115" s="11"/>
      <c r="D115" s="2">
        <v>106647.4</v>
      </c>
      <c r="E115" s="2"/>
      <c r="F115" s="21">
        <f t="shared" si="4"/>
        <v>3.9455114872510674E-2</v>
      </c>
      <c r="G115" s="2"/>
      <c r="H115" s="2"/>
      <c r="I115" s="2"/>
      <c r="J115" s="21">
        <f t="shared" si="5"/>
        <v>0</v>
      </c>
      <c r="K115" s="2"/>
      <c r="L115" s="2">
        <f t="shared" si="6"/>
        <v>106647.4</v>
      </c>
      <c r="M115" s="2"/>
      <c r="N115" s="21">
        <f t="shared" si="7"/>
        <v>0</v>
      </c>
      <c r="O115" s="11"/>
      <c r="P115" s="2">
        <v>185568.97</v>
      </c>
      <c r="Q115" s="2"/>
      <c r="R115" s="21">
        <f t="shared" si="8"/>
        <v>6.0743819116793156E-2</v>
      </c>
      <c r="S115" s="2"/>
      <c r="T115" s="2"/>
      <c r="U115" s="2"/>
      <c r="V115" s="21">
        <f t="shared" si="9"/>
        <v>0</v>
      </c>
      <c r="W115" s="2"/>
      <c r="X115" s="2">
        <f t="shared" si="10"/>
        <v>185568.97</v>
      </c>
      <c r="Y115" s="2"/>
      <c r="Z115" s="21">
        <f t="shared" si="11"/>
        <v>0</v>
      </c>
    </row>
    <row r="116" spans="1:26" s="24" customFormat="1" hidden="1" outlineLevel="1" x14ac:dyDescent="0.25">
      <c r="A116" s="46"/>
      <c r="B116" s="11" t="str">
        <f>CONCATENATE("          ", "5041", " - ", "PURCHASES @ COST-LOGO GIFTS")</f>
        <v xml:space="preserve">          5041 - PURCHASES @ COST-LOGO GIFTS</v>
      </c>
      <c r="C116" s="11"/>
      <c r="D116" s="2">
        <v>16578.89</v>
      </c>
      <c r="E116" s="2"/>
      <c r="F116" s="21">
        <f t="shared" si="4"/>
        <v>6.1335017019516509E-3</v>
      </c>
      <c r="G116" s="2"/>
      <c r="H116" s="2"/>
      <c r="I116" s="2"/>
      <c r="J116" s="21">
        <f t="shared" si="5"/>
        <v>0</v>
      </c>
      <c r="K116" s="2"/>
      <c r="L116" s="2">
        <f t="shared" si="6"/>
        <v>16578.89</v>
      </c>
      <c r="M116" s="2"/>
      <c r="N116" s="21">
        <f t="shared" si="7"/>
        <v>0</v>
      </c>
      <c r="O116" s="11"/>
      <c r="P116" s="2">
        <v>28529.16</v>
      </c>
      <c r="Q116" s="2"/>
      <c r="R116" s="21">
        <f t="shared" si="8"/>
        <v>9.3386848813896556E-3</v>
      </c>
      <c r="S116" s="2"/>
      <c r="T116" s="2"/>
      <c r="U116" s="2"/>
      <c r="V116" s="21">
        <f t="shared" si="9"/>
        <v>0</v>
      </c>
      <c r="W116" s="2"/>
      <c r="X116" s="2">
        <f t="shared" si="10"/>
        <v>28529.16</v>
      </c>
      <c r="Y116" s="2"/>
      <c r="Z116" s="21">
        <f t="shared" si="11"/>
        <v>0</v>
      </c>
    </row>
    <row r="117" spans="1:26" s="24" customFormat="1" hidden="1" outlineLevel="1" x14ac:dyDescent="0.25">
      <c r="A117" s="46"/>
      <c r="B117" s="11" t="str">
        <f>CONCATENATE("          ", "5042", " - ", "PURCHASES @ COST-EVERYDAY GIFT")</f>
        <v xml:space="preserve">          5042 - PURCHASES @ COST-EVERYDAY GIFT</v>
      </c>
      <c r="C117" s="11"/>
      <c r="D117" s="2">
        <v>15979.86</v>
      </c>
      <c r="E117" s="2"/>
      <c r="F117" s="21">
        <f t="shared" si="4"/>
        <v>5.911885446308475E-3</v>
      </c>
      <c r="G117" s="2"/>
      <c r="H117" s="2"/>
      <c r="I117" s="2"/>
      <c r="J117" s="21">
        <f t="shared" si="5"/>
        <v>0</v>
      </c>
      <c r="K117" s="2"/>
      <c r="L117" s="2">
        <f t="shared" si="6"/>
        <v>15979.86</v>
      </c>
      <c r="M117" s="2"/>
      <c r="N117" s="21">
        <f t="shared" si="7"/>
        <v>0</v>
      </c>
      <c r="O117" s="11"/>
      <c r="P117" s="2">
        <v>23732.22</v>
      </c>
      <c r="Q117" s="2"/>
      <c r="R117" s="21">
        <f t="shared" si="8"/>
        <v>7.7684630082278357E-3</v>
      </c>
      <c r="S117" s="2"/>
      <c r="T117" s="2"/>
      <c r="U117" s="2"/>
      <c r="V117" s="21">
        <f t="shared" si="9"/>
        <v>0</v>
      </c>
      <c r="W117" s="2"/>
      <c r="X117" s="2">
        <f t="shared" si="10"/>
        <v>23732.22</v>
      </c>
      <c r="Y117" s="2"/>
      <c r="Z117" s="21">
        <f t="shared" si="11"/>
        <v>0</v>
      </c>
    </row>
    <row r="118" spans="1:26" s="24" customFormat="1" hidden="1" outlineLevel="1" x14ac:dyDescent="0.25">
      <c r="A118" s="46"/>
      <c r="B118" s="11" t="str">
        <f>CONCATENATE("          ", "5043", " - ", "PURCHASES @ COST-CARDS")</f>
        <v xml:space="preserve">          5043 - PURCHASES @ COST-CARDS</v>
      </c>
      <c r="C118" s="11"/>
      <c r="D118" s="2">
        <v>15.24</v>
      </c>
      <c r="E118" s="2"/>
      <c r="F118" s="21">
        <f t="shared" si="4"/>
        <v>5.6381679314925889E-6</v>
      </c>
      <c r="G118" s="2"/>
      <c r="H118" s="2"/>
      <c r="I118" s="2"/>
      <c r="J118" s="21">
        <f t="shared" si="5"/>
        <v>0</v>
      </c>
      <c r="K118" s="2"/>
      <c r="L118" s="2">
        <f t="shared" si="6"/>
        <v>15.24</v>
      </c>
      <c r="M118" s="2"/>
      <c r="N118" s="21">
        <f t="shared" si="7"/>
        <v>0</v>
      </c>
      <c r="O118" s="11"/>
      <c r="P118" s="2">
        <v>513.5</v>
      </c>
      <c r="Q118" s="2"/>
      <c r="R118" s="21">
        <f t="shared" si="8"/>
        <v>1.6808818368972618E-4</v>
      </c>
      <c r="S118" s="2"/>
      <c r="T118" s="2"/>
      <c r="U118" s="2"/>
      <c r="V118" s="21">
        <f t="shared" si="9"/>
        <v>0</v>
      </c>
      <c r="W118" s="2"/>
      <c r="X118" s="2">
        <f t="shared" si="10"/>
        <v>513.5</v>
      </c>
      <c r="Y118" s="2"/>
      <c r="Z118" s="21">
        <f t="shared" si="11"/>
        <v>0</v>
      </c>
    </row>
    <row r="119" spans="1:26" s="24" customFormat="1" hidden="1" outlineLevel="1" x14ac:dyDescent="0.25">
      <c r="A119" s="46"/>
      <c r="B119" s="11" t="str">
        <f>CONCATENATE("          ", "5044", " - ", "PURCHASES @ COST-ACCESSORIES")</f>
        <v xml:space="preserve">          5044 - PURCHASES @ COST-ACCESSORIES</v>
      </c>
      <c r="C119" s="11"/>
      <c r="D119" s="2">
        <v>13249.12</v>
      </c>
      <c r="E119" s="2"/>
      <c r="F119" s="21">
        <f t="shared" si="4"/>
        <v>4.9016249018698881E-3</v>
      </c>
      <c r="G119" s="2"/>
      <c r="H119" s="2"/>
      <c r="I119" s="2"/>
      <c r="J119" s="21">
        <f t="shared" si="5"/>
        <v>0</v>
      </c>
      <c r="K119" s="2"/>
      <c r="L119" s="2">
        <f t="shared" si="6"/>
        <v>13249.12</v>
      </c>
      <c r="M119" s="2"/>
      <c r="N119" s="21">
        <f t="shared" si="7"/>
        <v>0</v>
      </c>
      <c r="O119" s="11"/>
      <c r="P119" s="2">
        <v>18088.12</v>
      </c>
      <c r="Q119" s="2"/>
      <c r="R119" s="21">
        <f t="shared" si="8"/>
        <v>5.9209332758749945E-3</v>
      </c>
      <c r="S119" s="2"/>
      <c r="T119" s="2"/>
      <c r="U119" s="2"/>
      <c r="V119" s="21">
        <f t="shared" si="9"/>
        <v>0</v>
      </c>
      <c r="W119" s="2"/>
      <c r="X119" s="2">
        <f t="shared" si="10"/>
        <v>18088.12</v>
      </c>
      <c r="Y119" s="2"/>
      <c r="Z119" s="21">
        <f t="shared" si="11"/>
        <v>0</v>
      </c>
    </row>
    <row r="120" spans="1:26" s="24" customFormat="1" hidden="1" outlineLevel="1" x14ac:dyDescent="0.25">
      <c r="A120" s="46"/>
      <c r="B120" s="11" t="str">
        <f>CONCATENATE("          ", "5045", " - ", "PURCHASES @ COST-SPECIAL ORDER")</f>
        <v xml:space="preserve">          5045 - PURCHASES @ COST-SPECIAL ORDER</v>
      </c>
      <c r="C120" s="11"/>
      <c r="D120" s="2">
        <v>4152.78</v>
      </c>
      <c r="E120" s="2"/>
      <c r="F120" s="21">
        <f t="shared" si="4"/>
        <v>1.5363563663086477E-3</v>
      </c>
      <c r="G120" s="2"/>
      <c r="H120" s="2"/>
      <c r="I120" s="2"/>
      <c r="J120" s="21">
        <f t="shared" si="5"/>
        <v>0</v>
      </c>
      <c r="K120" s="2"/>
      <c r="L120" s="2">
        <f t="shared" si="6"/>
        <v>4152.78</v>
      </c>
      <c r="M120" s="2"/>
      <c r="N120" s="21">
        <f t="shared" si="7"/>
        <v>0</v>
      </c>
      <c r="O120" s="11"/>
      <c r="P120" s="2">
        <v>20145.63</v>
      </c>
      <c r="Q120" s="2"/>
      <c r="R120" s="21">
        <f t="shared" si="8"/>
        <v>6.5944349678388678E-3</v>
      </c>
      <c r="S120" s="2"/>
      <c r="T120" s="2"/>
      <c r="U120" s="2"/>
      <c r="V120" s="21">
        <f t="shared" si="9"/>
        <v>0</v>
      </c>
      <c r="W120" s="2"/>
      <c r="X120" s="2">
        <f t="shared" si="10"/>
        <v>20145.63</v>
      </c>
      <c r="Y120" s="2"/>
      <c r="Z120" s="21">
        <f t="shared" si="11"/>
        <v>0</v>
      </c>
    </row>
    <row r="121" spans="1:26" s="24" customFormat="1" hidden="1" outlineLevel="1" x14ac:dyDescent="0.25">
      <c r="A121" s="46"/>
      <c r="B121" s="11" t="str">
        <f>CONCATENATE("          ", "5081", " - ", "PURCHASES @ COST-ELECTRONICS")</f>
        <v xml:space="preserve">          5081 - PURCHASES @ COST-ELECTRONICS</v>
      </c>
      <c r="C121" s="11"/>
      <c r="D121" s="2">
        <v>304.16000000000003</v>
      </c>
      <c r="E121" s="2"/>
      <c r="F121" s="21">
        <f t="shared" si="4"/>
        <v>1.1252658517341115E-4</v>
      </c>
      <c r="G121" s="2"/>
      <c r="H121" s="2"/>
      <c r="I121" s="2"/>
      <c r="J121" s="21">
        <f t="shared" si="5"/>
        <v>0</v>
      </c>
      <c r="K121" s="2"/>
      <c r="L121" s="2">
        <f t="shared" si="6"/>
        <v>304.16000000000003</v>
      </c>
      <c r="M121" s="2"/>
      <c r="N121" s="21">
        <f t="shared" si="7"/>
        <v>0</v>
      </c>
      <c r="O121" s="11"/>
      <c r="P121" s="2">
        <v>304.16000000000003</v>
      </c>
      <c r="Q121" s="2"/>
      <c r="R121" s="21">
        <f t="shared" si="8"/>
        <v>9.9563197567803543E-5</v>
      </c>
      <c r="S121" s="2"/>
      <c r="T121" s="2"/>
      <c r="U121" s="2"/>
      <c r="V121" s="21">
        <f t="shared" si="9"/>
        <v>0</v>
      </c>
      <c r="W121" s="2"/>
      <c r="X121" s="2">
        <f t="shared" si="10"/>
        <v>304.16000000000003</v>
      </c>
      <c r="Y121" s="2"/>
      <c r="Z121" s="21">
        <f t="shared" si="11"/>
        <v>0</v>
      </c>
    </row>
    <row r="122" spans="1:26" s="24" customFormat="1" hidden="1" outlineLevel="1" x14ac:dyDescent="0.25">
      <c r="A122" s="46"/>
      <c r="B122" s="11" t="str">
        <f>CONCATENATE("          ", "5082", " - ", "PURCHASES @ COST-COMPUTER HARD")</f>
        <v xml:space="preserve">          5082 - PURCHASES @ COST-COMPUTER HARD</v>
      </c>
      <c r="C122" s="11"/>
      <c r="D122" s="2">
        <v>130.6</v>
      </c>
      <c r="E122" s="2"/>
      <c r="F122" s="21">
        <f t="shared" si="4"/>
        <v>4.8316583454916803E-5</v>
      </c>
      <c r="G122" s="2"/>
      <c r="H122" s="2"/>
      <c r="I122" s="2"/>
      <c r="J122" s="21">
        <f t="shared" si="5"/>
        <v>0</v>
      </c>
      <c r="K122" s="2"/>
      <c r="L122" s="2">
        <f t="shared" si="6"/>
        <v>130.6</v>
      </c>
      <c r="M122" s="2"/>
      <c r="N122" s="21">
        <f t="shared" si="7"/>
        <v>0</v>
      </c>
      <c r="O122" s="11"/>
      <c r="P122" s="2">
        <v>130.6</v>
      </c>
      <c r="Q122" s="2"/>
      <c r="R122" s="21">
        <f t="shared" si="8"/>
        <v>4.2750373495381184E-5</v>
      </c>
      <c r="S122" s="2"/>
      <c r="T122" s="2"/>
      <c r="U122" s="2"/>
      <c r="V122" s="21">
        <f t="shared" si="9"/>
        <v>0</v>
      </c>
      <c r="W122" s="2"/>
      <c r="X122" s="2">
        <f t="shared" si="10"/>
        <v>130.6</v>
      </c>
      <c r="Y122" s="2"/>
      <c r="Z122" s="21">
        <f t="shared" si="11"/>
        <v>0</v>
      </c>
    </row>
    <row r="123" spans="1:26" s="24" customFormat="1" hidden="1" outlineLevel="1" x14ac:dyDescent="0.25">
      <c r="A123" s="46"/>
      <c r="B123" s="11" t="str">
        <f>CONCATENATE("          ", "5083", " - ", "PURCHASES @ COST-COMPUTER EQUI")</f>
        <v xml:space="preserve">          5083 - PURCHASES @ COST-COMPUTER EQUI</v>
      </c>
      <c r="C123" s="11"/>
      <c r="D123" s="2">
        <v>81.45</v>
      </c>
      <c r="E123" s="2"/>
      <c r="F123" s="21">
        <f t="shared" si="4"/>
        <v>3.0133121917327519E-5</v>
      </c>
      <c r="G123" s="2"/>
      <c r="H123" s="2"/>
      <c r="I123" s="2"/>
      <c r="J123" s="21">
        <f t="shared" si="5"/>
        <v>0</v>
      </c>
      <c r="K123" s="2"/>
      <c r="L123" s="2">
        <f t="shared" si="6"/>
        <v>81.45</v>
      </c>
      <c r="M123" s="2"/>
      <c r="N123" s="21">
        <f t="shared" si="7"/>
        <v>0</v>
      </c>
      <c r="O123" s="11"/>
      <c r="P123" s="2">
        <v>81.45</v>
      </c>
      <c r="Q123" s="2"/>
      <c r="R123" s="21">
        <f t="shared" si="8"/>
        <v>2.6661699243482372E-5</v>
      </c>
      <c r="S123" s="2"/>
      <c r="T123" s="2"/>
      <c r="U123" s="2"/>
      <c r="V123" s="21">
        <f t="shared" si="9"/>
        <v>0</v>
      </c>
      <c r="W123" s="2"/>
      <c r="X123" s="2">
        <f t="shared" si="10"/>
        <v>81.45</v>
      </c>
      <c r="Y123" s="2"/>
      <c r="Z123" s="21">
        <f t="shared" si="11"/>
        <v>0</v>
      </c>
    </row>
    <row r="124" spans="1:26" s="24" customFormat="1" hidden="1" outlineLevel="1" x14ac:dyDescent="0.25">
      <c r="A124" s="46"/>
      <c r="B124" s="11" t="str">
        <f>CONCATENATE("          ", "5086", " - ", "PURCHASES @ COST-COMPUTER SUPP")</f>
        <v xml:space="preserve">          5086 - PURCHASES @ COST-COMPUTER SUPP</v>
      </c>
      <c r="C124" s="11"/>
      <c r="D124" s="2">
        <v>58</v>
      </c>
      <c r="E124" s="2"/>
      <c r="F124" s="21">
        <f t="shared" si="4"/>
        <v>2.1457594489932425E-5</v>
      </c>
      <c r="G124" s="2"/>
      <c r="H124" s="2"/>
      <c r="I124" s="2"/>
      <c r="J124" s="21">
        <f t="shared" si="5"/>
        <v>0</v>
      </c>
      <c r="K124" s="2"/>
      <c r="L124" s="2">
        <f t="shared" si="6"/>
        <v>58</v>
      </c>
      <c r="M124" s="2"/>
      <c r="N124" s="21">
        <f t="shared" si="7"/>
        <v>0</v>
      </c>
      <c r="O124" s="11"/>
      <c r="P124" s="2">
        <v>58</v>
      </c>
      <c r="Q124" s="2"/>
      <c r="R124" s="21">
        <f t="shared" si="8"/>
        <v>1.8985617631945701E-5</v>
      </c>
      <c r="S124" s="2"/>
      <c r="T124" s="2"/>
      <c r="U124" s="2"/>
      <c r="V124" s="21">
        <f t="shared" si="9"/>
        <v>0</v>
      </c>
      <c r="W124" s="2"/>
      <c r="X124" s="2">
        <f t="shared" si="10"/>
        <v>58</v>
      </c>
      <c r="Y124" s="2"/>
      <c r="Z124" s="21">
        <f t="shared" si="11"/>
        <v>0</v>
      </c>
    </row>
    <row r="125" spans="1:26" s="24" customFormat="1" hidden="1" outlineLevel="1" x14ac:dyDescent="0.25">
      <c r="A125" s="46"/>
      <c r="B125" s="11" t="str">
        <f>CONCATENATE("          ", "5092", " - ", "PURCHASES @ COST-GRAD MERCH")</f>
        <v xml:space="preserve">          5092 - PURCHASES @ COST-GRAD MERCH</v>
      </c>
      <c r="C125" s="11"/>
      <c r="D125" s="2">
        <v>-600.6</v>
      </c>
      <c r="E125" s="2"/>
      <c r="F125" s="21">
        <f t="shared" si="4"/>
        <v>-2.2219709052850715E-4</v>
      </c>
      <c r="G125" s="2"/>
      <c r="H125" s="2"/>
      <c r="I125" s="2"/>
      <c r="J125" s="21">
        <f t="shared" si="5"/>
        <v>0</v>
      </c>
      <c r="K125" s="2"/>
      <c r="L125" s="2">
        <f t="shared" si="6"/>
        <v>-600.6</v>
      </c>
      <c r="M125" s="2"/>
      <c r="N125" s="21">
        <f t="shared" si="7"/>
        <v>0</v>
      </c>
      <c r="O125" s="11"/>
      <c r="P125" s="2">
        <v>628</v>
      </c>
      <c r="Q125" s="2"/>
      <c r="R125" s="21">
        <f t="shared" si="8"/>
        <v>2.0556841160106727E-4</v>
      </c>
      <c r="S125" s="2"/>
      <c r="T125" s="2"/>
      <c r="U125" s="2"/>
      <c r="V125" s="21">
        <f t="shared" si="9"/>
        <v>0</v>
      </c>
      <c r="W125" s="2"/>
      <c r="X125" s="2">
        <f t="shared" si="10"/>
        <v>628</v>
      </c>
      <c r="Y125" s="2"/>
      <c r="Z125" s="21">
        <f t="shared" si="11"/>
        <v>0</v>
      </c>
    </row>
    <row r="126" spans="1:26" s="24" customFormat="1" hidden="1" outlineLevel="1" x14ac:dyDescent="0.25">
      <c r="A126" s="46"/>
      <c r="B126" s="11" t="str">
        <f>CONCATENATE("          ", "5095", " - ", "PURCHASES @ COST-CUSTOMER SERV")</f>
        <v xml:space="preserve">          5095 - PURCHASES @ COST-CUSTOMER SERV</v>
      </c>
      <c r="C126" s="11"/>
      <c r="D126" s="2"/>
      <c r="E126" s="2"/>
      <c r="F126" s="21">
        <f t="shared" si="4"/>
        <v>0</v>
      </c>
      <c r="G126" s="2"/>
      <c r="H126" s="2"/>
      <c r="I126" s="2"/>
      <c r="J126" s="21">
        <f t="shared" si="5"/>
        <v>0</v>
      </c>
      <c r="K126" s="2"/>
      <c r="L126" s="2">
        <f t="shared" si="6"/>
        <v>0</v>
      </c>
      <c r="M126" s="2"/>
      <c r="N126" s="21">
        <f t="shared" si="7"/>
        <v>0</v>
      </c>
      <c r="O126" s="11"/>
      <c r="P126" s="2">
        <v>0</v>
      </c>
      <c r="Q126" s="2"/>
      <c r="R126" s="21">
        <f t="shared" si="8"/>
        <v>0</v>
      </c>
      <c r="S126" s="2"/>
      <c r="T126" s="2"/>
      <c r="U126" s="2"/>
      <c r="V126" s="21">
        <f t="shared" si="9"/>
        <v>0</v>
      </c>
      <c r="W126" s="2"/>
      <c r="X126" s="2">
        <f t="shared" si="10"/>
        <v>0</v>
      </c>
      <c r="Y126" s="2"/>
      <c r="Z126" s="21">
        <f t="shared" si="11"/>
        <v>0</v>
      </c>
    </row>
    <row r="127" spans="1:26" s="24" customFormat="1" hidden="1" outlineLevel="1" x14ac:dyDescent="0.25">
      <c r="A127" s="46"/>
      <c r="B127" s="11" t="str">
        <f>CONCATENATE("          ", "5200", " - ", "PURCHASES OFFSET")</f>
        <v xml:space="preserve">          5200 - PURCHASES OFFSET</v>
      </c>
      <c r="C127" s="11"/>
      <c r="D127" s="2">
        <v>-1527442</v>
      </c>
      <c r="E127" s="2"/>
      <c r="F127" s="21">
        <f t="shared" si="4"/>
        <v>-0.56509019039467867</v>
      </c>
      <c r="G127" s="2"/>
      <c r="H127" s="2"/>
      <c r="I127" s="2"/>
      <c r="J127" s="21">
        <f t="shared" si="5"/>
        <v>0</v>
      </c>
      <c r="K127" s="2"/>
      <c r="L127" s="2">
        <f t="shared" si="6"/>
        <v>-1527442</v>
      </c>
      <c r="M127" s="2"/>
      <c r="N127" s="21">
        <f t="shared" si="7"/>
        <v>0</v>
      </c>
      <c r="O127" s="11"/>
      <c r="P127" s="2">
        <v>-2356311</v>
      </c>
      <c r="Q127" s="2"/>
      <c r="R127" s="21">
        <f t="shared" si="8"/>
        <v>-0.77131068393013125</v>
      </c>
      <c r="S127" s="2"/>
      <c r="T127" s="2"/>
      <c r="U127" s="2"/>
      <c r="V127" s="21">
        <f t="shared" si="9"/>
        <v>0</v>
      </c>
      <c r="W127" s="2"/>
      <c r="X127" s="2">
        <f t="shared" si="10"/>
        <v>-2356311</v>
      </c>
      <c r="Y127" s="2"/>
      <c r="Z127" s="21">
        <f t="shared" si="11"/>
        <v>0</v>
      </c>
    </row>
    <row r="128" spans="1:26" s="24" customFormat="1" hidden="1" outlineLevel="1" x14ac:dyDescent="0.25">
      <c r="A128" s="46"/>
      <c r="B128" s="11" t="str">
        <f>CONCATENATE("          ", "5300", " - ", "COG$ OFFSET")</f>
        <v xml:space="preserve">          5300 - COG$ OFFSET</v>
      </c>
      <c r="C128" s="11"/>
      <c r="D128" s="2">
        <v>1248264</v>
      </c>
      <c r="E128" s="2"/>
      <c r="F128" s="21">
        <f t="shared" si="4"/>
        <v>0.4618059091100174</v>
      </c>
      <c r="G128" s="2"/>
      <c r="H128" s="2"/>
      <c r="I128" s="2"/>
      <c r="J128" s="21">
        <f t="shared" si="5"/>
        <v>0</v>
      </c>
      <c r="K128" s="2"/>
      <c r="L128" s="2">
        <f t="shared" si="6"/>
        <v>1248264</v>
      </c>
      <c r="M128" s="2"/>
      <c r="N128" s="21">
        <f t="shared" si="7"/>
        <v>0</v>
      </c>
      <c r="O128" s="11"/>
      <c r="P128" s="2">
        <v>1429434</v>
      </c>
      <c r="Q128" s="2"/>
      <c r="R128" s="21">
        <f t="shared" si="8"/>
        <v>0.46790840265694267</v>
      </c>
      <c r="S128" s="2"/>
      <c r="T128" s="2"/>
      <c r="U128" s="2"/>
      <c r="V128" s="21">
        <f t="shared" si="9"/>
        <v>0</v>
      </c>
      <c r="W128" s="2"/>
      <c r="X128" s="2">
        <f t="shared" si="10"/>
        <v>1429434</v>
      </c>
      <c r="Y128" s="2"/>
      <c r="Z128" s="21">
        <f t="shared" si="11"/>
        <v>0</v>
      </c>
    </row>
    <row r="129" spans="1:26" s="24" customFormat="1" hidden="1" outlineLevel="1" x14ac:dyDescent="0.25">
      <c r="A129" s="46"/>
      <c r="B129" s="11" t="str">
        <f>CONCATENATE("          ", "5500", " - ", "FREIGHT-IN")</f>
        <v xml:space="preserve">          5500 - FREIGHT-IN</v>
      </c>
      <c r="C129" s="11"/>
      <c r="D129" s="2"/>
      <c r="E129" s="2"/>
      <c r="F129" s="21">
        <f t="shared" si="4"/>
        <v>0</v>
      </c>
      <c r="G129" s="2"/>
      <c r="H129" s="2"/>
      <c r="I129" s="2"/>
      <c r="J129" s="21">
        <f t="shared" si="5"/>
        <v>0</v>
      </c>
      <c r="K129" s="2"/>
      <c r="L129" s="2">
        <f t="shared" si="6"/>
        <v>0</v>
      </c>
      <c r="M129" s="2"/>
      <c r="N129" s="21">
        <f t="shared" si="7"/>
        <v>0</v>
      </c>
      <c r="O129" s="11"/>
      <c r="P129" s="2">
        <v>49</v>
      </c>
      <c r="Q129" s="2"/>
      <c r="R129" s="21">
        <f t="shared" si="8"/>
        <v>1.6039573516643783E-5</v>
      </c>
      <c r="S129" s="2"/>
      <c r="T129" s="2"/>
      <c r="U129" s="2"/>
      <c r="V129" s="21">
        <f t="shared" si="9"/>
        <v>0</v>
      </c>
      <c r="W129" s="2"/>
      <c r="X129" s="2">
        <f t="shared" si="10"/>
        <v>49</v>
      </c>
      <c r="Y129" s="2"/>
      <c r="Z129" s="21">
        <f t="shared" si="11"/>
        <v>0</v>
      </c>
    </row>
    <row r="130" spans="1:26" s="24" customFormat="1" hidden="1" outlineLevel="1" x14ac:dyDescent="0.25">
      <c r="A130" s="46"/>
      <c r="B130" s="11" t="str">
        <f>CONCATENATE("          ", "5501", " - ", "FREIGHT-IN-NEW TEXT")</f>
        <v xml:space="preserve">          5501 - FREIGHT-IN-NEW TEXT</v>
      </c>
      <c r="C130" s="11"/>
      <c r="D130" s="2">
        <v>11008.16</v>
      </c>
      <c r="E130" s="2"/>
      <c r="F130" s="21">
        <f t="shared" si="4"/>
        <v>4.072562644143009E-3</v>
      </c>
      <c r="G130" s="2"/>
      <c r="H130" s="2"/>
      <c r="I130" s="2"/>
      <c r="J130" s="21">
        <f t="shared" si="5"/>
        <v>0</v>
      </c>
      <c r="K130" s="2"/>
      <c r="L130" s="2">
        <f t="shared" si="6"/>
        <v>11008.16</v>
      </c>
      <c r="M130" s="2"/>
      <c r="N130" s="21">
        <f t="shared" si="7"/>
        <v>0</v>
      </c>
      <c r="O130" s="11"/>
      <c r="P130" s="2">
        <v>12724.24</v>
      </c>
      <c r="Q130" s="2"/>
      <c r="R130" s="21">
        <f t="shared" si="8"/>
        <v>4.1651302637432551E-3</v>
      </c>
      <c r="S130" s="2"/>
      <c r="T130" s="2"/>
      <c r="U130" s="2"/>
      <c r="V130" s="21">
        <f t="shared" si="9"/>
        <v>0</v>
      </c>
      <c r="W130" s="2"/>
      <c r="X130" s="2">
        <f t="shared" si="10"/>
        <v>12724.24</v>
      </c>
      <c r="Y130" s="2"/>
      <c r="Z130" s="21">
        <f t="shared" si="11"/>
        <v>0</v>
      </c>
    </row>
    <row r="131" spans="1:26" s="24" customFormat="1" hidden="1" outlineLevel="1" x14ac:dyDescent="0.25">
      <c r="A131" s="46"/>
      <c r="B131" s="11" t="str">
        <f>CONCATENATE("          ", "5502", " - ", "FREIGHT-IN-USED TEXT")</f>
        <v xml:space="preserve">          5502 - FREIGHT-IN-USED TEXT</v>
      </c>
      <c r="C131" s="11"/>
      <c r="D131" s="2">
        <v>3985.02</v>
      </c>
      <c r="E131" s="2"/>
      <c r="F131" s="21">
        <f t="shared" si="4"/>
        <v>1.4742921240391467E-3</v>
      </c>
      <c r="G131" s="2"/>
      <c r="H131" s="2"/>
      <c r="I131" s="2"/>
      <c r="J131" s="21">
        <f t="shared" si="5"/>
        <v>0</v>
      </c>
      <c r="K131" s="2"/>
      <c r="L131" s="2">
        <f t="shared" si="6"/>
        <v>3985.02</v>
      </c>
      <c r="M131" s="2"/>
      <c r="N131" s="21">
        <f t="shared" si="7"/>
        <v>0</v>
      </c>
      <c r="O131" s="11"/>
      <c r="P131" s="2">
        <v>4262.51</v>
      </c>
      <c r="Q131" s="2"/>
      <c r="R131" s="21">
        <f t="shared" si="8"/>
        <v>1.3952825002128428E-3</v>
      </c>
      <c r="S131" s="2"/>
      <c r="T131" s="2"/>
      <c r="U131" s="2"/>
      <c r="V131" s="21">
        <f t="shared" si="9"/>
        <v>0</v>
      </c>
      <c r="W131" s="2"/>
      <c r="X131" s="2">
        <f t="shared" si="10"/>
        <v>4262.51</v>
      </c>
      <c r="Y131" s="2"/>
      <c r="Z131" s="21">
        <f t="shared" si="11"/>
        <v>0</v>
      </c>
    </row>
    <row r="132" spans="1:26" s="24" customFormat="1" hidden="1" outlineLevel="1" x14ac:dyDescent="0.25">
      <c r="A132" s="46"/>
      <c r="B132" s="11" t="str">
        <f>CONCATENATE("          ", "5504", " - ", "FREIGHT-IN-DIGITAL TEXT")</f>
        <v xml:space="preserve">          5504 - FREIGHT-IN-DIGITAL TEXT</v>
      </c>
      <c r="C132" s="11"/>
      <c r="D132" s="2">
        <v>7.03</v>
      </c>
      <c r="E132" s="2"/>
      <c r="F132" s="21">
        <f t="shared" si="4"/>
        <v>2.6008084355900854E-6</v>
      </c>
      <c r="G132" s="2"/>
      <c r="H132" s="2"/>
      <c r="I132" s="2"/>
      <c r="J132" s="21">
        <f t="shared" si="5"/>
        <v>0</v>
      </c>
      <c r="K132" s="2"/>
      <c r="L132" s="2">
        <f t="shared" si="6"/>
        <v>7.03</v>
      </c>
      <c r="M132" s="2"/>
      <c r="N132" s="21">
        <f t="shared" si="7"/>
        <v>0</v>
      </c>
      <c r="O132" s="11"/>
      <c r="P132" s="2">
        <v>7.03</v>
      </c>
      <c r="Q132" s="2"/>
      <c r="R132" s="21">
        <f t="shared" si="8"/>
        <v>2.3011877922858328E-6</v>
      </c>
      <c r="S132" s="2"/>
      <c r="T132" s="2"/>
      <c r="U132" s="2"/>
      <c r="V132" s="21">
        <f t="shared" si="9"/>
        <v>0</v>
      </c>
      <c r="W132" s="2"/>
      <c r="X132" s="2">
        <f t="shared" si="10"/>
        <v>7.03</v>
      </c>
      <c r="Y132" s="2"/>
      <c r="Z132" s="21">
        <f t="shared" si="11"/>
        <v>0</v>
      </c>
    </row>
    <row r="133" spans="1:26" s="24" customFormat="1" hidden="1" outlineLevel="1" x14ac:dyDescent="0.25">
      <c r="A133" s="46"/>
      <c r="B133" s="11" t="str">
        <f>CONCATENATE("          ", "5526", " - ", "FREIGHT-IN-WRITING INSTRUMENTS")</f>
        <v xml:space="preserve">          5526 - FREIGHT-IN-WRITING INSTRUMENTS</v>
      </c>
      <c r="C133" s="11"/>
      <c r="D133" s="2">
        <v>17.46</v>
      </c>
      <c r="E133" s="2"/>
      <c r="F133" s="21">
        <f t="shared" si="4"/>
        <v>6.4594758585210371E-6</v>
      </c>
      <c r="G133" s="2"/>
      <c r="H133" s="2"/>
      <c r="I133" s="2"/>
      <c r="J133" s="21">
        <f t="shared" si="5"/>
        <v>0</v>
      </c>
      <c r="K133" s="2"/>
      <c r="L133" s="2">
        <f t="shared" si="6"/>
        <v>17.46</v>
      </c>
      <c r="M133" s="2"/>
      <c r="N133" s="21">
        <f t="shared" si="7"/>
        <v>0</v>
      </c>
      <c r="O133" s="11"/>
      <c r="P133" s="2">
        <v>56.57</v>
      </c>
      <c r="Q133" s="2"/>
      <c r="R133" s="21">
        <f t="shared" si="8"/>
        <v>1.8517523955847733E-5</v>
      </c>
      <c r="S133" s="2"/>
      <c r="T133" s="2"/>
      <c r="U133" s="2"/>
      <c r="V133" s="21">
        <f t="shared" si="9"/>
        <v>0</v>
      </c>
      <c r="W133" s="2"/>
      <c r="X133" s="2">
        <f t="shared" si="10"/>
        <v>56.57</v>
      </c>
      <c r="Y133" s="2"/>
      <c r="Z133" s="21">
        <f t="shared" si="11"/>
        <v>0</v>
      </c>
    </row>
    <row r="134" spans="1:26" s="24" customFormat="1" hidden="1" outlineLevel="1" x14ac:dyDescent="0.25">
      <c r="A134" s="46"/>
      <c r="B134" s="11" t="str">
        <f>CONCATENATE("          ", "5527", " - ", "FREIGHT-IN-SCHOOL SUPPLIES")</f>
        <v xml:space="preserve">          5527 - FREIGHT-IN-SCHOOL SUPPLIES</v>
      </c>
      <c r="C134" s="11"/>
      <c r="D134" s="2">
        <v>10.49</v>
      </c>
      <c r="E134" s="2"/>
      <c r="F134" s="21">
        <f t="shared" si="4"/>
        <v>3.8808649344722611E-6</v>
      </c>
      <c r="G134" s="2"/>
      <c r="H134" s="2"/>
      <c r="I134" s="2"/>
      <c r="J134" s="21">
        <f t="shared" si="5"/>
        <v>0</v>
      </c>
      <c r="K134" s="2"/>
      <c r="L134" s="2">
        <f t="shared" si="6"/>
        <v>10.49</v>
      </c>
      <c r="M134" s="2"/>
      <c r="N134" s="21">
        <f t="shared" si="7"/>
        <v>0</v>
      </c>
      <c r="O134" s="11"/>
      <c r="P134" s="2">
        <v>260.51</v>
      </c>
      <c r="Q134" s="2"/>
      <c r="R134" s="21">
        <f t="shared" si="8"/>
        <v>8.5274883608589221E-5</v>
      </c>
      <c r="S134" s="2"/>
      <c r="T134" s="2"/>
      <c r="U134" s="2"/>
      <c r="V134" s="21">
        <f t="shared" si="9"/>
        <v>0</v>
      </c>
      <c r="W134" s="2"/>
      <c r="X134" s="2">
        <f t="shared" si="10"/>
        <v>260.51</v>
      </c>
      <c r="Y134" s="2"/>
      <c r="Z134" s="21">
        <f t="shared" si="11"/>
        <v>0</v>
      </c>
    </row>
    <row r="135" spans="1:26" s="24" customFormat="1" hidden="1" outlineLevel="1" x14ac:dyDescent="0.25">
      <c r="A135" s="46"/>
      <c r="B135" s="11" t="str">
        <f>CONCATENATE("          ", "5528", " - ", "FREIGHT-IN-ART/TECH")</f>
        <v xml:space="preserve">          5528 - FREIGHT-IN-ART/TECH</v>
      </c>
      <c r="C135" s="11"/>
      <c r="D135" s="2">
        <v>255.45</v>
      </c>
      <c r="E135" s="2"/>
      <c r="F135" s="21">
        <f t="shared" si="4"/>
        <v>9.4505905387124787E-5</v>
      </c>
      <c r="G135" s="2"/>
      <c r="H135" s="2"/>
      <c r="I135" s="2"/>
      <c r="J135" s="21">
        <f t="shared" si="5"/>
        <v>0</v>
      </c>
      <c r="K135" s="2"/>
      <c r="L135" s="2">
        <f t="shared" si="6"/>
        <v>255.45</v>
      </c>
      <c r="M135" s="2"/>
      <c r="N135" s="21">
        <f t="shared" si="7"/>
        <v>0</v>
      </c>
      <c r="O135" s="11"/>
      <c r="P135" s="2">
        <v>299.8</v>
      </c>
      <c r="Q135" s="2"/>
      <c r="R135" s="21">
        <f t="shared" si="8"/>
        <v>9.8136002863057282E-5</v>
      </c>
      <c r="S135" s="2"/>
      <c r="T135" s="2"/>
      <c r="U135" s="2"/>
      <c r="V135" s="21">
        <f t="shared" si="9"/>
        <v>0</v>
      </c>
      <c r="W135" s="2"/>
      <c r="X135" s="2">
        <f t="shared" si="10"/>
        <v>299.8</v>
      </c>
      <c r="Y135" s="2"/>
      <c r="Z135" s="21">
        <f t="shared" si="11"/>
        <v>0</v>
      </c>
    </row>
    <row r="136" spans="1:26" s="24" customFormat="1" hidden="1" outlineLevel="1" x14ac:dyDescent="0.25">
      <c r="A136" s="46"/>
      <c r="B136" s="11" t="str">
        <f>CONCATENATE("          ", "5540", " - ", "FREIGHT-IN-LOGO CLOTHING")</f>
        <v xml:space="preserve">          5540 - FREIGHT-IN-LOGO CLOTHING</v>
      </c>
      <c r="C136" s="11"/>
      <c r="D136" s="2">
        <v>1936.72</v>
      </c>
      <c r="E136" s="2"/>
      <c r="F136" s="21">
        <f t="shared" si="4"/>
        <v>7.1650607587141256E-4</v>
      </c>
      <c r="G136" s="2"/>
      <c r="H136" s="2"/>
      <c r="I136" s="2"/>
      <c r="J136" s="21">
        <f t="shared" si="5"/>
        <v>0</v>
      </c>
      <c r="K136" s="2"/>
      <c r="L136" s="2">
        <f t="shared" si="6"/>
        <v>1936.72</v>
      </c>
      <c r="M136" s="2"/>
      <c r="N136" s="21">
        <f t="shared" si="7"/>
        <v>0</v>
      </c>
      <c r="O136" s="11"/>
      <c r="P136" s="2">
        <v>2331.94</v>
      </c>
      <c r="Q136" s="2"/>
      <c r="R136" s="21">
        <f t="shared" si="8"/>
        <v>7.6333312380412867E-4</v>
      </c>
      <c r="S136" s="2"/>
      <c r="T136" s="2"/>
      <c r="U136" s="2"/>
      <c r="V136" s="21">
        <f t="shared" si="9"/>
        <v>0</v>
      </c>
      <c r="W136" s="2"/>
      <c r="X136" s="2">
        <f t="shared" si="10"/>
        <v>2331.94</v>
      </c>
      <c r="Y136" s="2"/>
      <c r="Z136" s="21">
        <f t="shared" si="11"/>
        <v>0</v>
      </c>
    </row>
    <row r="137" spans="1:26" s="24" customFormat="1" hidden="1" outlineLevel="1" x14ac:dyDescent="0.25">
      <c r="A137" s="46"/>
      <c r="B137" s="11" t="str">
        <f>CONCATENATE("          ", "5541", " - ", "FREIGHT-IN-LOGO GIFTS")</f>
        <v xml:space="preserve">          5541 - FREIGHT-IN-LOGO GIFTS</v>
      </c>
      <c r="C137" s="11"/>
      <c r="D137" s="2">
        <v>405.92</v>
      </c>
      <c r="E137" s="2"/>
      <c r="F137" s="21">
        <f t="shared" si="4"/>
        <v>1.501735647474719E-4</v>
      </c>
      <c r="G137" s="2"/>
      <c r="H137" s="2"/>
      <c r="I137" s="2"/>
      <c r="J137" s="21">
        <f t="shared" si="5"/>
        <v>0</v>
      </c>
      <c r="K137" s="2"/>
      <c r="L137" s="2">
        <f t="shared" si="6"/>
        <v>405.92</v>
      </c>
      <c r="M137" s="2"/>
      <c r="N137" s="21">
        <f t="shared" si="7"/>
        <v>0</v>
      </c>
      <c r="O137" s="11"/>
      <c r="P137" s="2">
        <v>720.41</v>
      </c>
      <c r="Q137" s="2"/>
      <c r="R137" s="21">
        <f t="shared" si="8"/>
        <v>2.3581773790051731E-4</v>
      </c>
      <c r="S137" s="2"/>
      <c r="T137" s="2"/>
      <c r="U137" s="2"/>
      <c r="V137" s="21">
        <f t="shared" si="9"/>
        <v>0</v>
      </c>
      <c r="W137" s="2"/>
      <c r="X137" s="2">
        <f t="shared" si="10"/>
        <v>720.41</v>
      </c>
      <c r="Y137" s="2"/>
      <c r="Z137" s="21">
        <f t="shared" si="11"/>
        <v>0</v>
      </c>
    </row>
    <row r="138" spans="1:26" s="24" customFormat="1" hidden="1" outlineLevel="1" x14ac:dyDescent="0.25">
      <c r="A138" s="46"/>
      <c r="B138" s="11" t="str">
        <f>CONCATENATE("          ", "5542", " - ", "FREIGHT-IN-EVERYDAY GIFTS")</f>
        <v xml:space="preserve">          5542 - FREIGHT-IN-EVERYDAY GIFTS</v>
      </c>
      <c r="C138" s="11"/>
      <c r="D138" s="2">
        <v>83.05</v>
      </c>
      <c r="E138" s="2"/>
      <c r="F138" s="21">
        <f t="shared" si="4"/>
        <v>3.0725055558429102E-5</v>
      </c>
      <c r="G138" s="2"/>
      <c r="H138" s="2"/>
      <c r="I138" s="2"/>
      <c r="J138" s="21">
        <f t="shared" si="5"/>
        <v>0</v>
      </c>
      <c r="K138" s="2"/>
      <c r="L138" s="2">
        <f t="shared" si="6"/>
        <v>83.05</v>
      </c>
      <c r="M138" s="2"/>
      <c r="N138" s="21">
        <f t="shared" si="7"/>
        <v>0</v>
      </c>
      <c r="O138" s="11"/>
      <c r="P138" s="2">
        <v>112.77</v>
      </c>
      <c r="Q138" s="2"/>
      <c r="R138" s="21">
        <f t="shared" si="8"/>
        <v>3.6913932764733051E-5</v>
      </c>
      <c r="S138" s="2"/>
      <c r="T138" s="2"/>
      <c r="U138" s="2"/>
      <c r="V138" s="21">
        <f t="shared" si="9"/>
        <v>0</v>
      </c>
      <c r="W138" s="2"/>
      <c r="X138" s="2">
        <f t="shared" si="10"/>
        <v>112.77</v>
      </c>
      <c r="Y138" s="2"/>
      <c r="Z138" s="21">
        <f t="shared" si="11"/>
        <v>0</v>
      </c>
    </row>
    <row r="139" spans="1:26" s="24" customFormat="1" hidden="1" outlineLevel="1" x14ac:dyDescent="0.25">
      <c r="A139" s="46"/>
      <c r="B139" s="11" t="str">
        <f>CONCATENATE("          ", "5543", " - ", "FREIGHT-IN-CARDS")</f>
        <v xml:space="preserve">          5543 - FREIGHT-IN-CARDS</v>
      </c>
      <c r="C139" s="11"/>
      <c r="D139" s="2">
        <v>4.58</v>
      </c>
      <c r="E139" s="2"/>
      <c r="F139" s="21">
        <f t="shared" si="4"/>
        <v>1.6944100476532845E-6</v>
      </c>
      <c r="G139" s="2"/>
      <c r="H139" s="2"/>
      <c r="I139" s="2"/>
      <c r="J139" s="21">
        <f t="shared" si="5"/>
        <v>0</v>
      </c>
      <c r="K139" s="2"/>
      <c r="L139" s="2">
        <f t="shared" si="6"/>
        <v>4.58</v>
      </c>
      <c r="M139" s="2"/>
      <c r="N139" s="21">
        <f t="shared" si="7"/>
        <v>0</v>
      </c>
      <c r="O139" s="11"/>
      <c r="P139" s="2">
        <v>4.58</v>
      </c>
      <c r="Q139" s="2"/>
      <c r="R139" s="21">
        <f t="shared" si="8"/>
        <v>1.4992091164536435E-6</v>
      </c>
      <c r="S139" s="2"/>
      <c r="T139" s="2"/>
      <c r="U139" s="2"/>
      <c r="V139" s="21">
        <f t="shared" si="9"/>
        <v>0</v>
      </c>
      <c r="W139" s="2"/>
      <c r="X139" s="2">
        <f t="shared" si="10"/>
        <v>4.58</v>
      </c>
      <c r="Y139" s="2"/>
      <c r="Z139" s="21">
        <f t="shared" si="11"/>
        <v>0</v>
      </c>
    </row>
    <row r="140" spans="1:26" s="24" customFormat="1" hidden="1" outlineLevel="1" x14ac:dyDescent="0.25">
      <c r="A140" s="46"/>
      <c r="B140" s="11" t="str">
        <f>CONCATENATE("          ", "5544", " - ", "FREIGHT-IN-ACCESSORIES")</f>
        <v xml:space="preserve">          5544 - FREIGHT-IN-ACCESSORIES</v>
      </c>
      <c r="C140" s="11"/>
      <c r="D140" s="2">
        <v>84.93</v>
      </c>
      <c r="E140" s="2"/>
      <c r="F140" s="21">
        <f t="shared" si="4"/>
        <v>3.1420577586723465E-5</v>
      </c>
      <c r="G140" s="2"/>
      <c r="H140" s="2"/>
      <c r="I140" s="2"/>
      <c r="J140" s="21">
        <f t="shared" si="5"/>
        <v>0</v>
      </c>
      <c r="K140" s="2"/>
      <c r="L140" s="2">
        <f t="shared" si="6"/>
        <v>84.93</v>
      </c>
      <c r="M140" s="2"/>
      <c r="N140" s="21">
        <f t="shared" si="7"/>
        <v>0</v>
      </c>
      <c r="O140" s="11"/>
      <c r="P140" s="2">
        <v>101.66</v>
      </c>
      <c r="Q140" s="2"/>
      <c r="R140" s="21">
        <f t="shared" si="8"/>
        <v>3.3277204973510346E-5</v>
      </c>
      <c r="S140" s="2"/>
      <c r="T140" s="2"/>
      <c r="U140" s="2"/>
      <c r="V140" s="21">
        <f t="shared" si="9"/>
        <v>0</v>
      </c>
      <c r="W140" s="2"/>
      <c r="X140" s="2">
        <f t="shared" si="10"/>
        <v>101.66</v>
      </c>
      <c r="Y140" s="2"/>
      <c r="Z140" s="21">
        <f t="shared" si="11"/>
        <v>0</v>
      </c>
    </row>
    <row r="141" spans="1:26" s="24" customFormat="1" hidden="1" outlineLevel="1" x14ac:dyDescent="0.25">
      <c r="A141" s="46"/>
      <c r="B141" s="11" t="str">
        <f>CONCATENATE("          ", "5545", " - ", "FREIGHT-IN-SPECIAL ORDERS")</f>
        <v xml:space="preserve">          5545 - FREIGHT-IN-SPECIAL ORDERS</v>
      </c>
      <c r="C141" s="11"/>
      <c r="D141" s="2">
        <v>8.8699999999999992</v>
      </c>
      <c r="E141" s="2"/>
      <c r="F141" s="21">
        <f t="shared" si="4"/>
        <v>3.2815321228569069E-6</v>
      </c>
      <c r="G141" s="2"/>
      <c r="H141" s="2"/>
      <c r="I141" s="2"/>
      <c r="J141" s="21">
        <f t="shared" si="5"/>
        <v>0</v>
      </c>
      <c r="K141" s="2"/>
      <c r="L141" s="2">
        <f t="shared" si="6"/>
        <v>8.8699999999999992</v>
      </c>
      <c r="M141" s="2"/>
      <c r="N141" s="21">
        <f t="shared" si="7"/>
        <v>0</v>
      </c>
      <c r="O141" s="11"/>
      <c r="P141" s="2">
        <v>235.95</v>
      </c>
      <c r="Q141" s="2"/>
      <c r="R141" s="21">
        <f t="shared" si="8"/>
        <v>7.7235456556165312E-5</v>
      </c>
      <c r="S141" s="2"/>
      <c r="T141" s="2"/>
      <c r="U141" s="2"/>
      <c r="V141" s="21">
        <f t="shared" si="9"/>
        <v>0</v>
      </c>
      <c r="W141" s="2"/>
      <c r="X141" s="2">
        <f t="shared" si="10"/>
        <v>235.95</v>
      </c>
      <c r="Y141" s="2"/>
      <c r="Z141" s="21">
        <f t="shared" si="11"/>
        <v>0</v>
      </c>
    </row>
    <row r="142" spans="1:26" s="24" customFormat="1" hidden="1" outlineLevel="1" x14ac:dyDescent="0.25">
      <c r="A142" s="46"/>
      <c r="B142" s="11" t="str">
        <f>CONCATENATE("          ", "5592", " - ", "FREIGHT-IN-GRAD MERCH")</f>
        <v xml:space="preserve">          5592 - FREIGHT-IN-GRAD MERCH</v>
      </c>
      <c r="C142" s="11"/>
      <c r="D142" s="2">
        <v>59.57</v>
      </c>
      <c r="E142" s="2"/>
      <c r="F142" s="21">
        <f t="shared" si="4"/>
        <v>2.2038429375263353E-5</v>
      </c>
      <c r="G142" s="2"/>
      <c r="H142" s="2"/>
      <c r="I142" s="2"/>
      <c r="J142" s="21">
        <f t="shared" si="5"/>
        <v>0</v>
      </c>
      <c r="K142" s="2"/>
      <c r="L142" s="2">
        <f t="shared" si="6"/>
        <v>59.57</v>
      </c>
      <c r="M142" s="2"/>
      <c r="N142" s="21">
        <f t="shared" si="7"/>
        <v>0</v>
      </c>
      <c r="O142" s="11"/>
      <c r="P142" s="2">
        <v>59.57</v>
      </c>
      <c r="Q142" s="2"/>
      <c r="R142" s="21">
        <f t="shared" si="8"/>
        <v>1.949953866094837E-5</v>
      </c>
      <c r="S142" s="2"/>
      <c r="T142" s="2"/>
      <c r="U142" s="2"/>
      <c r="V142" s="21">
        <f t="shared" si="9"/>
        <v>0</v>
      </c>
      <c r="W142" s="2"/>
      <c r="X142" s="2">
        <f t="shared" si="10"/>
        <v>59.57</v>
      </c>
      <c r="Y142" s="2"/>
      <c r="Z142" s="21">
        <f t="shared" si="11"/>
        <v>0</v>
      </c>
    </row>
    <row r="143" spans="1:26" x14ac:dyDescent="0.25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10"/>
      <c r="B144" s="29" t="s">
        <v>6</v>
      </c>
      <c r="C144" s="29"/>
      <c r="D144" s="22">
        <f>D12-D94</f>
        <v>932727.86000000034</v>
      </c>
      <c r="E144" s="14"/>
      <c r="F144" s="20">
        <f>IF(D$12=0,0,D144/D$12)</f>
        <v>0.34507062395418048</v>
      </c>
      <c r="G144" s="14"/>
      <c r="H144" s="22">
        <f>H12-H94</f>
        <v>998046.1939999999</v>
      </c>
      <c r="I144" s="14"/>
      <c r="J144" s="20">
        <f>IF(H$12=0,0,H144/H$12)</f>
        <v>0.34754832607390335</v>
      </c>
      <c r="K144" s="15"/>
      <c r="L144" s="22">
        <f>+D144-H144</f>
        <v>-65318.333999999566</v>
      </c>
      <c r="M144" s="15"/>
      <c r="N144" s="20">
        <f>IF(H144=0,0,L144/H144)</f>
        <v>-6.5446203184458582E-2</v>
      </c>
      <c r="O144" s="28"/>
      <c r="P144" s="22">
        <f>P12-P94</f>
        <v>1090743.8100000005</v>
      </c>
      <c r="Q144" s="14"/>
      <c r="R144" s="20">
        <f>IF(P$12=0,0,P144/P$12)</f>
        <v>0.35704215363916625</v>
      </c>
      <c r="S144" s="14"/>
      <c r="T144" s="22">
        <f>T12-T94</f>
        <v>1175506.0454899999</v>
      </c>
      <c r="U144" s="14"/>
      <c r="V144" s="20">
        <f>IF(T$12=0,0,T144/T$12)</f>
        <v>0.3607699931811395</v>
      </c>
      <c r="W144" s="15"/>
      <c r="X144" s="22">
        <f>+P144-T144</f>
        <v>-84762.23548999941</v>
      </c>
      <c r="Y144" s="15"/>
      <c r="Z144" s="20">
        <f>IF(T144=0,0,X144/T144)</f>
        <v>-7.2107017922368039E-2</v>
      </c>
    </row>
    <row r="145" spans="1:26" x14ac:dyDescent="0.25">
      <c r="A145" s="9"/>
      <c r="B145" s="10"/>
      <c r="C145" s="9"/>
      <c r="D145" s="1"/>
      <c r="E145" s="1"/>
      <c r="F145" s="5"/>
      <c r="G145" s="1"/>
      <c r="H145" s="1"/>
      <c r="I145" s="1"/>
      <c r="J145" s="5"/>
      <c r="K145" s="1"/>
      <c r="L145" s="1"/>
      <c r="M145" s="1"/>
      <c r="N145" s="5"/>
      <c r="O145" s="36"/>
      <c r="P145" s="1"/>
      <c r="Q145" s="1"/>
      <c r="R145" s="5"/>
      <c r="S145" s="1"/>
      <c r="T145" s="1"/>
      <c r="U145" s="1"/>
      <c r="V145" s="5"/>
      <c r="W145" s="1"/>
      <c r="X145" s="1"/>
      <c r="Y145" s="1"/>
      <c r="Z145" s="5"/>
    </row>
    <row r="146" spans="1:26" s="23" customFormat="1" x14ac:dyDescent="0.25">
      <c r="A146" s="10"/>
      <c r="B146" s="28" t="s">
        <v>9</v>
      </c>
      <c r="C146" s="10"/>
      <c r="D146" s="19">
        <f>SUM(OSRRefD22x_0)</f>
        <v>410344.45</v>
      </c>
      <c r="E146" s="19"/>
      <c r="F146" s="34">
        <f t="shared" ref="F146:F157" si="12">IF(D$12=0,0,D146/D$12)</f>
        <v>0.15181042774645434</v>
      </c>
      <c r="G146" s="19"/>
      <c r="H146" s="19">
        <f>SUM(OSRRefH22x_0)</f>
        <v>435813.42382943077</v>
      </c>
      <c r="I146" s="19"/>
      <c r="J146" s="34">
        <f t="shared" ref="J146:J157" si="13">IF(H$12=0,0,H146/H$12)</f>
        <v>0.15176274088617511</v>
      </c>
      <c r="K146" s="4"/>
      <c r="L146" s="19">
        <f t="shared" ref="L146:L157" si="14">+D146-H146</f>
        <v>-25468.973829430761</v>
      </c>
      <c r="M146" s="4"/>
      <c r="N146" s="34">
        <f t="shared" ref="N146:N157" si="15">IF(H146=0,0,L146/H146)</f>
        <v>-5.8440085680790871E-2</v>
      </c>
      <c r="O146" s="10"/>
      <c r="P146" s="19">
        <f>SUM(OSRRefP22x_0)</f>
        <v>766109.74</v>
      </c>
      <c r="Q146" s="19"/>
      <c r="R146" s="34">
        <f t="shared" ref="R146:R157" si="16">IF(P$12=0,0,P146/P$12)</f>
        <v>0.25077701013360926</v>
      </c>
      <c r="S146" s="19"/>
      <c r="T146" s="19">
        <f>SUM(OSRRefT22x_0)</f>
        <v>863731.42568766978</v>
      </c>
      <c r="U146" s="19"/>
      <c r="V146" s="34">
        <f t="shared" ref="V146:V157" si="17">IF(T$12=0,0,T146/T$12)</f>
        <v>0.26508445596788505</v>
      </c>
      <c r="W146" s="4"/>
      <c r="X146" s="19">
        <f t="shared" ref="X146:X157" si="18">+P146-T146</f>
        <v>-97621.685687669786</v>
      </c>
      <c r="Y146" s="4"/>
      <c r="Z146" s="34">
        <f t="shared" ref="Z146:Z157" si="19">IF(T146=0,0,X146/T146)</f>
        <v>-0.11302319538732442</v>
      </c>
    </row>
    <row r="147" spans="1:26" s="26" customFormat="1" outlineLevel="1" collapsed="1" x14ac:dyDescent="0.25">
      <c r="A147" s="25"/>
      <c r="B147" s="13" t="str">
        <f>CONCATENATE("     ","*Benefits                                         ")</f>
        <v xml:space="preserve">     *Benefits                                         </v>
      </c>
      <c r="C147" s="13"/>
      <c r="D147" s="1">
        <f>SUM(OSRRefD22_0x_0)</f>
        <v>52794.29</v>
      </c>
      <c r="E147" s="1"/>
      <c r="F147" s="5">
        <f t="shared" si="12"/>
        <v>1.9531697693170594E-2</v>
      </c>
      <c r="G147" s="1"/>
      <c r="H147" s="1">
        <f>SUM(OSRRefH22_0x_0)</f>
        <v>50017.484803818406</v>
      </c>
      <c r="I147" s="1"/>
      <c r="J147" s="5">
        <f t="shared" si="13"/>
        <v>1.7417523580069871E-2</v>
      </c>
      <c r="K147" s="1"/>
      <c r="L147" s="1">
        <f t="shared" si="14"/>
        <v>2776.8051961815945</v>
      </c>
      <c r="M147" s="1"/>
      <c r="N147" s="5">
        <f t="shared" si="15"/>
        <v>5.5516689954981685E-2</v>
      </c>
      <c r="O147" s="13"/>
      <c r="P147" s="1">
        <f>SUM(OSRRefP22_0x_0)</f>
        <v>107945.64</v>
      </c>
      <c r="Q147" s="1"/>
      <c r="R147" s="5">
        <f t="shared" si="16"/>
        <v>3.5334735277166608E-2</v>
      </c>
      <c r="S147" s="1"/>
      <c r="T147" s="1">
        <f>SUM(OSRRefT22_0x_0)</f>
        <v>106701.63144949205</v>
      </c>
      <c r="U147" s="1"/>
      <c r="V147" s="5">
        <f t="shared" si="17"/>
        <v>3.2747383136088846E-2</v>
      </c>
      <c r="W147" s="1"/>
      <c r="X147" s="1">
        <f t="shared" si="18"/>
        <v>1244.0085505079478</v>
      </c>
      <c r="Y147" s="1"/>
      <c r="Z147" s="5">
        <f t="shared" si="19"/>
        <v>1.1658758480153209E-2</v>
      </c>
    </row>
    <row r="148" spans="1:26" s="24" customFormat="1" hidden="1" outlineLevel="2" x14ac:dyDescent="0.25">
      <c r="A148" s="27"/>
      <c r="B148" s="11" t="str">
        <f>CONCATENATE("          ", "6111", " - ", "F.I.C.A.")</f>
        <v xml:space="preserve">          6111 - F.I.C.A.</v>
      </c>
      <c r="C148" s="11"/>
      <c r="D148" s="6">
        <v>14163.46</v>
      </c>
      <c r="E148" s="2"/>
      <c r="F148" s="7">
        <f t="shared" si="12"/>
        <v>5.2398927802479013E-3</v>
      </c>
      <c r="G148" s="2"/>
      <c r="H148" s="6">
        <v>10806.553963870389</v>
      </c>
      <c r="I148" s="2"/>
      <c r="J148" s="7">
        <f t="shared" si="13"/>
        <v>3.763152210137539E-3</v>
      </c>
      <c r="K148" s="2"/>
      <c r="L148" s="6">
        <f t="shared" si="14"/>
        <v>3356.9060361296106</v>
      </c>
      <c r="M148" s="2"/>
      <c r="N148" s="7">
        <f t="shared" si="15"/>
        <v>0.31063612390710055</v>
      </c>
      <c r="O148" s="11"/>
      <c r="P148" s="6">
        <v>25000.1</v>
      </c>
      <c r="Q148" s="2"/>
      <c r="R148" s="7">
        <f t="shared" si="16"/>
        <v>8.1834886096621672E-3</v>
      </c>
      <c r="S148" s="2"/>
      <c r="T148" s="6">
        <v>25334.03840052156</v>
      </c>
      <c r="U148" s="2"/>
      <c r="V148" s="7">
        <f t="shared" si="17"/>
        <v>7.7751712941612787E-3</v>
      </c>
      <c r="W148" s="2"/>
      <c r="X148" s="6">
        <f t="shared" si="18"/>
        <v>-333.93840052156156</v>
      </c>
      <c r="Y148" s="2"/>
      <c r="Z148" s="7">
        <f t="shared" si="19"/>
        <v>-1.3181412108173274E-2</v>
      </c>
    </row>
    <row r="149" spans="1:26" s="24" customFormat="1" hidden="1" outlineLevel="2" x14ac:dyDescent="0.25">
      <c r="A149" s="27"/>
      <c r="B149" s="11" t="str">
        <f>CONCATENATE("          ", "6112", " - ", "COMPENSATION INSURANCE")</f>
        <v xml:space="preserve">          6112 - COMPENSATION INSURANCE</v>
      </c>
      <c r="C149" s="11"/>
      <c r="D149" s="6">
        <v>2910.5</v>
      </c>
      <c r="E149" s="2"/>
      <c r="F149" s="7">
        <f t="shared" si="12"/>
        <v>1.0767642890163504E-3</v>
      </c>
      <c r="G149" s="2"/>
      <c r="H149" s="6">
        <v>3933.1603241923067</v>
      </c>
      <c r="I149" s="2"/>
      <c r="J149" s="7">
        <f t="shared" si="13"/>
        <v>1.3696392963283295E-3</v>
      </c>
      <c r="K149" s="2"/>
      <c r="L149" s="6">
        <f t="shared" si="14"/>
        <v>-1022.6603241923067</v>
      </c>
      <c r="M149" s="2"/>
      <c r="N149" s="7">
        <f t="shared" si="15"/>
        <v>-0.26000982413609464</v>
      </c>
      <c r="O149" s="11"/>
      <c r="P149" s="6">
        <v>4876.84</v>
      </c>
      <c r="Q149" s="2"/>
      <c r="R149" s="7">
        <f t="shared" si="16"/>
        <v>1.5963761981410015E-3</v>
      </c>
      <c r="S149" s="2"/>
      <c r="T149" s="6">
        <v>7504.98626318269</v>
      </c>
      <c r="U149" s="2"/>
      <c r="V149" s="7">
        <f t="shared" si="17"/>
        <v>2.3033261746130238E-3</v>
      </c>
      <c r="W149" s="2"/>
      <c r="X149" s="6">
        <f t="shared" si="18"/>
        <v>-2628.1462631826898</v>
      </c>
      <c r="Y149" s="2"/>
      <c r="Z149" s="7">
        <f t="shared" si="19"/>
        <v>-0.35018668536085423</v>
      </c>
    </row>
    <row r="150" spans="1:26" s="24" customFormat="1" hidden="1" outlineLevel="2" x14ac:dyDescent="0.25">
      <c r="A150" s="27"/>
      <c r="B150" s="11" t="str">
        <f>CONCATENATE("          ", "6113", " - ", "GROUP INSURANCE")</f>
        <v xml:space="preserve">          6113 - GROUP INSURANCE</v>
      </c>
      <c r="C150" s="11"/>
      <c r="D150" s="6">
        <v>18998.099999999999</v>
      </c>
      <c r="E150" s="2"/>
      <c r="F150" s="7">
        <f t="shared" si="12"/>
        <v>7.0285090668825026E-3</v>
      </c>
      <c r="G150" s="2"/>
      <c r="H150" s="6">
        <v>18510.81923076923</v>
      </c>
      <c r="I150" s="2"/>
      <c r="J150" s="7">
        <f t="shared" si="13"/>
        <v>6.4459984683940047E-3</v>
      </c>
      <c r="K150" s="2"/>
      <c r="L150" s="6">
        <f t="shared" si="14"/>
        <v>487.28076923076878</v>
      </c>
      <c r="M150" s="2"/>
      <c r="N150" s="7">
        <f t="shared" si="15"/>
        <v>2.6324106089307832E-2</v>
      </c>
      <c r="O150" s="11"/>
      <c r="P150" s="6">
        <v>37528.550000000003</v>
      </c>
      <c r="Q150" s="2"/>
      <c r="R150" s="7">
        <f t="shared" si="16"/>
        <v>1.2284529320368207E-2</v>
      </c>
      <c r="S150" s="2"/>
      <c r="T150" s="6">
        <v>37493.330769230772</v>
      </c>
      <c r="U150" s="2"/>
      <c r="V150" s="7">
        <f t="shared" si="17"/>
        <v>1.1506932472061594E-2</v>
      </c>
      <c r="W150" s="2"/>
      <c r="X150" s="6">
        <f t="shared" si="18"/>
        <v>35.219230769231217</v>
      </c>
      <c r="Y150" s="2"/>
      <c r="Z150" s="7">
        <f t="shared" si="19"/>
        <v>9.3934654634989607E-4</v>
      </c>
    </row>
    <row r="151" spans="1:26" s="24" customFormat="1" hidden="1" outlineLevel="2" x14ac:dyDescent="0.25">
      <c r="A151" s="27"/>
      <c r="B151" s="11" t="str">
        <f>CONCATENATE("          ", "6114", " - ", "STATE UNEMPLOYMENT INSURANCE")</f>
        <v xml:space="preserve">          6114 - STATE UNEMPLOYMENT INSURANCE</v>
      </c>
      <c r="C151" s="11"/>
      <c r="D151" s="6">
        <v>482.73</v>
      </c>
      <c r="E151" s="2"/>
      <c r="F151" s="7">
        <f t="shared" si="12"/>
        <v>1.7859007910560483E-4</v>
      </c>
      <c r="G151" s="2"/>
      <c r="H151" s="6">
        <v>556.41284220991201</v>
      </c>
      <c r="I151" s="2"/>
      <c r="J151" s="7">
        <f t="shared" si="13"/>
        <v>1.9375891925507195E-4</v>
      </c>
      <c r="K151" s="2"/>
      <c r="L151" s="6">
        <f t="shared" si="14"/>
        <v>-73.682842209911996</v>
      </c>
      <c r="M151" s="2"/>
      <c r="N151" s="7">
        <f t="shared" si="15"/>
        <v>-0.13242476920062612</v>
      </c>
      <c r="O151" s="11"/>
      <c r="P151" s="6">
        <v>849.77</v>
      </c>
      <c r="Q151" s="2"/>
      <c r="R151" s="7">
        <f t="shared" si="16"/>
        <v>2.7816221198445688E-4</v>
      </c>
      <c r="S151" s="2"/>
      <c r="T151" s="6">
        <v>1063.3269778792321</v>
      </c>
      <c r="U151" s="2"/>
      <c r="V151" s="7">
        <f t="shared" si="17"/>
        <v>3.2634155139449317E-4</v>
      </c>
      <c r="W151" s="2"/>
      <c r="X151" s="6">
        <f t="shared" si="18"/>
        <v>-213.55697787923214</v>
      </c>
      <c r="Y151" s="2"/>
      <c r="Z151" s="7">
        <f t="shared" si="19"/>
        <v>-0.20083848366676818</v>
      </c>
    </row>
    <row r="152" spans="1:26" s="24" customFormat="1" hidden="1" outlineLevel="2" x14ac:dyDescent="0.25">
      <c r="A152" s="27"/>
      <c r="B152" s="11" t="str">
        <f>CONCATENATE("          ", "6115", " - ", "P.E.R.S.")</f>
        <v xml:space="preserve">          6115 - P.E.R.S.</v>
      </c>
      <c r="C152" s="11"/>
      <c r="D152" s="6">
        <v>6190.68</v>
      </c>
      <c r="E152" s="2"/>
      <c r="F152" s="7">
        <f t="shared" si="12"/>
        <v>2.2902948458092217E-3</v>
      </c>
      <c r="G152" s="2"/>
      <c r="H152" s="6">
        <v>6008.5115279230686</v>
      </c>
      <c r="I152" s="2"/>
      <c r="J152" s="7">
        <f t="shared" si="13"/>
        <v>2.092336142634911E-3</v>
      </c>
      <c r="K152" s="2"/>
      <c r="L152" s="6">
        <f t="shared" si="14"/>
        <v>182.16847207693172</v>
      </c>
      <c r="M152" s="2"/>
      <c r="N152" s="7">
        <f t="shared" si="15"/>
        <v>3.0318402690974109E-2</v>
      </c>
      <c r="O152" s="11"/>
      <c r="P152" s="6">
        <v>12305.17</v>
      </c>
      <c r="Q152" s="2"/>
      <c r="R152" s="7">
        <f t="shared" si="16"/>
        <v>4.027952629587747E-3</v>
      </c>
      <c r="S152" s="2"/>
      <c r="T152" s="6">
        <v>13519.150937826909</v>
      </c>
      <c r="U152" s="2"/>
      <c r="V152" s="7">
        <f t="shared" si="17"/>
        <v>4.1491100878358698E-3</v>
      </c>
      <c r="W152" s="2"/>
      <c r="X152" s="6">
        <f t="shared" si="18"/>
        <v>-1213.9809378269092</v>
      </c>
      <c r="Y152" s="2"/>
      <c r="Z152" s="7">
        <f t="shared" si="19"/>
        <v>-8.9797128784926974E-2</v>
      </c>
    </row>
    <row r="153" spans="1:26" s="24" customFormat="1" hidden="1" outlineLevel="2" x14ac:dyDescent="0.25">
      <c r="A153" s="27"/>
      <c r="B153" s="11" t="str">
        <f>CONCATENATE("          ", "6116", " - ", "EDUCATIONAL BENEFITS")</f>
        <v xml:space="preserve">          6116 - EDUCATIONAL BENEFITS</v>
      </c>
      <c r="C153" s="11"/>
      <c r="D153" s="6"/>
      <c r="E153" s="2"/>
      <c r="F153" s="7">
        <f t="shared" si="12"/>
        <v>0</v>
      </c>
      <c r="G153" s="2"/>
      <c r="H153" s="6">
        <v>0</v>
      </c>
      <c r="I153" s="2"/>
      <c r="J153" s="7">
        <f t="shared" si="13"/>
        <v>0</v>
      </c>
      <c r="K153" s="2"/>
      <c r="L153" s="6">
        <f t="shared" si="14"/>
        <v>0</v>
      </c>
      <c r="M153" s="2"/>
      <c r="N153" s="7">
        <f t="shared" si="15"/>
        <v>0</v>
      </c>
      <c r="O153" s="11"/>
      <c r="P153" s="6"/>
      <c r="Q153" s="2"/>
      <c r="R153" s="7">
        <f t="shared" si="16"/>
        <v>0</v>
      </c>
      <c r="S153" s="2"/>
      <c r="T153" s="6">
        <v>0</v>
      </c>
      <c r="U153" s="2"/>
      <c r="V153" s="7">
        <f t="shared" si="17"/>
        <v>0</v>
      </c>
      <c r="W153" s="2"/>
      <c r="X153" s="6">
        <f t="shared" si="18"/>
        <v>0</v>
      </c>
      <c r="Y153" s="2"/>
      <c r="Z153" s="7">
        <f t="shared" si="19"/>
        <v>0</v>
      </c>
    </row>
    <row r="154" spans="1:26" s="24" customFormat="1" hidden="1" outlineLevel="2" x14ac:dyDescent="0.25">
      <c r="A154" s="27"/>
      <c r="B154" s="11" t="str">
        <f>CONCATENATE("          ", "6117", " - ", "RETIREMENT STAFF HOURLY")</f>
        <v xml:space="preserve">          6117 - RETIREMENT STAFF HOURLY</v>
      </c>
      <c r="C154" s="11"/>
      <c r="D154" s="6">
        <v>94.68</v>
      </c>
      <c r="E154" s="2"/>
      <c r="F154" s="7">
        <f t="shared" si="12"/>
        <v>3.5027673212186242E-5</v>
      </c>
      <c r="G154" s="2"/>
      <c r="H154" s="6"/>
      <c r="I154" s="2"/>
      <c r="J154" s="7">
        <f t="shared" si="13"/>
        <v>0</v>
      </c>
      <c r="K154" s="2"/>
      <c r="L154" s="6">
        <f t="shared" si="14"/>
        <v>94.68</v>
      </c>
      <c r="M154" s="2"/>
      <c r="N154" s="7">
        <f t="shared" si="15"/>
        <v>0</v>
      </c>
      <c r="O154" s="11"/>
      <c r="P154" s="6">
        <v>315.37</v>
      </c>
      <c r="Q154" s="2"/>
      <c r="R154" s="7">
        <f t="shared" si="16"/>
        <v>1.032326591825296E-4</v>
      </c>
      <c r="S154" s="2"/>
      <c r="T154" s="6"/>
      <c r="U154" s="2"/>
      <c r="V154" s="7">
        <f t="shared" si="17"/>
        <v>0</v>
      </c>
      <c r="W154" s="2"/>
      <c r="X154" s="6">
        <f t="shared" si="18"/>
        <v>315.37</v>
      </c>
      <c r="Y154" s="2"/>
      <c r="Z154" s="7">
        <f t="shared" si="19"/>
        <v>0</v>
      </c>
    </row>
    <row r="155" spans="1:26" s="24" customFormat="1" hidden="1" outlineLevel="2" x14ac:dyDescent="0.25">
      <c r="A155" s="27"/>
      <c r="B155" s="11" t="str">
        <f>CONCATENATE("          ", "6118", " - ", "VACATION")</f>
        <v xml:space="preserve">          6118 - VACATION</v>
      </c>
      <c r="C155" s="11"/>
      <c r="D155" s="6">
        <v>4704.8500000000004</v>
      </c>
      <c r="E155" s="2"/>
      <c r="F155" s="7">
        <f t="shared" si="12"/>
        <v>1.7405993695854926E-3</v>
      </c>
      <c r="G155" s="2"/>
      <c r="H155" s="6">
        <v>4376.602598938458</v>
      </c>
      <c r="I155" s="2"/>
      <c r="J155" s="7">
        <f t="shared" si="13"/>
        <v>1.5240586220318338E-3</v>
      </c>
      <c r="K155" s="2"/>
      <c r="L155" s="6">
        <f t="shared" si="14"/>
        <v>328.2474010615424</v>
      </c>
      <c r="M155" s="2"/>
      <c r="N155" s="7">
        <f t="shared" si="15"/>
        <v>7.5000504076188815E-2</v>
      </c>
      <c r="O155" s="11"/>
      <c r="P155" s="6">
        <v>12039.76</v>
      </c>
      <c r="Q155" s="2"/>
      <c r="R155" s="7">
        <f t="shared" si="16"/>
        <v>3.941073788627493E-3</v>
      </c>
      <c r="S155" s="2"/>
      <c r="T155" s="6">
        <v>9847.3558476115322</v>
      </c>
      <c r="U155" s="2"/>
      <c r="V155" s="7">
        <f t="shared" si="17"/>
        <v>3.0222137228687602E-3</v>
      </c>
      <c r="W155" s="2"/>
      <c r="X155" s="6">
        <f t="shared" si="18"/>
        <v>2192.404152388468</v>
      </c>
      <c r="Y155" s="2"/>
      <c r="Z155" s="7">
        <f t="shared" si="19"/>
        <v>0.22263886735851368</v>
      </c>
    </row>
    <row r="156" spans="1:26" s="24" customFormat="1" hidden="1" outlineLevel="2" x14ac:dyDescent="0.25">
      <c r="A156" s="27"/>
      <c r="B156" s="11" t="str">
        <f>CONCATENATE("          ", "6119", " - ", "SICK LEAVE")</f>
        <v xml:space="preserve">          6119 - SICK LEAVE</v>
      </c>
      <c r="C156" s="11"/>
      <c r="D156" s="6">
        <v>3331.17</v>
      </c>
      <c r="E156" s="2"/>
      <c r="F156" s="7">
        <f t="shared" si="12"/>
        <v>1.2323947420177276E-3</v>
      </c>
      <c r="G156" s="2"/>
      <c r="H156" s="6">
        <v>4275.4243159150456</v>
      </c>
      <c r="I156" s="2"/>
      <c r="J156" s="7">
        <f t="shared" si="13"/>
        <v>1.4888254403302075E-3</v>
      </c>
      <c r="K156" s="2"/>
      <c r="L156" s="6">
        <f t="shared" si="14"/>
        <v>-944.25431591504548</v>
      </c>
      <c r="M156" s="2"/>
      <c r="N156" s="7">
        <f t="shared" si="15"/>
        <v>-0.2208562814221989</v>
      </c>
      <c r="O156" s="11"/>
      <c r="P156" s="6">
        <v>11382.25</v>
      </c>
      <c r="Q156" s="2"/>
      <c r="R156" s="7">
        <f t="shared" si="16"/>
        <v>3.725845625710586E-3</v>
      </c>
      <c r="S156" s="2"/>
      <c r="T156" s="6">
        <v>8839.4422532393473</v>
      </c>
      <c r="U156" s="2"/>
      <c r="V156" s="7">
        <f t="shared" si="17"/>
        <v>2.7128788777066011E-3</v>
      </c>
      <c r="W156" s="2"/>
      <c r="X156" s="6">
        <f t="shared" si="18"/>
        <v>2542.8077467606527</v>
      </c>
      <c r="Y156" s="2"/>
      <c r="Z156" s="7">
        <f t="shared" si="19"/>
        <v>0.28766608502123564</v>
      </c>
    </row>
    <row r="157" spans="1:26" s="24" customFormat="1" hidden="1" outlineLevel="2" x14ac:dyDescent="0.25">
      <c r="A157" s="27"/>
      <c r="B157" s="11" t="str">
        <f>CONCATENATE("          ", "6156", " - ", "EMPLOYEE MEALS")</f>
        <v xml:space="preserve">          6156 - EMPLOYEE MEALS</v>
      </c>
      <c r="C157" s="11"/>
      <c r="D157" s="6">
        <v>1918.12</v>
      </c>
      <c r="E157" s="2"/>
      <c r="F157" s="7">
        <f t="shared" si="12"/>
        <v>7.0962484729360654E-4</v>
      </c>
      <c r="G157" s="2"/>
      <c r="H157" s="6">
        <v>1550</v>
      </c>
      <c r="I157" s="2"/>
      <c r="J157" s="7">
        <f t="shared" si="13"/>
        <v>5.3975448095797281E-4</v>
      </c>
      <c r="K157" s="2"/>
      <c r="L157" s="6">
        <f t="shared" si="14"/>
        <v>368.11999999999989</v>
      </c>
      <c r="M157" s="2"/>
      <c r="N157" s="7">
        <f t="shared" si="15"/>
        <v>0.23749677419354831</v>
      </c>
      <c r="O157" s="11"/>
      <c r="P157" s="6">
        <v>3647.83</v>
      </c>
      <c r="Q157" s="2"/>
      <c r="R157" s="7">
        <f t="shared" si="16"/>
        <v>1.1940742339024222E-3</v>
      </c>
      <c r="S157" s="2"/>
      <c r="T157" s="6">
        <v>3100</v>
      </c>
      <c r="U157" s="2"/>
      <c r="V157" s="7">
        <f t="shared" si="17"/>
        <v>9.5140895544721955E-4</v>
      </c>
      <c r="W157" s="2"/>
      <c r="X157" s="6">
        <f t="shared" si="18"/>
        <v>547.82999999999993</v>
      </c>
      <c r="Y157" s="2"/>
      <c r="Z157" s="7">
        <f t="shared" si="19"/>
        <v>0.17671935483870965</v>
      </c>
    </row>
    <row r="158" spans="1:26" s="26" customFormat="1" outlineLevel="1" collapsed="1" x14ac:dyDescent="0.25">
      <c r="A158" s="25"/>
      <c r="B158" s="13" t="str">
        <f>CONCATENATE("     ","*Payroll                                          ")</f>
        <v xml:space="preserve">     *Payroll                                          </v>
      </c>
      <c r="C158" s="13"/>
      <c r="D158" s="1">
        <f>SUM(OSRRefD22_1x_0)</f>
        <v>223834.41</v>
      </c>
      <c r="E158" s="1"/>
      <c r="F158" s="5">
        <f t="shared" ref="F158:F168" si="20">IF(D$12=0,0,D158/D$12)</f>
        <v>8.2809448321953028E-2</v>
      </c>
      <c r="G158" s="1"/>
      <c r="H158" s="1">
        <f>SUM(OSRRefH22_1x_0)</f>
        <v>206791.43902561232</v>
      </c>
      <c r="I158" s="1"/>
      <c r="J158" s="5">
        <f t="shared" ref="J158:J168" si="21">IF(H$12=0,0,H158/H$12)</f>
        <v>7.2010713443755911E-2</v>
      </c>
      <c r="K158" s="1"/>
      <c r="L158" s="1">
        <f t="shared" ref="L158:L168" si="22">+D158-H158</f>
        <v>17042.970974387688</v>
      </c>
      <c r="M158" s="1"/>
      <c r="N158" s="5">
        <f t="shared" ref="N158:N168" si="23">IF(H158=0,0,L158/H158)</f>
        <v>8.2416230839598814E-2</v>
      </c>
      <c r="O158" s="13"/>
      <c r="P158" s="1">
        <f>SUM(OSRRefP22_1x_0)</f>
        <v>394132.18000000005</v>
      </c>
      <c r="Q158" s="1"/>
      <c r="R158" s="5">
        <f t="shared" ref="R158:R168" si="24">IF(P$12=0,0,P158/P$12)</f>
        <v>0.1290145321711241</v>
      </c>
      <c r="S158" s="1"/>
      <c r="T158" s="1">
        <f>SUM(OSRRefT22_1x_0)</f>
        <v>392835.79423817777</v>
      </c>
      <c r="U158" s="1"/>
      <c r="V158" s="5">
        <f t="shared" ref="V158:V168" si="25">IF(T$12=0,0,T158/T$12)</f>
        <v>0.12056370730916889</v>
      </c>
      <c r="W158" s="1"/>
      <c r="X158" s="1">
        <f t="shared" ref="X158:X168" si="26">+P158-T158</f>
        <v>1296.3857618222828</v>
      </c>
      <c r="Y158" s="1"/>
      <c r="Z158" s="5">
        <f t="shared" ref="Z158:Z168" si="27">IF(T158=0,0,X158/T158)</f>
        <v>3.3000703623160149E-3</v>
      </c>
    </row>
    <row r="159" spans="1:26" s="24" customFormat="1" hidden="1" outlineLevel="2" x14ac:dyDescent="0.25">
      <c r="A159" s="27"/>
      <c r="B159" s="11" t="str">
        <f>CONCATENATE("          ", "6001", " - ", "ADMINISTRATIVE SALARIES")</f>
        <v xml:space="preserve">          6001 - ADMINISTRATIVE SALARIES</v>
      </c>
      <c r="C159" s="11"/>
      <c r="D159" s="6">
        <v>10181.280000000001</v>
      </c>
      <c r="E159" s="2"/>
      <c r="F159" s="7">
        <f t="shared" si="20"/>
        <v>3.7666513384217106E-3</v>
      </c>
      <c r="G159" s="2"/>
      <c r="H159" s="6">
        <v>24506.560901846147</v>
      </c>
      <c r="I159" s="2"/>
      <c r="J159" s="7">
        <f t="shared" si="21"/>
        <v>8.5338877804134964E-3</v>
      </c>
      <c r="K159" s="2"/>
      <c r="L159" s="6">
        <f t="shared" si="22"/>
        <v>-14325.280901846147</v>
      </c>
      <c r="M159" s="2"/>
      <c r="N159" s="7">
        <f t="shared" si="23"/>
        <v>-0.58454880549016497</v>
      </c>
      <c r="O159" s="11"/>
      <c r="P159" s="6">
        <v>23041.56</v>
      </c>
      <c r="Q159" s="2"/>
      <c r="R159" s="7">
        <f t="shared" si="24"/>
        <v>7.5423835828195666E-3</v>
      </c>
      <c r="S159" s="2"/>
      <c r="T159" s="6">
        <v>55139.762029153841</v>
      </c>
      <c r="U159" s="2"/>
      <c r="V159" s="7">
        <f t="shared" si="25"/>
        <v>1.6922730127666295E-2</v>
      </c>
      <c r="W159" s="2"/>
      <c r="X159" s="6">
        <f t="shared" si="26"/>
        <v>-32098.202029153839</v>
      </c>
      <c r="Y159" s="2"/>
      <c r="Z159" s="7">
        <f t="shared" si="27"/>
        <v>-0.58212442070719628</v>
      </c>
    </row>
    <row r="160" spans="1:26" s="24" customFormat="1" hidden="1" outlineLevel="2" x14ac:dyDescent="0.25">
      <c r="A160" s="27"/>
      <c r="B160" s="11" t="str">
        <f>CONCATENATE("          ", "6002", " - ", "STAFF SALARIES")</f>
        <v xml:space="preserve">          6002 - STAFF SALARIES</v>
      </c>
      <c r="C160" s="11"/>
      <c r="D160" s="6">
        <v>56508.47</v>
      </c>
      <c r="E160" s="2"/>
      <c r="F160" s="7">
        <f t="shared" si="20"/>
        <v>2.0905790250112272E-2</v>
      </c>
      <c r="G160" s="2"/>
      <c r="H160" s="6">
        <v>39132.03454564618</v>
      </c>
      <c r="I160" s="2"/>
      <c r="J160" s="7">
        <f t="shared" si="21"/>
        <v>1.3626897416138527E-2</v>
      </c>
      <c r="K160" s="2"/>
      <c r="L160" s="6">
        <f t="shared" si="22"/>
        <v>17376.435454353821</v>
      </c>
      <c r="M160" s="2"/>
      <c r="N160" s="7">
        <f t="shared" si="23"/>
        <v>0.4440463077401407</v>
      </c>
      <c r="O160" s="11"/>
      <c r="P160" s="6">
        <v>120636.08000000002</v>
      </c>
      <c r="Q160" s="2"/>
      <c r="R160" s="7">
        <f t="shared" si="24"/>
        <v>3.9488801508565735E-2</v>
      </c>
      <c r="S160" s="2"/>
      <c r="T160" s="6">
        <v>88047.077727703872</v>
      </c>
      <c r="U160" s="2"/>
      <c r="V160" s="7">
        <f t="shared" si="25"/>
        <v>2.7022186532611254E-2</v>
      </c>
      <c r="W160" s="2"/>
      <c r="X160" s="6">
        <f t="shared" si="26"/>
        <v>32589.002272296144</v>
      </c>
      <c r="Y160" s="2"/>
      <c r="Z160" s="7">
        <f t="shared" si="27"/>
        <v>0.370131560448622</v>
      </c>
    </row>
    <row r="161" spans="1:26" s="24" customFormat="1" hidden="1" outlineLevel="2" x14ac:dyDescent="0.25">
      <c r="A161" s="27"/>
      <c r="B161" s="11" t="str">
        <f>CONCATENATE("          ", "6003", " - ", "STAFF HOURLY-9 MONTH")</f>
        <v xml:space="preserve">          6003 - STAFF HOURLY-9 MONTH</v>
      </c>
      <c r="C161" s="11"/>
      <c r="D161" s="6"/>
      <c r="E161" s="2"/>
      <c r="F161" s="7">
        <f t="shared" si="20"/>
        <v>0</v>
      </c>
      <c r="G161" s="2"/>
      <c r="H161" s="6">
        <v>0</v>
      </c>
      <c r="I161" s="2"/>
      <c r="J161" s="7">
        <f t="shared" si="21"/>
        <v>0</v>
      </c>
      <c r="K161" s="2"/>
      <c r="L161" s="6">
        <f t="shared" si="22"/>
        <v>0</v>
      </c>
      <c r="M161" s="2"/>
      <c r="N161" s="7">
        <f t="shared" si="23"/>
        <v>0</v>
      </c>
      <c r="O161" s="11"/>
      <c r="P161" s="6"/>
      <c r="Q161" s="2"/>
      <c r="R161" s="7">
        <f t="shared" si="24"/>
        <v>0</v>
      </c>
      <c r="S161" s="2"/>
      <c r="T161" s="6">
        <v>0</v>
      </c>
      <c r="U161" s="2"/>
      <c r="V161" s="7">
        <f t="shared" si="25"/>
        <v>0</v>
      </c>
      <c r="W161" s="2"/>
      <c r="X161" s="6">
        <f t="shared" si="26"/>
        <v>0</v>
      </c>
      <c r="Y161" s="2"/>
      <c r="Z161" s="7">
        <f t="shared" si="27"/>
        <v>0</v>
      </c>
    </row>
    <row r="162" spans="1:26" s="24" customFormat="1" hidden="1" outlineLevel="2" x14ac:dyDescent="0.25">
      <c r="A162" s="27"/>
      <c r="B162" s="11" t="str">
        <f>CONCATENATE("          ", "6004", " - ", "STAFF HOURLY")</f>
        <v xml:space="preserve">          6004 - STAFF HOURLY</v>
      </c>
      <c r="C162" s="11"/>
      <c r="D162" s="6">
        <v>2830.32</v>
      </c>
      <c r="E162" s="2"/>
      <c r="F162" s="7">
        <f t="shared" si="20"/>
        <v>1.0471010144266473E-3</v>
      </c>
      <c r="G162" s="2"/>
      <c r="H162" s="6">
        <v>21701.512381999997</v>
      </c>
      <c r="I162" s="2"/>
      <c r="J162" s="7">
        <f t="shared" si="21"/>
        <v>7.5570893882254382E-3</v>
      </c>
      <c r="K162" s="2"/>
      <c r="L162" s="6">
        <f t="shared" si="22"/>
        <v>-18871.192381999997</v>
      </c>
      <c r="M162" s="2"/>
      <c r="N162" s="7">
        <f t="shared" si="23"/>
        <v>-0.8695795965654648</v>
      </c>
      <c r="O162" s="11"/>
      <c r="P162" s="6">
        <v>4836.25</v>
      </c>
      <c r="Q162" s="2"/>
      <c r="R162" s="7">
        <f t="shared" si="24"/>
        <v>1.5830895391809898E-3</v>
      </c>
      <c r="S162" s="2"/>
      <c r="T162" s="6">
        <v>47770.741922000001</v>
      </c>
      <c r="U162" s="2"/>
      <c r="V162" s="7">
        <f t="shared" si="25"/>
        <v>1.4661132797725393E-2</v>
      </c>
      <c r="W162" s="2"/>
      <c r="X162" s="6">
        <f t="shared" si="26"/>
        <v>-42934.491922000001</v>
      </c>
      <c r="Y162" s="2"/>
      <c r="Z162" s="7">
        <f t="shared" si="27"/>
        <v>-0.89876125416061947</v>
      </c>
    </row>
    <row r="163" spans="1:26" s="24" customFormat="1" hidden="1" outlineLevel="2" x14ac:dyDescent="0.25">
      <c r="A163" s="27"/>
      <c r="B163" s="11" t="str">
        <f>CONCATENATE("          ", "6005", " - ", "TEMPORARY WAGES-HOURLY")</f>
        <v xml:space="preserve">          6005 - TEMPORARY WAGES-HOURLY</v>
      </c>
      <c r="C163" s="11"/>
      <c r="D163" s="6">
        <v>17494.070000000003</v>
      </c>
      <c r="E163" s="2"/>
      <c r="F163" s="7">
        <f t="shared" si="20"/>
        <v>6.4720803454912448E-3</v>
      </c>
      <c r="G163" s="2"/>
      <c r="H163" s="6">
        <v>3517.92</v>
      </c>
      <c r="I163" s="2"/>
      <c r="J163" s="7">
        <f t="shared" si="21"/>
        <v>1.2250406991301109E-3</v>
      </c>
      <c r="K163" s="2"/>
      <c r="L163" s="6">
        <f t="shared" si="22"/>
        <v>13976.150000000003</v>
      </c>
      <c r="M163" s="2"/>
      <c r="N163" s="7">
        <f t="shared" si="23"/>
        <v>3.972844749169965</v>
      </c>
      <c r="O163" s="11"/>
      <c r="P163" s="6">
        <v>34872.71</v>
      </c>
      <c r="Q163" s="2"/>
      <c r="R163" s="7">
        <f t="shared" si="24"/>
        <v>1.1415171342236711E-2</v>
      </c>
      <c r="S163" s="2"/>
      <c r="T163" s="6">
        <v>6952.08</v>
      </c>
      <c r="U163" s="2"/>
      <c r="V163" s="7">
        <f t="shared" si="25"/>
        <v>2.1336358616082275E-3</v>
      </c>
      <c r="W163" s="2"/>
      <c r="X163" s="6">
        <f t="shared" si="26"/>
        <v>27920.629999999997</v>
      </c>
      <c r="Y163" s="2"/>
      <c r="Z163" s="7">
        <f t="shared" si="27"/>
        <v>4.0161548773892131</v>
      </c>
    </row>
    <row r="164" spans="1:26" s="24" customFormat="1" hidden="1" outlineLevel="2" x14ac:dyDescent="0.25">
      <c r="A164" s="27"/>
      <c r="B164" s="11" t="str">
        <f>CONCATENATE("          ", "6006", " - ", "TEMPORARY PART TIME")</f>
        <v xml:space="preserve">          6006 - TEMPORARY PART TIME</v>
      </c>
      <c r="C164" s="11"/>
      <c r="D164" s="6">
        <v>5082.5600000000004</v>
      </c>
      <c r="E164" s="2"/>
      <c r="F164" s="7">
        <f t="shared" si="20"/>
        <v>1.8803364043232923E-3</v>
      </c>
      <c r="G164" s="2"/>
      <c r="H164" s="6">
        <v>0</v>
      </c>
      <c r="I164" s="2"/>
      <c r="J164" s="7">
        <f t="shared" si="21"/>
        <v>0</v>
      </c>
      <c r="K164" s="2"/>
      <c r="L164" s="6">
        <f t="shared" si="22"/>
        <v>5082.5600000000004</v>
      </c>
      <c r="M164" s="2"/>
      <c r="N164" s="7">
        <f t="shared" si="23"/>
        <v>0</v>
      </c>
      <c r="O164" s="11"/>
      <c r="P164" s="6">
        <v>8274</v>
      </c>
      <c r="Q164" s="2"/>
      <c r="R164" s="7">
        <f t="shared" si="24"/>
        <v>2.7083965566675645E-3</v>
      </c>
      <c r="S164" s="2"/>
      <c r="T164" s="6">
        <v>0</v>
      </c>
      <c r="U164" s="2"/>
      <c r="V164" s="7">
        <f t="shared" si="25"/>
        <v>0</v>
      </c>
      <c r="W164" s="2"/>
      <c r="X164" s="6">
        <f t="shared" si="26"/>
        <v>8274</v>
      </c>
      <c r="Y164" s="2"/>
      <c r="Z164" s="7">
        <f t="shared" si="27"/>
        <v>0</v>
      </c>
    </row>
    <row r="165" spans="1:26" s="24" customFormat="1" hidden="1" outlineLevel="2" x14ac:dyDescent="0.25">
      <c r="A165" s="27"/>
      <c r="B165" s="11" t="str">
        <f>CONCATENATE("          ", "6007", " - ", "STUDENT HOURLY")</f>
        <v xml:space="preserve">          6007 - STUDENT HOURLY</v>
      </c>
      <c r="C165" s="11"/>
      <c r="D165" s="6">
        <v>130090.70999999999</v>
      </c>
      <c r="E165" s="2"/>
      <c r="F165" s="7">
        <f t="shared" si="20"/>
        <v>4.8128167277368912E-2</v>
      </c>
      <c r="G165" s="2"/>
      <c r="H165" s="6">
        <v>48653.16</v>
      </c>
      <c r="I165" s="2"/>
      <c r="J165" s="7">
        <f t="shared" si="21"/>
        <v>1.6942426530816262E-2</v>
      </c>
      <c r="K165" s="2"/>
      <c r="L165" s="6">
        <f t="shared" si="22"/>
        <v>81437.549999999988</v>
      </c>
      <c r="M165" s="2"/>
      <c r="N165" s="7">
        <f t="shared" si="23"/>
        <v>1.6738388626761342</v>
      </c>
      <c r="O165" s="11"/>
      <c r="P165" s="6">
        <v>200509.58000000002</v>
      </c>
      <c r="Q165" s="2"/>
      <c r="R165" s="7">
        <f t="shared" si="24"/>
        <v>6.5634452024517717E-2</v>
      </c>
      <c r="S165" s="2"/>
      <c r="T165" s="6">
        <v>123991.54636320002</v>
      </c>
      <c r="U165" s="2"/>
      <c r="V165" s="7">
        <f t="shared" si="25"/>
        <v>3.8053763745063744E-2</v>
      </c>
      <c r="W165" s="2"/>
      <c r="X165" s="6">
        <f t="shared" si="26"/>
        <v>76518.033636799999</v>
      </c>
      <c r="Y165" s="2"/>
      <c r="Z165" s="7">
        <f t="shared" si="27"/>
        <v>0.61712298847101177</v>
      </c>
    </row>
    <row r="166" spans="1:26" s="24" customFormat="1" hidden="1" outlineLevel="2" x14ac:dyDescent="0.25">
      <c r="A166" s="27"/>
      <c r="B166" s="11" t="str">
        <f>CONCATENATE("          ", "6008", " - ", "STUDENT HOURLY-FICA EXEMPT")</f>
        <v xml:space="preserve">          6008 - STUDENT HOURLY-FICA EXEMPT</v>
      </c>
      <c r="C166" s="11"/>
      <c r="D166" s="6">
        <v>1647</v>
      </c>
      <c r="E166" s="2"/>
      <c r="F166" s="7">
        <f t="shared" si="20"/>
        <v>6.0932169180894316E-4</v>
      </c>
      <c r="G166" s="2"/>
      <c r="H166" s="6">
        <v>69280.251196120007</v>
      </c>
      <c r="I166" s="2"/>
      <c r="J166" s="7">
        <f t="shared" si="21"/>
        <v>2.4125371629032086E-2</v>
      </c>
      <c r="K166" s="2"/>
      <c r="L166" s="6">
        <f t="shared" si="22"/>
        <v>-67633.251196120007</v>
      </c>
      <c r="M166" s="2"/>
      <c r="N166" s="7">
        <f t="shared" si="23"/>
        <v>-0.97622699150819137</v>
      </c>
      <c r="O166" s="11"/>
      <c r="P166" s="6">
        <v>1962</v>
      </c>
      <c r="Q166" s="2"/>
      <c r="R166" s="7">
        <f t="shared" si="24"/>
        <v>6.422376171358184E-4</v>
      </c>
      <c r="S166" s="2"/>
      <c r="T166" s="6">
        <v>70934.586196119999</v>
      </c>
      <c r="U166" s="2"/>
      <c r="V166" s="7">
        <f t="shared" si="25"/>
        <v>2.1770258244493964E-2</v>
      </c>
      <c r="W166" s="2"/>
      <c r="X166" s="6">
        <f t="shared" si="26"/>
        <v>-68972.586196119999</v>
      </c>
      <c r="Y166" s="2"/>
      <c r="Z166" s="7">
        <f t="shared" si="27"/>
        <v>-0.97234071409713363</v>
      </c>
    </row>
    <row r="167" spans="1:26" s="24" customFormat="1" hidden="1" outlineLevel="2" x14ac:dyDescent="0.25">
      <c r="A167" s="27"/>
      <c r="B167" s="11" t="str">
        <f>CONCATENATE("          ", "6009", " - ", "TEMPORARY-SEASONAL")</f>
        <v xml:space="preserve">          6009 - TEMPORARY-SEASONAL</v>
      </c>
      <c r="C167" s="11"/>
      <c r="D167" s="6"/>
      <c r="E167" s="2"/>
      <c r="F167" s="7">
        <f t="shared" si="20"/>
        <v>0</v>
      </c>
      <c r="G167" s="2"/>
      <c r="H167" s="6">
        <v>0</v>
      </c>
      <c r="I167" s="2"/>
      <c r="J167" s="7">
        <f t="shared" si="21"/>
        <v>0</v>
      </c>
      <c r="K167" s="2"/>
      <c r="L167" s="6">
        <f t="shared" si="22"/>
        <v>0</v>
      </c>
      <c r="M167" s="2"/>
      <c r="N167" s="7">
        <f t="shared" si="23"/>
        <v>0</v>
      </c>
      <c r="O167" s="11"/>
      <c r="P167" s="6"/>
      <c r="Q167" s="2"/>
      <c r="R167" s="7">
        <f t="shared" si="24"/>
        <v>0</v>
      </c>
      <c r="S167" s="2"/>
      <c r="T167" s="6">
        <v>0</v>
      </c>
      <c r="U167" s="2"/>
      <c r="V167" s="7">
        <f t="shared" si="25"/>
        <v>0</v>
      </c>
      <c r="W167" s="2"/>
      <c r="X167" s="6">
        <f t="shared" si="26"/>
        <v>0</v>
      </c>
      <c r="Y167" s="2"/>
      <c r="Z167" s="7">
        <f t="shared" si="27"/>
        <v>0</v>
      </c>
    </row>
    <row r="168" spans="1:26" s="24" customFormat="1" hidden="1" outlineLevel="2" x14ac:dyDescent="0.25">
      <c r="A168" s="27"/>
      <c r="B168" s="11" t="str">
        <f>CONCATENATE("          ", "6010", " - ", "GRATUITY")</f>
        <v xml:space="preserve">          6010 - GRATUITY</v>
      </c>
      <c r="C168" s="11"/>
      <c r="D168" s="6"/>
      <c r="E168" s="2"/>
      <c r="F168" s="7">
        <f t="shared" si="20"/>
        <v>0</v>
      </c>
      <c r="G168" s="2"/>
      <c r="H168" s="6">
        <v>0</v>
      </c>
      <c r="I168" s="2"/>
      <c r="J168" s="7">
        <f t="shared" si="21"/>
        <v>0</v>
      </c>
      <c r="K168" s="2"/>
      <c r="L168" s="6">
        <f t="shared" si="22"/>
        <v>0</v>
      </c>
      <c r="M168" s="2"/>
      <c r="N168" s="7">
        <f t="shared" si="23"/>
        <v>0</v>
      </c>
      <c r="O168" s="11"/>
      <c r="P168" s="6"/>
      <c r="Q168" s="2"/>
      <c r="R168" s="7">
        <f t="shared" si="24"/>
        <v>0</v>
      </c>
      <c r="S168" s="2"/>
      <c r="T168" s="6">
        <v>0</v>
      </c>
      <c r="U168" s="2"/>
      <c r="V168" s="7">
        <f t="shared" si="25"/>
        <v>0</v>
      </c>
      <c r="W168" s="2"/>
      <c r="X168" s="6">
        <f t="shared" si="26"/>
        <v>0</v>
      </c>
      <c r="Y168" s="2"/>
      <c r="Z168" s="7">
        <f t="shared" si="27"/>
        <v>0</v>
      </c>
    </row>
    <row r="169" spans="1:26" s="26" customFormat="1" outlineLevel="1" collapsed="1" x14ac:dyDescent="0.25">
      <c r="A169" s="25"/>
      <c r="B169" s="13" t="str">
        <f>CONCATENATE("     ","Advertising/Promo                                 ")</f>
        <v xml:space="preserve">     Advertising/Promo                                 </v>
      </c>
      <c r="C169" s="13"/>
      <c r="D169" s="1">
        <f>SUM(OSRRefD22_2x_0)</f>
        <v>6658.2</v>
      </c>
      <c r="E169" s="1"/>
      <c r="F169" s="5">
        <f t="shared" ref="F169:F173" si="28">IF(D$12=0,0,D169/D$12)</f>
        <v>2.4632578557391045E-3</v>
      </c>
      <c r="G169" s="1"/>
      <c r="H169" s="1">
        <f>SUM(OSRRefH22_2x_0)</f>
        <v>4720</v>
      </c>
      <c r="I169" s="1"/>
      <c r="J169" s="5">
        <f t="shared" ref="J169:J173" si="29">IF(H$12=0,0,H169/H$12)</f>
        <v>1.6436394516913754E-3</v>
      </c>
      <c r="K169" s="1"/>
      <c r="L169" s="1">
        <f t="shared" ref="L169:L173" si="30">+D169-H169</f>
        <v>1938.1999999999998</v>
      </c>
      <c r="M169" s="1"/>
      <c r="N169" s="5">
        <f t="shared" ref="N169:N173" si="31">IF(H169=0,0,L169/H169)</f>
        <v>0.41063559322033893</v>
      </c>
      <c r="O169" s="13"/>
      <c r="P169" s="1">
        <f>SUM(OSRRefP22_2x_0)</f>
        <v>7190.5</v>
      </c>
      <c r="Q169" s="1"/>
      <c r="R169" s="5">
        <f t="shared" ref="R169:R173" si="32">IF(P$12=0,0,P169/P$12)</f>
        <v>2.3537255790087169E-3</v>
      </c>
      <c r="S169" s="1"/>
      <c r="T169" s="1">
        <f>SUM(OSRRefT22_2x_0)</f>
        <v>9340</v>
      </c>
      <c r="U169" s="1"/>
      <c r="V169" s="5">
        <f t="shared" ref="V169:V173" si="33">IF(T$12=0,0,T169/T$12)</f>
        <v>2.8665031109280743E-3</v>
      </c>
      <c r="W169" s="1"/>
      <c r="X169" s="1">
        <f t="shared" ref="X169:X173" si="34">+P169-T169</f>
        <v>-2149.5</v>
      </c>
      <c r="Y169" s="1"/>
      <c r="Z169" s="5">
        <f t="shared" ref="Z169:Z173" si="35">IF(T169=0,0,X169/T169)</f>
        <v>-0.2301391862955032</v>
      </c>
    </row>
    <row r="170" spans="1:26" s="24" customFormat="1" hidden="1" outlineLevel="2" x14ac:dyDescent="0.25">
      <c r="A170" s="27"/>
      <c r="B170" s="11" t="str">
        <f>CONCATENATE("          ", "6362", " - ", "ADVERTISING EXPENSE")</f>
        <v xml:space="preserve">          6362 - ADVERTISING EXPENSE</v>
      </c>
      <c r="C170" s="11"/>
      <c r="D170" s="6">
        <v>6658.2</v>
      </c>
      <c r="E170" s="2"/>
      <c r="F170" s="7">
        <f t="shared" si="28"/>
        <v>2.4632578557391045E-3</v>
      </c>
      <c r="G170" s="2"/>
      <c r="H170" s="6">
        <v>4720</v>
      </c>
      <c r="I170" s="2"/>
      <c r="J170" s="7">
        <f t="shared" si="29"/>
        <v>1.6436394516913754E-3</v>
      </c>
      <c r="K170" s="2"/>
      <c r="L170" s="6">
        <f t="shared" si="30"/>
        <v>1938.1999999999998</v>
      </c>
      <c r="M170" s="2"/>
      <c r="N170" s="7">
        <f t="shared" si="31"/>
        <v>0.41063559322033893</v>
      </c>
      <c r="O170" s="11"/>
      <c r="P170" s="6">
        <v>7190.5</v>
      </c>
      <c r="Q170" s="2"/>
      <c r="R170" s="7">
        <f t="shared" si="32"/>
        <v>2.3537255790087169E-3</v>
      </c>
      <c r="S170" s="2"/>
      <c r="T170" s="6">
        <v>9340</v>
      </c>
      <c r="U170" s="2"/>
      <c r="V170" s="7">
        <f t="shared" si="33"/>
        <v>2.8665031109280743E-3</v>
      </c>
      <c r="W170" s="2"/>
      <c r="X170" s="6">
        <f t="shared" si="34"/>
        <v>-2149.5</v>
      </c>
      <c r="Y170" s="2"/>
      <c r="Z170" s="7">
        <f t="shared" si="35"/>
        <v>-0.2301391862955032</v>
      </c>
    </row>
    <row r="171" spans="1:26" s="26" customFormat="1" outlineLevel="1" collapsed="1" x14ac:dyDescent="0.25">
      <c r="A171" s="25"/>
      <c r="B171" s="13" t="str">
        <f>CONCATENATE("     ","Bad Debts/Over/Short                              ")</f>
        <v xml:space="preserve">     Bad Debts/Over/Short                              </v>
      </c>
      <c r="C171" s="13"/>
      <c r="D171" s="1">
        <f>SUM(OSRRefD22_3x_0)</f>
        <v>-63.63</v>
      </c>
      <c r="E171" s="1"/>
      <c r="F171" s="5">
        <f t="shared" si="28"/>
        <v>-2.3540460989558624E-5</v>
      </c>
      <c r="G171" s="1"/>
      <c r="H171" s="1">
        <f>SUM(OSRRefH22_3x_0)</f>
        <v>135</v>
      </c>
      <c r="I171" s="1"/>
      <c r="J171" s="5">
        <f t="shared" si="29"/>
        <v>4.7010874147952474E-5</v>
      </c>
      <c r="K171" s="1"/>
      <c r="L171" s="1">
        <f t="shared" si="30"/>
        <v>-198.63</v>
      </c>
      <c r="M171" s="1"/>
      <c r="N171" s="5">
        <f t="shared" si="31"/>
        <v>-1.4713333333333334</v>
      </c>
      <c r="O171" s="13"/>
      <c r="P171" s="1">
        <f>SUM(OSRRefP22_3x_0)</f>
        <v>-82.33</v>
      </c>
      <c r="Q171" s="1"/>
      <c r="R171" s="5">
        <f t="shared" si="32"/>
        <v>-2.6949756890311893E-5</v>
      </c>
      <c r="S171" s="1"/>
      <c r="T171" s="1">
        <f>SUM(OSRRefT22_3x_0)</f>
        <v>270</v>
      </c>
      <c r="U171" s="1"/>
      <c r="V171" s="5">
        <f t="shared" si="33"/>
        <v>8.2864650958306218E-5</v>
      </c>
      <c r="W171" s="1"/>
      <c r="X171" s="1">
        <f t="shared" si="34"/>
        <v>-352.33</v>
      </c>
      <c r="Y171" s="1"/>
      <c r="Z171" s="5">
        <f t="shared" si="35"/>
        <v>-1.3049259259259258</v>
      </c>
    </row>
    <row r="172" spans="1:26" s="24" customFormat="1" hidden="1" outlineLevel="2" x14ac:dyDescent="0.25">
      <c r="A172" s="27"/>
      <c r="B172" s="11" t="str">
        <f>CONCATENATE("          ", "6272", " - ", "CASH (OVER/SHORT)")</f>
        <v xml:space="preserve">          6272 - CASH (OVER/SHORT)</v>
      </c>
      <c r="C172" s="11"/>
      <c r="D172" s="6">
        <v>-63.63</v>
      </c>
      <c r="E172" s="2"/>
      <c r="F172" s="7">
        <f t="shared" si="28"/>
        <v>-2.3540460989558624E-5</v>
      </c>
      <c r="G172" s="2"/>
      <c r="H172" s="6">
        <v>125</v>
      </c>
      <c r="I172" s="2"/>
      <c r="J172" s="7">
        <f t="shared" si="29"/>
        <v>4.3528587174030068E-5</v>
      </c>
      <c r="K172" s="2"/>
      <c r="L172" s="6">
        <f t="shared" si="30"/>
        <v>-188.63</v>
      </c>
      <c r="M172" s="2"/>
      <c r="N172" s="7">
        <f t="shared" si="31"/>
        <v>-1.5090399999999999</v>
      </c>
      <c r="O172" s="11"/>
      <c r="P172" s="6">
        <v>-82.33</v>
      </c>
      <c r="Q172" s="2"/>
      <c r="R172" s="7">
        <f t="shared" si="32"/>
        <v>-2.6949756890311893E-5</v>
      </c>
      <c r="S172" s="2"/>
      <c r="T172" s="6">
        <v>250</v>
      </c>
      <c r="U172" s="2"/>
      <c r="V172" s="7">
        <f t="shared" si="33"/>
        <v>7.6726528665098349E-5</v>
      </c>
      <c r="W172" s="2"/>
      <c r="X172" s="6">
        <f t="shared" si="34"/>
        <v>-332.33</v>
      </c>
      <c r="Y172" s="2"/>
      <c r="Z172" s="7">
        <f t="shared" si="35"/>
        <v>-1.3293199999999998</v>
      </c>
    </row>
    <row r="173" spans="1:26" s="24" customFormat="1" hidden="1" outlineLevel="2" x14ac:dyDescent="0.25">
      <c r="A173" s="27"/>
      <c r="B173" s="11" t="str">
        <f>CONCATENATE("          ", "6342", " - ", "BAD DEBT")</f>
        <v xml:space="preserve">          6342 - BAD DEBT</v>
      </c>
      <c r="C173" s="11"/>
      <c r="D173" s="6"/>
      <c r="E173" s="2"/>
      <c r="F173" s="7">
        <f t="shared" si="28"/>
        <v>0</v>
      </c>
      <c r="G173" s="2"/>
      <c r="H173" s="6">
        <v>10</v>
      </c>
      <c r="I173" s="2"/>
      <c r="J173" s="7">
        <f t="shared" si="29"/>
        <v>3.4822869739224055E-6</v>
      </c>
      <c r="K173" s="2"/>
      <c r="L173" s="6">
        <f t="shared" si="30"/>
        <v>-10</v>
      </c>
      <c r="M173" s="2"/>
      <c r="N173" s="7">
        <f t="shared" si="31"/>
        <v>-1</v>
      </c>
      <c r="O173" s="11"/>
      <c r="P173" s="6"/>
      <c r="Q173" s="2"/>
      <c r="R173" s="7">
        <f t="shared" si="32"/>
        <v>0</v>
      </c>
      <c r="S173" s="2"/>
      <c r="T173" s="6">
        <v>20</v>
      </c>
      <c r="U173" s="2"/>
      <c r="V173" s="7">
        <f t="shared" si="33"/>
        <v>6.1381222932078678E-6</v>
      </c>
      <c r="W173" s="2"/>
      <c r="X173" s="6">
        <f t="shared" si="34"/>
        <v>-20</v>
      </c>
      <c r="Y173" s="2"/>
      <c r="Z173" s="7">
        <f t="shared" si="35"/>
        <v>-1</v>
      </c>
    </row>
    <row r="174" spans="1:26" s="26" customFormat="1" outlineLevel="1" collapsed="1" x14ac:dyDescent="0.25">
      <c r="A174" s="25"/>
      <c r="B174" s="13" t="str">
        <f>CONCATENATE("     ","Bank/card Fees                                    ")</f>
        <v xml:space="preserve">     Bank/card Fees                                    </v>
      </c>
      <c r="C174" s="13"/>
      <c r="D174" s="1">
        <f>SUM(OSRRefD22_4x_0)</f>
        <v>33669.619999999995</v>
      </c>
      <c r="E174" s="1"/>
      <c r="F174" s="5">
        <f t="shared" ref="F174:F179" si="36">IF(D$12=0,0,D174/D$12)</f>
        <v>1.2456362975691698E-2</v>
      </c>
      <c r="G174" s="1"/>
      <c r="H174" s="1">
        <f>SUM(OSRRefH22_4x_0)</f>
        <v>30625</v>
      </c>
      <c r="I174" s="1"/>
      <c r="J174" s="5">
        <f t="shared" ref="J174:J179" si="37">IF(H$12=0,0,H174/H$12)</f>
        <v>1.0664503857637366E-2</v>
      </c>
      <c r="K174" s="1"/>
      <c r="L174" s="1">
        <f t="shared" ref="L174:L179" si="38">+D174-H174</f>
        <v>3044.6199999999953</v>
      </c>
      <c r="M174" s="1"/>
      <c r="N174" s="5">
        <f t="shared" ref="N174:N179" si="39">IF(H174=0,0,L174/H174)</f>
        <v>9.9416163265305973E-2</v>
      </c>
      <c r="O174" s="13"/>
      <c r="P174" s="1">
        <f>SUM(OSRRefP22_4x_0)</f>
        <v>39455.51</v>
      </c>
      <c r="Q174" s="1"/>
      <c r="R174" s="5">
        <f t="shared" ref="R174:R179" si="40">IF(P$12=0,0,P174/P$12)</f>
        <v>1.291529700574845E-2</v>
      </c>
      <c r="S174" s="1"/>
      <c r="T174" s="1">
        <f>SUM(OSRRefT22_4x_0)</f>
        <v>35625</v>
      </c>
      <c r="U174" s="1"/>
      <c r="V174" s="5">
        <f t="shared" ref="V174:V179" si="41">IF(T$12=0,0,T174/T$12)</f>
        <v>1.0933530334776514E-2</v>
      </c>
      <c r="W174" s="1"/>
      <c r="X174" s="1">
        <f t="shared" ref="X174:X179" si="42">+P174-T174</f>
        <v>3830.510000000002</v>
      </c>
      <c r="Y174" s="1"/>
      <c r="Z174" s="5">
        <f t="shared" ref="Z174:Z179" si="43">IF(T174=0,0,X174/T174)</f>
        <v>0.1075230877192983</v>
      </c>
    </row>
    <row r="175" spans="1:26" s="24" customFormat="1" hidden="1" outlineLevel="2" x14ac:dyDescent="0.25">
      <c r="A175" s="27"/>
      <c r="B175" s="11" t="str">
        <f>CONCATENATE("          ", "6381", " - ", "BANK/CREDIT CARD FEES")</f>
        <v xml:space="preserve">          6381 - BANK/CREDIT CARD FEES</v>
      </c>
      <c r="C175" s="11"/>
      <c r="D175" s="6">
        <v>33669.619999999995</v>
      </c>
      <c r="E175" s="2"/>
      <c r="F175" s="7">
        <f t="shared" si="36"/>
        <v>1.2456362975691698E-2</v>
      </c>
      <c r="G175" s="2"/>
      <c r="H175" s="6">
        <v>30625</v>
      </c>
      <c r="I175" s="2"/>
      <c r="J175" s="7">
        <f t="shared" si="37"/>
        <v>1.0664503857637366E-2</v>
      </c>
      <c r="K175" s="2"/>
      <c r="L175" s="6">
        <f t="shared" si="38"/>
        <v>3044.6199999999953</v>
      </c>
      <c r="M175" s="2"/>
      <c r="N175" s="7">
        <f t="shared" si="39"/>
        <v>9.9416163265305973E-2</v>
      </c>
      <c r="O175" s="11"/>
      <c r="P175" s="6">
        <v>39455.51</v>
      </c>
      <c r="Q175" s="2"/>
      <c r="R175" s="7">
        <f t="shared" si="40"/>
        <v>1.291529700574845E-2</v>
      </c>
      <c r="S175" s="2"/>
      <c r="T175" s="6">
        <v>35625</v>
      </c>
      <c r="U175" s="2"/>
      <c r="V175" s="7">
        <f t="shared" si="41"/>
        <v>1.0933530334776514E-2</v>
      </c>
      <c r="W175" s="2"/>
      <c r="X175" s="6">
        <f t="shared" si="42"/>
        <v>3830.510000000002</v>
      </c>
      <c r="Y175" s="2"/>
      <c r="Z175" s="7">
        <f t="shared" si="43"/>
        <v>0.1075230877192983</v>
      </c>
    </row>
    <row r="176" spans="1:26" s="26" customFormat="1" outlineLevel="1" collapsed="1" x14ac:dyDescent="0.25">
      <c r="A176" s="25"/>
      <c r="B176" s="13" t="str">
        <f>CONCATENATE("     ","Depreciation                                      ")</f>
        <v xml:space="preserve">     Depreciation                                      </v>
      </c>
      <c r="C176" s="13"/>
      <c r="D176" s="1">
        <f>SUM(OSRRefD22_5x_0)</f>
        <v>29607.43</v>
      </c>
      <c r="E176" s="1"/>
      <c r="F176" s="5">
        <f t="shared" si="36"/>
        <v>1.0953521152225172E-2</v>
      </c>
      <c r="G176" s="1"/>
      <c r="H176" s="1">
        <f>SUM(OSRRefH22_5x_0)</f>
        <v>30202</v>
      </c>
      <c r="I176" s="1"/>
      <c r="J176" s="5">
        <f t="shared" si="37"/>
        <v>1.0517203118640449E-2</v>
      </c>
      <c r="K176" s="1"/>
      <c r="L176" s="1">
        <f t="shared" si="38"/>
        <v>-594.56999999999971</v>
      </c>
      <c r="M176" s="1"/>
      <c r="N176" s="5">
        <f t="shared" si="39"/>
        <v>-1.9686444606317452E-2</v>
      </c>
      <c r="O176" s="13"/>
      <c r="P176" s="1">
        <f>SUM(OSRRefP22_5x_0)</f>
        <v>59214.86</v>
      </c>
      <c r="Q176" s="1"/>
      <c r="R176" s="5">
        <f t="shared" si="40"/>
        <v>1.9383287760158557E-2</v>
      </c>
      <c r="S176" s="1"/>
      <c r="T176" s="1">
        <f>SUM(OSRRefT22_5x_0)</f>
        <v>60404</v>
      </c>
      <c r="U176" s="1"/>
      <c r="V176" s="5">
        <f t="shared" si="41"/>
        <v>1.8538356949946402E-2</v>
      </c>
      <c r="W176" s="1"/>
      <c r="X176" s="1">
        <f t="shared" si="42"/>
        <v>-1189.1399999999994</v>
      </c>
      <c r="Y176" s="1"/>
      <c r="Z176" s="5">
        <f t="shared" si="43"/>
        <v>-1.9686444606317452E-2</v>
      </c>
    </row>
    <row r="177" spans="1:26" s="24" customFormat="1" hidden="1" outlineLevel="2" x14ac:dyDescent="0.25">
      <c r="A177" s="27"/>
      <c r="B177" s="11" t="str">
        <f>CONCATENATE("          ", "6321", " - ", "BUILDING DEPRECIATION")</f>
        <v xml:space="preserve">          6321 - BUILDING DEPRECIATION</v>
      </c>
      <c r="C177" s="11"/>
      <c r="D177" s="6">
        <v>16396.52</v>
      </c>
      <c r="E177" s="2"/>
      <c r="F177" s="7">
        <f t="shared" si="36"/>
        <v>6.0660323656218417E-3</v>
      </c>
      <c r="G177" s="2"/>
      <c r="H177" s="6">
        <v>16453</v>
      </c>
      <c r="I177" s="2"/>
      <c r="J177" s="7">
        <f t="shared" si="37"/>
        <v>5.7294067581945335E-3</v>
      </c>
      <c r="K177" s="2"/>
      <c r="L177" s="6">
        <f t="shared" si="38"/>
        <v>-56.479999999999563</v>
      </c>
      <c r="M177" s="2"/>
      <c r="N177" s="7">
        <f t="shared" si="39"/>
        <v>-3.432808606333165E-3</v>
      </c>
      <c r="O177" s="11"/>
      <c r="P177" s="6">
        <v>32793.040000000001</v>
      </c>
      <c r="Q177" s="2"/>
      <c r="R177" s="7">
        <f t="shared" si="40"/>
        <v>1.0734415834984495E-2</v>
      </c>
      <c r="S177" s="2"/>
      <c r="T177" s="6">
        <v>32906</v>
      </c>
      <c r="U177" s="2"/>
      <c r="V177" s="7">
        <f t="shared" si="41"/>
        <v>1.0099052609014905E-2</v>
      </c>
      <c r="W177" s="2"/>
      <c r="X177" s="6">
        <f t="shared" si="42"/>
        <v>-112.95999999999913</v>
      </c>
      <c r="Y177" s="2"/>
      <c r="Z177" s="7">
        <f t="shared" si="43"/>
        <v>-3.432808606333165E-3</v>
      </c>
    </row>
    <row r="178" spans="1:26" s="24" customFormat="1" hidden="1" outlineLevel="2" x14ac:dyDescent="0.25">
      <c r="A178" s="27"/>
      <c r="B178" s="11" t="str">
        <f>CONCATENATE("          ", "6322", " - ", "EQUIPMENT DEPRECIATION EXPENSE")</f>
        <v xml:space="preserve">          6322 - EQUIPMENT DEPRECIATION EXPENSE</v>
      </c>
      <c r="C178" s="11"/>
      <c r="D178" s="6">
        <v>13210.91</v>
      </c>
      <c r="E178" s="2"/>
      <c r="F178" s="7">
        <f t="shared" si="36"/>
        <v>4.8874887866033308E-3</v>
      </c>
      <c r="G178" s="2"/>
      <c r="H178" s="6">
        <v>13049</v>
      </c>
      <c r="I178" s="2"/>
      <c r="J178" s="7">
        <f t="shared" si="37"/>
        <v>4.5440362722713465E-3</v>
      </c>
      <c r="K178" s="2"/>
      <c r="L178" s="6">
        <f t="shared" si="38"/>
        <v>161.90999999999985</v>
      </c>
      <c r="M178" s="2"/>
      <c r="N178" s="7">
        <f t="shared" si="39"/>
        <v>1.2407847344624098E-2</v>
      </c>
      <c r="O178" s="11"/>
      <c r="P178" s="6">
        <v>26421.82</v>
      </c>
      <c r="Q178" s="2"/>
      <c r="R178" s="7">
        <f t="shared" si="40"/>
        <v>8.648871925174063E-3</v>
      </c>
      <c r="S178" s="2"/>
      <c r="T178" s="6">
        <v>26098</v>
      </c>
      <c r="U178" s="2"/>
      <c r="V178" s="7">
        <f t="shared" si="41"/>
        <v>8.0096357804069467E-3</v>
      </c>
      <c r="W178" s="2"/>
      <c r="X178" s="6">
        <f t="shared" si="42"/>
        <v>323.81999999999971</v>
      </c>
      <c r="Y178" s="2"/>
      <c r="Z178" s="7">
        <f t="shared" si="43"/>
        <v>1.2407847344624098E-2</v>
      </c>
    </row>
    <row r="179" spans="1:26" s="24" customFormat="1" hidden="1" outlineLevel="2" x14ac:dyDescent="0.25">
      <c r="A179" s="27"/>
      <c r="B179" s="11" t="str">
        <f>CONCATENATE("          ", "6324", " - ", "FURNITURE + FIXT DEPRECIATION")</f>
        <v xml:space="preserve">          6324 - FURNITURE + FIXT DEPRECIATION</v>
      </c>
      <c r="C179" s="11"/>
      <c r="D179" s="6"/>
      <c r="E179" s="2"/>
      <c r="F179" s="7">
        <f t="shared" si="36"/>
        <v>0</v>
      </c>
      <c r="G179" s="2"/>
      <c r="H179" s="6">
        <v>700</v>
      </c>
      <c r="I179" s="2"/>
      <c r="J179" s="7">
        <f t="shared" si="37"/>
        <v>2.4376008817456838E-4</v>
      </c>
      <c r="K179" s="2"/>
      <c r="L179" s="6">
        <f t="shared" si="38"/>
        <v>-700</v>
      </c>
      <c r="M179" s="2"/>
      <c r="N179" s="7">
        <f t="shared" si="39"/>
        <v>-1</v>
      </c>
      <c r="O179" s="11"/>
      <c r="P179" s="6"/>
      <c r="Q179" s="2"/>
      <c r="R179" s="7">
        <f t="shared" si="40"/>
        <v>0</v>
      </c>
      <c r="S179" s="2"/>
      <c r="T179" s="6">
        <v>1400</v>
      </c>
      <c r="U179" s="2"/>
      <c r="V179" s="7">
        <f t="shared" si="41"/>
        <v>4.2966856052455073E-4</v>
      </c>
      <c r="W179" s="2"/>
      <c r="X179" s="6">
        <f t="shared" si="42"/>
        <v>-1400</v>
      </c>
      <c r="Y179" s="2"/>
      <c r="Z179" s="7">
        <f t="shared" si="43"/>
        <v>-1</v>
      </c>
    </row>
    <row r="180" spans="1:26" s="26" customFormat="1" outlineLevel="1" collapsed="1" x14ac:dyDescent="0.25">
      <c r="A180" s="25"/>
      <c r="B180" s="13" t="str">
        <f>CONCATENATE("     ","Discounts and Markdowns                           ")</f>
        <v xml:space="preserve">     Discounts and Markdowns                           </v>
      </c>
      <c r="C180" s="13"/>
      <c r="D180" s="1">
        <f>SUM(OSRRefD22_6x_0)</f>
        <v>34594.36</v>
      </c>
      <c r="E180" s="1"/>
      <c r="F180" s="5">
        <f t="shared" ref="F180:F182" si="44">IF(D$12=0,0,D180/D$12)</f>
        <v>1.2798478422736874E-2</v>
      </c>
      <c r="G180" s="1"/>
      <c r="H180" s="1">
        <f>SUM(OSRRefH22_6x_0)</f>
        <v>31725</v>
      </c>
      <c r="I180" s="1"/>
      <c r="J180" s="5">
        <f t="shared" ref="J180:J182" si="45">IF(H$12=0,0,H180/H$12)</f>
        <v>1.1047555424768832E-2</v>
      </c>
      <c r="K180" s="1"/>
      <c r="L180" s="1">
        <f t="shared" ref="L180:L182" si="46">+D180-H180</f>
        <v>2869.3600000000006</v>
      </c>
      <c r="M180" s="1"/>
      <c r="N180" s="5">
        <f t="shared" ref="N180:N182" si="47">IF(H180=0,0,L180/H180)</f>
        <v>9.0444759653270312E-2</v>
      </c>
      <c r="O180" s="13"/>
      <c r="P180" s="1">
        <f>SUM(OSRRefP22_6x_0)</f>
        <v>59083.41</v>
      </c>
      <c r="Q180" s="1"/>
      <c r="R180" s="5">
        <f t="shared" ref="R180:R182" si="48">IF(P$12=0,0,P180/P$12)</f>
        <v>1.9340259149163399E-2</v>
      </c>
      <c r="S180" s="1"/>
      <c r="T180" s="1">
        <f>SUM(OSRRefT22_6x_0)</f>
        <v>52450</v>
      </c>
      <c r="U180" s="1"/>
      <c r="V180" s="5">
        <f t="shared" ref="V180:V182" si="49">IF(T$12=0,0,T180/T$12)</f>
        <v>1.6097225713937634E-2</v>
      </c>
      <c r="W180" s="1"/>
      <c r="X180" s="1">
        <f t="shared" ref="X180:X182" si="50">+P180-T180</f>
        <v>6633.4100000000035</v>
      </c>
      <c r="Y180" s="1"/>
      <c r="Z180" s="5">
        <f t="shared" ref="Z180:Z182" si="51">IF(T180=0,0,X180/T180)</f>
        <v>0.1264711153479505</v>
      </c>
    </row>
    <row r="181" spans="1:26" s="24" customFormat="1" hidden="1" outlineLevel="2" x14ac:dyDescent="0.25">
      <c r="A181" s="27"/>
      <c r="B181" s="11" t="str">
        <f>CONCATENATE("          ", "6382", " - ", "DISCOUNTS/MARK DOWNS")</f>
        <v xml:space="preserve">          6382 - DISCOUNTS/MARK DOWNS</v>
      </c>
      <c r="C181" s="11"/>
      <c r="D181" s="6">
        <v>35400.21</v>
      </c>
      <c r="E181" s="2"/>
      <c r="F181" s="7">
        <f t="shared" si="44"/>
        <v>1.3096609500662944E-2</v>
      </c>
      <c r="G181" s="2"/>
      <c r="H181" s="6">
        <v>31725</v>
      </c>
      <c r="I181" s="2"/>
      <c r="J181" s="7">
        <f t="shared" si="45"/>
        <v>1.1047555424768832E-2</v>
      </c>
      <c r="K181" s="2"/>
      <c r="L181" s="6">
        <f t="shared" si="46"/>
        <v>3675.2099999999991</v>
      </c>
      <c r="M181" s="2"/>
      <c r="N181" s="7">
        <f t="shared" si="47"/>
        <v>0.11584586288416072</v>
      </c>
      <c r="O181" s="11"/>
      <c r="P181" s="6">
        <v>60332.97</v>
      </c>
      <c r="Q181" s="2"/>
      <c r="R181" s="7">
        <f t="shared" si="48"/>
        <v>1.9749287914131917E-2</v>
      </c>
      <c r="S181" s="2"/>
      <c r="T181" s="6">
        <v>52450</v>
      </c>
      <c r="U181" s="2"/>
      <c r="V181" s="7">
        <f t="shared" si="49"/>
        <v>1.6097225713937634E-2</v>
      </c>
      <c r="W181" s="2"/>
      <c r="X181" s="6">
        <f t="shared" si="50"/>
        <v>7882.9700000000012</v>
      </c>
      <c r="Y181" s="2"/>
      <c r="Z181" s="7">
        <f t="shared" si="51"/>
        <v>0.15029494756911346</v>
      </c>
    </row>
    <row r="182" spans="1:26" s="24" customFormat="1" hidden="1" outlineLevel="2" x14ac:dyDescent="0.25">
      <c r="A182" s="27"/>
      <c r="B182" s="11" t="str">
        <f>CONCATENATE("          ", "9175", " - ", "EARNED DISCOUNTS")</f>
        <v xml:space="preserve">          9175 - EARNED DISCOUNTS</v>
      </c>
      <c r="C182" s="11"/>
      <c r="D182" s="6">
        <v>-805.85</v>
      </c>
      <c r="E182" s="2"/>
      <c r="F182" s="7">
        <f t="shared" si="44"/>
        <v>-2.9813107792606971E-4</v>
      </c>
      <c r="G182" s="2"/>
      <c r="H182" s="6"/>
      <c r="I182" s="2"/>
      <c r="J182" s="7">
        <f t="shared" si="45"/>
        <v>0</v>
      </c>
      <c r="K182" s="2"/>
      <c r="L182" s="6">
        <f t="shared" si="46"/>
        <v>-805.85</v>
      </c>
      <c r="M182" s="2"/>
      <c r="N182" s="7">
        <f t="shared" si="47"/>
        <v>0</v>
      </c>
      <c r="O182" s="11"/>
      <c r="P182" s="6">
        <v>-1249.56</v>
      </c>
      <c r="Q182" s="2"/>
      <c r="R182" s="7">
        <f t="shared" si="48"/>
        <v>-4.0902876496851846E-4</v>
      </c>
      <c r="S182" s="2"/>
      <c r="T182" s="6"/>
      <c r="U182" s="2"/>
      <c r="V182" s="7">
        <f t="shared" si="49"/>
        <v>0</v>
      </c>
      <c r="W182" s="2"/>
      <c r="X182" s="6">
        <f t="shared" si="50"/>
        <v>-1249.56</v>
      </c>
      <c r="Y182" s="2"/>
      <c r="Z182" s="7">
        <f t="shared" si="51"/>
        <v>0</v>
      </c>
    </row>
    <row r="183" spans="1:26" s="26" customFormat="1" outlineLevel="1" collapsed="1" x14ac:dyDescent="0.25">
      <c r="A183" s="25"/>
      <c r="B183" s="13" t="str">
        <f>CONCATENATE("     ","Donations                                         ")</f>
        <v xml:space="preserve">     Donations                                         </v>
      </c>
      <c r="C183" s="13"/>
      <c r="D183" s="1">
        <f>SUM(OSRRefD22_7x_0)</f>
        <v>2691.56</v>
      </c>
      <c r="E183" s="1"/>
      <c r="F183" s="5">
        <f t="shared" ref="F183:F185" si="52">IF(D$12=0,0,D183/D$12)</f>
        <v>9.9576556940211228E-4</v>
      </c>
      <c r="G183" s="1"/>
      <c r="H183" s="1">
        <f>SUM(OSRRefH22_7x_0)</f>
        <v>1025</v>
      </c>
      <c r="I183" s="1"/>
      <c r="J183" s="5">
        <f t="shared" ref="J183:J185" si="53">IF(H$12=0,0,H183/H$12)</f>
        <v>3.5693441482704657E-4</v>
      </c>
      <c r="K183" s="1"/>
      <c r="L183" s="1">
        <f t="shared" ref="L183:L185" si="54">+D183-H183</f>
        <v>1666.56</v>
      </c>
      <c r="M183" s="1"/>
      <c r="N183" s="5">
        <f t="shared" ref="N183:N185" si="55">IF(H183=0,0,L183/H183)</f>
        <v>1.6259121951219511</v>
      </c>
      <c r="O183" s="13"/>
      <c r="P183" s="1">
        <f>SUM(OSRRefP22_7x_0)</f>
        <v>3616.98</v>
      </c>
      <c r="Q183" s="1"/>
      <c r="R183" s="5">
        <f t="shared" ref="R183:R185" si="56">IF(P$12=0,0,P183/P$12)</f>
        <v>1.1839758493516375E-3</v>
      </c>
      <c r="S183" s="1"/>
      <c r="T183" s="1">
        <f>SUM(OSRRefT22_7x_0)</f>
        <v>2125</v>
      </c>
      <c r="U183" s="1"/>
      <c r="V183" s="5">
        <f t="shared" ref="V183:V185" si="57">IF(T$12=0,0,T183/T$12)</f>
        <v>6.5217549365333594E-4</v>
      </c>
      <c r="W183" s="1"/>
      <c r="X183" s="1">
        <f t="shared" ref="X183:X185" si="58">+P183-T183</f>
        <v>1491.98</v>
      </c>
      <c r="Y183" s="1"/>
      <c r="Z183" s="5">
        <f t="shared" ref="Z183:Z185" si="59">IF(T183=0,0,X183/T183)</f>
        <v>0.7021082352941177</v>
      </c>
    </row>
    <row r="184" spans="1:26" s="24" customFormat="1" hidden="1" outlineLevel="2" x14ac:dyDescent="0.25">
      <c r="A184" s="27"/>
      <c r="B184" s="11" t="str">
        <f>CONCATENATE("          ", "6395", " - ", "DONATION-OFF CAMPUS")</f>
        <v xml:space="preserve">          6395 - DONATION-OFF CAMPUS</v>
      </c>
      <c r="C184" s="11"/>
      <c r="D184" s="6"/>
      <c r="E184" s="2"/>
      <c r="F184" s="7">
        <f t="shared" si="52"/>
        <v>0</v>
      </c>
      <c r="G184" s="2"/>
      <c r="H184" s="6">
        <v>1025</v>
      </c>
      <c r="I184" s="2"/>
      <c r="J184" s="7">
        <f t="shared" si="53"/>
        <v>3.5693441482704657E-4</v>
      </c>
      <c r="K184" s="2"/>
      <c r="L184" s="6">
        <f t="shared" si="54"/>
        <v>-1025</v>
      </c>
      <c r="M184" s="2"/>
      <c r="N184" s="7">
        <f t="shared" si="55"/>
        <v>-1</v>
      </c>
      <c r="O184" s="11"/>
      <c r="P184" s="6"/>
      <c r="Q184" s="2"/>
      <c r="R184" s="7">
        <f t="shared" si="56"/>
        <v>0</v>
      </c>
      <c r="S184" s="2"/>
      <c r="T184" s="6">
        <v>2125</v>
      </c>
      <c r="U184" s="2"/>
      <c r="V184" s="7">
        <f t="shared" si="57"/>
        <v>6.5217549365333594E-4</v>
      </c>
      <c r="W184" s="2"/>
      <c r="X184" s="6">
        <f t="shared" si="58"/>
        <v>-2125</v>
      </c>
      <c r="Y184" s="2"/>
      <c r="Z184" s="7">
        <f t="shared" si="59"/>
        <v>-1</v>
      </c>
    </row>
    <row r="185" spans="1:26" s="24" customFormat="1" hidden="1" outlineLevel="2" x14ac:dyDescent="0.25">
      <c r="A185" s="27"/>
      <c r="B185" s="11" t="str">
        <f>CONCATENATE("          ", "6399", " - ", "DONATION-ON CAMPUS")</f>
        <v xml:space="preserve">          6399 - DONATION-ON CAMPUS</v>
      </c>
      <c r="C185" s="11"/>
      <c r="D185" s="6">
        <v>2691.56</v>
      </c>
      <c r="E185" s="2"/>
      <c r="F185" s="7">
        <f t="shared" si="52"/>
        <v>9.9576556940211228E-4</v>
      </c>
      <c r="G185" s="2"/>
      <c r="H185" s="6"/>
      <c r="I185" s="2"/>
      <c r="J185" s="7">
        <f t="shared" si="53"/>
        <v>0</v>
      </c>
      <c r="K185" s="2"/>
      <c r="L185" s="6">
        <f t="shared" si="54"/>
        <v>2691.56</v>
      </c>
      <c r="M185" s="2"/>
      <c r="N185" s="7">
        <f t="shared" si="55"/>
        <v>0</v>
      </c>
      <c r="O185" s="11"/>
      <c r="P185" s="6">
        <v>3616.98</v>
      </c>
      <c r="Q185" s="2"/>
      <c r="R185" s="7">
        <f t="shared" si="56"/>
        <v>1.1839758493516375E-3</v>
      </c>
      <c r="S185" s="2"/>
      <c r="T185" s="6"/>
      <c r="U185" s="2"/>
      <c r="V185" s="7">
        <f t="shared" si="57"/>
        <v>0</v>
      </c>
      <c r="W185" s="2"/>
      <c r="X185" s="6">
        <f t="shared" si="58"/>
        <v>3616.98</v>
      </c>
      <c r="Y185" s="2"/>
      <c r="Z185" s="7">
        <f t="shared" si="59"/>
        <v>0</v>
      </c>
    </row>
    <row r="186" spans="1:26" s="26" customFormat="1" outlineLevel="1" collapsed="1" x14ac:dyDescent="0.25">
      <c r="A186" s="25"/>
      <c r="B186" s="13" t="str">
        <f>CONCATENATE("     ","Employees' Appreciation                           ")</f>
        <v xml:space="preserve">     Employees' Appreciation                           </v>
      </c>
      <c r="C186" s="13"/>
      <c r="D186" s="1">
        <f>SUM(OSRRefD22_8x_0)</f>
        <v>57.33</v>
      </c>
      <c r="E186" s="1"/>
      <c r="F186" s="5">
        <f t="shared" ref="F186:F192" si="60">IF(D$12=0,0,D186/D$12)</f>
        <v>2.1209722277721136E-5</v>
      </c>
      <c r="G186" s="1"/>
      <c r="H186" s="1">
        <f>SUM(OSRRefH22_8x_0)</f>
        <v>675</v>
      </c>
      <c r="I186" s="1"/>
      <c r="J186" s="5">
        <f t="shared" ref="J186:J192" si="61">IF(H$12=0,0,H186/H$12)</f>
        <v>2.3505437073976238E-4</v>
      </c>
      <c r="K186" s="1"/>
      <c r="L186" s="1">
        <f t="shared" ref="L186:L192" si="62">+D186-H186</f>
        <v>-617.66999999999996</v>
      </c>
      <c r="M186" s="1"/>
      <c r="N186" s="5">
        <f t="shared" ref="N186:N192" si="63">IF(H186=0,0,L186/H186)</f>
        <v>-0.91506666666666658</v>
      </c>
      <c r="O186" s="13"/>
      <c r="P186" s="1">
        <f>SUM(OSRRefP22_8x_0)</f>
        <v>450.87</v>
      </c>
      <c r="Q186" s="1"/>
      <c r="R186" s="5">
        <f t="shared" ref="R186:R192" si="64">IF(P$12=0,0,P186/P$12)</f>
        <v>1.4758699002957515E-4</v>
      </c>
      <c r="S186" s="1"/>
      <c r="T186" s="1">
        <f>SUM(OSRRefT22_8x_0)</f>
        <v>1400</v>
      </c>
      <c r="U186" s="1"/>
      <c r="V186" s="5">
        <f t="shared" ref="V186:V192" si="65">IF(T$12=0,0,T186/T$12)</f>
        <v>4.2966856052455073E-4</v>
      </c>
      <c r="W186" s="1"/>
      <c r="X186" s="1">
        <f t="shared" ref="X186:X192" si="66">+P186-T186</f>
        <v>-949.13</v>
      </c>
      <c r="Y186" s="1"/>
      <c r="Z186" s="5">
        <f t="shared" ref="Z186:Z192" si="67">IF(T186=0,0,X186/T186)</f>
        <v>-0.67794999999999994</v>
      </c>
    </row>
    <row r="187" spans="1:26" s="24" customFormat="1" hidden="1" outlineLevel="2" x14ac:dyDescent="0.25">
      <c r="A187" s="27"/>
      <c r="B187" s="11" t="str">
        <f>CONCATENATE("          ", "6277", " - ", "EMPLOYEE APPRECIATION")</f>
        <v xml:space="preserve">          6277 - EMPLOYEE APPRECIATION</v>
      </c>
      <c r="C187" s="11"/>
      <c r="D187" s="6">
        <v>57.33</v>
      </c>
      <c r="E187" s="2"/>
      <c r="F187" s="7">
        <f t="shared" si="60"/>
        <v>2.1209722277721136E-5</v>
      </c>
      <c r="G187" s="2"/>
      <c r="H187" s="6">
        <v>675</v>
      </c>
      <c r="I187" s="2"/>
      <c r="J187" s="7">
        <f t="shared" si="61"/>
        <v>2.3505437073976238E-4</v>
      </c>
      <c r="K187" s="2"/>
      <c r="L187" s="6">
        <f t="shared" si="62"/>
        <v>-617.66999999999996</v>
      </c>
      <c r="M187" s="2"/>
      <c r="N187" s="7">
        <f t="shared" si="63"/>
        <v>-0.91506666666666658</v>
      </c>
      <c r="O187" s="11"/>
      <c r="P187" s="6">
        <v>450.87</v>
      </c>
      <c r="Q187" s="2"/>
      <c r="R187" s="7">
        <f t="shared" si="64"/>
        <v>1.4758699002957515E-4</v>
      </c>
      <c r="S187" s="2"/>
      <c r="T187" s="6">
        <v>1400</v>
      </c>
      <c r="U187" s="2"/>
      <c r="V187" s="7">
        <f t="shared" si="65"/>
        <v>4.2966856052455073E-4</v>
      </c>
      <c r="W187" s="2"/>
      <c r="X187" s="6">
        <f t="shared" si="66"/>
        <v>-949.13</v>
      </c>
      <c r="Y187" s="2"/>
      <c r="Z187" s="7">
        <f t="shared" si="67"/>
        <v>-0.67794999999999994</v>
      </c>
    </row>
    <row r="188" spans="1:26" s="26" customFormat="1" outlineLevel="1" collapsed="1" x14ac:dyDescent="0.25">
      <c r="A188" s="25"/>
      <c r="B188" s="13" t="str">
        <f>CONCATENATE("     ","Equipment Rental                                  ")</f>
        <v xml:space="preserve">     Equipment Rental                                  </v>
      </c>
      <c r="C188" s="13"/>
      <c r="D188" s="1">
        <f>SUM(OSRRefD22_9x_0)</f>
        <v>1296.9000000000001</v>
      </c>
      <c r="E188" s="1"/>
      <c r="F188" s="5">
        <f t="shared" si="60"/>
        <v>4.797992119654028E-4</v>
      </c>
      <c r="G188" s="1"/>
      <c r="H188" s="1">
        <f>SUM(OSRRefH22_9x_0)</f>
        <v>3225</v>
      </c>
      <c r="I188" s="1"/>
      <c r="J188" s="5">
        <f t="shared" si="61"/>
        <v>1.1230375490899759E-3</v>
      </c>
      <c r="K188" s="1"/>
      <c r="L188" s="1">
        <f t="shared" si="62"/>
        <v>-1928.1</v>
      </c>
      <c r="M188" s="1"/>
      <c r="N188" s="5">
        <f t="shared" si="63"/>
        <v>-0.59786046511627899</v>
      </c>
      <c r="O188" s="13"/>
      <c r="P188" s="1">
        <f>SUM(OSRRefP22_9x_0)</f>
        <v>2593.8000000000002</v>
      </c>
      <c r="Q188" s="1"/>
      <c r="R188" s="5">
        <f t="shared" si="64"/>
        <v>8.4904991403001318E-4</v>
      </c>
      <c r="S188" s="1"/>
      <c r="T188" s="1">
        <f>SUM(OSRRefT22_9x_0)</f>
        <v>6450</v>
      </c>
      <c r="U188" s="1"/>
      <c r="V188" s="5">
        <f t="shared" si="65"/>
        <v>1.9795444395595374E-3</v>
      </c>
      <c r="W188" s="1"/>
      <c r="X188" s="1">
        <f t="shared" si="66"/>
        <v>-3856.2</v>
      </c>
      <c r="Y188" s="1"/>
      <c r="Z188" s="5">
        <f t="shared" si="67"/>
        <v>-0.59786046511627899</v>
      </c>
    </row>
    <row r="189" spans="1:26" s="24" customFormat="1" hidden="1" outlineLevel="2" x14ac:dyDescent="0.25">
      <c r="A189" s="27"/>
      <c r="B189" s="11" t="str">
        <f>CONCATENATE("          ", "6351", " - ", "EQUIPMENT RENTAL")</f>
        <v xml:space="preserve">          6351 - EQUIPMENT RENTAL</v>
      </c>
      <c r="C189" s="11"/>
      <c r="D189" s="6">
        <v>1296.9000000000001</v>
      </c>
      <c r="E189" s="2"/>
      <c r="F189" s="7">
        <f t="shared" si="60"/>
        <v>4.797992119654028E-4</v>
      </c>
      <c r="G189" s="2"/>
      <c r="H189" s="6">
        <v>3225</v>
      </c>
      <c r="I189" s="2"/>
      <c r="J189" s="7">
        <f t="shared" si="61"/>
        <v>1.1230375490899759E-3</v>
      </c>
      <c r="K189" s="2"/>
      <c r="L189" s="6">
        <f t="shared" si="62"/>
        <v>-1928.1</v>
      </c>
      <c r="M189" s="2"/>
      <c r="N189" s="7">
        <f t="shared" si="63"/>
        <v>-0.59786046511627899</v>
      </c>
      <c r="O189" s="11"/>
      <c r="P189" s="6">
        <v>2593.8000000000002</v>
      </c>
      <c r="Q189" s="2"/>
      <c r="R189" s="7">
        <f t="shared" si="64"/>
        <v>8.4904991403001318E-4</v>
      </c>
      <c r="S189" s="2"/>
      <c r="T189" s="6">
        <v>6450</v>
      </c>
      <c r="U189" s="2"/>
      <c r="V189" s="7">
        <f t="shared" si="65"/>
        <v>1.9795444395595374E-3</v>
      </c>
      <c r="W189" s="2"/>
      <c r="X189" s="6">
        <f t="shared" si="66"/>
        <v>-3856.2</v>
      </c>
      <c r="Y189" s="2"/>
      <c r="Z189" s="7">
        <f t="shared" si="67"/>
        <v>-0.59786046511627899</v>
      </c>
    </row>
    <row r="190" spans="1:26" s="26" customFormat="1" outlineLevel="1" collapsed="1" x14ac:dyDescent="0.25">
      <c r="A190" s="25"/>
      <c r="B190" s="13" t="str">
        <f>CONCATENATE("     ","Freight out/Postage                               ")</f>
        <v xml:space="preserve">     Freight out/Postage                               </v>
      </c>
      <c r="C190" s="13"/>
      <c r="D190" s="1">
        <f>SUM(OSRRefD22_10x_0)</f>
        <v>-12904.009999999998</v>
      </c>
      <c r="E190" s="1"/>
      <c r="F190" s="5">
        <f t="shared" si="60"/>
        <v>-4.7739485150695322E-3</v>
      </c>
      <c r="G190" s="1"/>
      <c r="H190" s="1">
        <f>SUM(OSRRefH22_10x_0)</f>
        <v>-2210</v>
      </c>
      <c r="I190" s="1"/>
      <c r="J190" s="5">
        <f t="shared" si="61"/>
        <v>-7.6958542123685165E-4</v>
      </c>
      <c r="K190" s="1"/>
      <c r="L190" s="1">
        <f t="shared" si="62"/>
        <v>-10694.009999999998</v>
      </c>
      <c r="M190" s="1"/>
      <c r="N190" s="5">
        <f t="shared" si="63"/>
        <v>4.8389185520361986</v>
      </c>
      <c r="O190" s="13"/>
      <c r="P190" s="1">
        <f>SUM(OSRRefP22_10x_0)</f>
        <v>-15135.839999999998</v>
      </c>
      <c r="Q190" s="1"/>
      <c r="R190" s="5">
        <f t="shared" si="64"/>
        <v>-4.9545391513501555E-3</v>
      </c>
      <c r="S190" s="1"/>
      <c r="T190" s="1">
        <f>SUM(OSRRefT22_10x_0)</f>
        <v>-2920</v>
      </c>
      <c r="U190" s="1"/>
      <c r="V190" s="5">
        <f t="shared" si="65"/>
        <v>-8.9616585480834865E-4</v>
      </c>
      <c r="W190" s="1"/>
      <c r="X190" s="1">
        <f t="shared" si="66"/>
        <v>-12215.839999999998</v>
      </c>
      <c r="Y190" s="1"/>
      <c r="Z190" s="5">
        <f t="shared" si="67"/>
        <v>4.1835068493150676</v>
      </c>
    </row>
    <row r="191" spans="1:26" s="24" customFormat="1" hidden="1" outlineLevel="2" x14ac:dyDescent="0.25">
      <c r="A191" s="27"/>
      <c r="B191" s="11" t="str">
        <f>CONCATENATE("          ", "6305", " - ", "FREIGHT OUT")</f>
        <v xml:space="preserve">          6305 - FREIGHT OUT</v>
      </c>
      <c r="C191" s="11"/>
      <c r="D191" s="6">
        <v>2860.04</v>
      </c>
      <c r="E191" s="2"/>
      <c r="F191" s="7">
        <f t="shared" si="60"/>
        <v>1.0580961818101092E-3</v>
      </c>
      <c r="G191" s="2"/>
      <c r="H191" s="6">
        <v>-2250</v>
      </c>
      <c r="I191" s="2"/>
      <c r="J191" s="7">
        <f t="shared" si="61"/>
        <v>-7.8351456913254125E-4</v>
      </c>
      <c r="K191" s="2"/>
      <c r="L191" s="6">
        <f t="shared" si="62"/>
        <v>5110.04</v>
      </c>
      <c r="M191" s="2"/>
      <c r="N191" s="7">
        <f t="shared" si="63"/>
        <v>-2.2711288888888888</v>
      </c>
      <c r="O191" s="11"/>
      <c r="P191" s="6">
        <v>4277.76</v>
      </c>
      <c r="Q191" s="2"/>
      <c r="R191" s="7">
        <f t="shared" si="64"/>
        <v>1.4002744082971044E-3</v>
      </c>
      <c r="S191" s="2"/>
      <c r="T191" s="6">
        <v>-3000</v>
      </c>
      <c r="U191" s="2"/>
      <c r="V191" s="7">
        <f t="shared" si="65"/>
        <v>-9.2071834398118019E-4</v>
      </c>
      <c r="W191" s="2"/>
      <c r="X191" s="6">
        <f t="shared" si="66"/>
        <v>7277.76</v>
      </c>
      <c r="Y191" s="2"/>
      <c r="Z191" s="7">
        <f t="shared" si="67"/>
        <v>-2.4259200000000001</v>
      </c>
    </row>
    <row r="192" spans="1:26" s="24" customFormat="1" hidden="1" outlineLevel="2" x14ac:dyDescent="0.25">
      <c r="A192" s="27"/>
      <c r="B192" s="11" t="str">
        <f>CONCATENATE("          ", "6307", " - ", "POSTAGE")</f>
        <v xml:space="preserve">          6307 - POSTAGE</v>
      </c>
      <c r="C192" s="11"/>
      <c r="D192" s="6">
        <v>-15764.049999999997</v>
      </c>
      <c r="E192" s="2"/>
      <c r="F192" s="7">
        <f t="shared" si="60"/>
        <v>-5.8320446968796414E-3</v>
      </c>
      <c r="G192" s="2"/>
      <c r="H192" s="6">
        <v>40</v>
      </c>
      <c r="I192" s="2"/>
      <c r="J192" s="7">
        <f t="shared" si="61"/>
        <v>1.3929147895689622E-5</v>
      </c>
      <c r="K192" s="2"/>
      <c r="L192" s="6">
        <f t="shared" si="62"/>
        <v>-15804.049999999997</v>
      </c>
      <c r="M192" s="2"/>
      <c r="N192" s="7">
        <f t="shared" si="63"/>
        <v>-395.10124999999994</v>
      </c>
      <c r="O192" s="11"/>
      <c r="P192" s="6">
        <v>-19413.599999999999</v>
      </c>
      <c r="Q192" s="2"/>
      <c r="R192" s="7">
        <f t="shared" si="64"/>
        <v>-6.3548135596472599E-3</v>
      </c>
      <c r="S192" s="2"/>
      <c r="T192" s="6">
        <v>80</v>
      </c>
      <c r="U192" s="2"/>
      <c r="V192" s="7">
        <f t="shared" si="65"/>
        <v>2.4552489172831471E-5</v>
      </c>
      <c r="W192" s="2"/>
      <c r="X192" s="6">
        <f t="shared" si="66"/>
        <v>-19493.599999999999</v>
      </c>
      <c r="Y192" s="2"/>
      <c r="Z192" s="7">
        <f t="shared" si="67"/>
        <v>-243.67</v>
      </c>
    </row>
    <row r="193" spans="1:26" s="26" customFormat="1" outlineLevel="1" collapsed="1" x14ac:dyDescent="0.25">
      <c r="A193" s="25"/>
      <c r="B193" s="13" t="str">
        <f>CONCATENATE("     ","General                                           ")</f>
        <v xml:space="preserve">     General                                           </v>
      </c>
      <c r="C193" s="13"/>
      <c r="D193" s="1">
        <f>SUM(OSRRefD22_11x_0)</f>
        <v>-15111.76</v>
      </c>
      <c r="E193" s="1"/>
      <c r="F193" s="5">
        <f t="shared" ref="F193:F206" si="68">IF(D$12=0,0,D193/D$12)</f>
        <v>-5.590724450158297E-3</v>
      </c>
      <c r="G193" s="1"/>
      <c r="H193" s="1">
        <f>SUM(OSRRefH22_11x_0)</f>
        <v>480</v>
      </c>
      <c r="I193" s="1"/>
      <c r="J193" s="5">
        <f t="shared" ref="J193:J206" si="69">IF(H$12=0,0,H193/H$12)</f>
        <v>1.6714977474827547E-4</v>
      </c>
      <c r="K193" s="1"/>
      <c r="L193" s="1">
        <f t="shared" ref="L193:L206" si="70">+D193-H193</f>
        <v>-15591.76</v>
      </c>
      <c r="M193" s="1"/>
      <c r="N193" s="5">
        <f t="shared" ref="N193:N206" si="71">IF(H193=0,0,L193/H193)</f>
        <v>-32.482833333333332</v>
      </c>
      <c r="O193" s="13"/>
      <c r="P193" s="1">
        <f>SUM(OSRRefP22_11x_0)</f>
        <v>-14335.58</v>
      </c>
      <c r="Q193" s="1"/>
      <c r="R193" s="5">
        <f t="shared" ref="R193:R206" si="72">IF(P$12=0,0,P193/P$12)</f>
        <v>-4.6925834553822104E-3</v>
      </c>
      <c r="S193" s="1"/>
      <c r="T193" s="1">
        <f>SUM(OSRRefT22_11x_0)</f>
        <v>980</v>
      </c>
      <c r="U193" s="1"/>
      <c r="V193" s="5">
        <f t="shared" ref="V193:V206" si="73">IF(T$12=0,0,T193/T$12)</f>
        <v>3.0076799236718551E-4</v>
      </c>
      <c r="W193" s="1"/>
      <c r="X193" s="1">
        <f t="shared" ref="X193:X206" si="74">+P193-T193</f>
        <v>-15315.58</v>
      </c>
      <c r="Y193" s="1"/>
      <c r="Z193" s="5">
        <f t="shared" ref="Z193:Z206" si="75">IF(T193=0,0,X193/T193)</f>
        <v>-15.628142857142857</v>
      </c>
    </row>
    <row r="194" spans="1:26" s="24" customFormat="1" hidden="1" outlineLevel="2" x14ac:dyDescent="0.25">
      <c r="A194" s="27"/>
      <c r="B194" s="11" t="str">
        <f>CONCATENATE("          ", "6279", " - ", "GENERAL EXPENSE")</f>
        <v xml:space="preserve">          6279 - GENERAL EXPENSE</v>
      </c>
      <c r="C194" s="11"/>
      <c r="D194" s="6">
        <v>-15111.76</v>
      </c>
      <c r="E194" s="2"/>
      <c r="F194" s="7">
        <f t="shared" si="68"/>
        <v>-5.590724450158297E-3</v>
      </c>
      <c r="G194" s="2"/>
      <c r="H194" s="6">
        <v>480</v>
      </c>
      <c r="I194" s="2"/>
      <c r="J194" s="7">
        <f t="shared" si="69"/>
        <v>1.6714977474827547E-4</v>
      </c>
      <c r="K194" s="2"/>
      <c r="L194" s="6">
        <f t="shared" si="70"/>
        <v>-15591.76</v>
      </c>
      <c r="M194" s="2"/>
      <c r="N194" s="7">
        <f t="shared" si="71"/>
        <v>-32.482833333333332</v>
      </c>
      <c r="O194" s="11"/>
      <c r="P194" s="6">
        <v>-14335.58</v>
      </c>
      <c r="Q194" s="2"/>
      <c r="R194" s="7">
        <f t="shared" si="72"/>
        <v>-4.6925834553822104E-3</v>
      </c>
      <c r="S194" s="2"/>
      <c r="T194" s="6">
        <v>980</v>
      </c>
      <c r="U194" s="2"/>
      <c r="V194" s="7">
        <f t="shared" si="73"/>
        <v>3.0076799236718551E-4</v>
      </c>
      <c r="W194" s="2"/>
      <c r="X194" s="6">
        <f t="shared" si="74"/>
        <v>-15315.58</v>
      </c>
      <c r="Y194" s="2"/>
      <c r="Z194" s="7">
        <f t="shared" si="75"/>
        <v>-15.628142857142857</v>
      </c>
    </row>
    <row r="195" spans="1:26" s="26" customFormat="1" outlineLevel="1" collapsed="1" x14ac:dyDescent="0.25">
      <c r="A195" s="25"/>
      <c r="B195" s="13" t="str">
        <f>CONCATENATE("     ","Insurance                                         ")</f>
        <v xml:space="preserve">     Insurance                                         </v>
      </c>
      <c r="C195" s="13"/>
      <c r="D195" s="1">
        <f>SUM(OSRRefD22_12x_0)</f>
        <v>4044.74</v>
      </c>
      <c r="E195" s="1"/>
      <c r="F195" s="5">
        <f t="shared" si="68"/>
        <v>1.4963860471932633E-3</v>
      </c>
      <c r="G195" s="1"/>
      <c r="H195" s="1">
        <f>SUM(OSRRefH22_12x_0)</f>
        <v>3815</v>
      </c>
      <c r="I195" s="1"/>
      <c r="J195" s="5">
        <f t="shared" si="69"/>
        <v>1.3284924805513976E-3</v>
      </c>
      <c r="K195" s="1"/>
      <c r="L195" s="1">
        <f t="shared" si="70"/>
        <v>229.73999999999978</v>
      </c>
      <c r="M195" s="1"/>
      <c r="N195" s="5">
        <f t="shared" si="71"/>
        <v>6.0220183486238477E-2</v>
      </c>
      <c r="O195" s="13"/>
      <c r="P195" s="1">
        <f>SUM(OSRRefP22_12x_0)</f>
        <v>8089.48</v>
      </c>
      <c r="Q195" s="1"/>
      <c r="R195" s="5">
        <f t="shared" si="72"/>
        <v>2.6479961055391743E-3</v>
      </c>
      <c r="S195" s="1"/>
      <c r="T195" s="1">
        <f>SUM(OSRRefT22_12x_0)</f>
        <v>7630</v>
      </c>
      <c r="U195" s="1"/>
      <c r="V195" s="5">
        <f t="shared" si="73"/>
        <v>2.3416936548588015E-3</v>
      </c>
      <c r="W195" s="1"/>
      <c r="X195" s="1">
        <f t="shared" si="74"/>
        <v>459.47999999999956</v>
      </c>
      <c r="Y195" s="1"/>
      <c r="Z195" s="5">
        <f t="shared" si="75"/>
        <v>6.0220183486238477E-2</v>
      </c>
    </row>
    <row r="196" spans="1:26" s="24" customFormat="1" hidden="1" outlineLevel="2" x14ac:dyDescent="0.25">
      <c r="A196" s="27"/>
      <c r="B196" s="11" t="str">
        <f>CONCATENATE("          ", "6314", " - ", "LIABILITY INSURANCE")</f>
        <v xml:space="preserve">          6314 - LIABILITY INSURANCE</v>
      </c>
      <c r="C196" s="11"/>
      <c r="D196" s="6">
        <v>4044.74</v>
      </c>
      <c r="E196" s="2"/>
      <c r="F196" s="7">
        <f t="shared" si="68"/>
        <v>1.4963860471932633E-3</v>
      </c>
      <c r="G196" s="2"/>
      <c r="H196" s="6">
        <v>3815</v>
      </c>
      <c r="I196" s="2"/>
      <c r="J196" s="7">
        <f t="shared" si="69"/>
        <v>1.3284924805513976E-3</v>
      </c>
      <c r="K196" s="2"/>
      <c r="L196" s="6">
        <f t="shared" si="70"/>
        <v>229.73999999999978</v>
      </c>
      <c r="M196" s="2"/>
      <c r="N196" s="7">
        <f t="shared" si="71"/>
        <v>6.0220183486238477E-2</v>
      </c>
      <c r="O196" s="11"/>
      <c r="P196" s="6">
        <v>8089.48</v>
      </c>
      <c r="Q196" s="2"/>
      <c r="R196" s="7">
        <f t="shared" si="72"/>
        <v>2.6479961055391743E-3</v>
      </c>
      <c r="S196" s="2"/>
      <c r="T196" s="6">
        <v>7630</v>
      </c>
      <c r="U196" s="2"/>
      <c r="V196" s="7">
        <f t="shared" si="73"/>
        <v>2.3416936548588015E-3</v>
      </c>
      <c r="W196" s="2"/>
      <c r="X196" s="6">
        <f t="shared" si="74"/>
        <v>459.47999999999956</v>
      </c>
      <c r="Y196" s="2"/>
      <c r="Z196" s="7">
        <f t="shared" si="75"/>
        <v>6.0220183486238477E-2</v>
      </c>
    </row>
    <row r="197" spans="1:26" s="26" customFormat="1" outlineLevel="1" collapsed="1" x14ac:dyDescent="0.25">
      <c r="A197" s="25"/>
      <c r="B197" s="13" t="str">
        <f>CONCATENATE("     ","Inventory Adjustment                              ")</f>
        <v xml:space="preserve">     Inventory Adjustment                              </v>
      </c>
      <c r="C197" s="13"/>
      <c r="D197" s="1">
        <f>SUM(OSRRefD22_13x_0)</f>
        <v>4250</v>
      </c>
      <c r="E197" s="1"/>
      <c r="F197" s="5">
        <f t="shared" si="68"/>
        <v>1.5723237341760828E-3</v>
      </c>
      <c r="G197" s="1"/>
      <c r="H197" s="1">
        <f>SUM(OSRRefH22_13x_0)</f>
        <v>4250</v>
      </c>
      <c r="I197" s="1"/>
      <c r="J197" s="5">
        <f t="shared" si="69"/>
        <v>1.4799719639170222E-3</v>
      </c>
      <c r="K197" s="1"/>
      <c r="L197" s="1">
        <f t="shared" si="70"/>
        <v>0</v>
      </c>
      <c r="M197" s="1"/>
      <c r="N197" s="5">
        <f t="shared" si="71"/>
        <v>0</v>
      </c>
      <c r="O197" s="13"/>
      <c r="P197" s="1">
        <f>SUM(OSRRefP22_13x_0)</f>
        <v>8400</v>
      </c>
      <c r="Q197" s="1"/>
      <c r="R197" s="5">
        <f t="shared" si="72"/>
        <v>2.7496411742817914E-3</v>
      </c>
      <c r="S197" s="1"/>
      <c r="T197" s="1">
        <f>SUM(OSRRefT22_13x_0)</f>
        <v>8400</v>
      </c>
      <c r="U197" s="1"/>
      <c r="V197" s="5">
        <f t="shared" si="73"/>
        <v>2.5780113631473046E-3</v>
      </c>
      <c r="W197" s="1"/>
      <c r="X197" s="1">
        <f t="shared" si="74"/>
        <v>0</v>
      </c>
      <c r="Y197" s="1"/>
      <c r="Z197" s="5">
        <f t="shared" si="75"/>
        <v>0</v>
      </c>
    </row>
    <row r="198" spans="1:26" s="24" customFormat="1" hidden="1" outlineLevel="2" x14ac:dyDescent="0.25">
      <c r="A198" s="27"/>
      <c r="B198" s="11" t="str">
        <f>CONCATENATE("          ", "6408", " - ", "INVENTORY ADJUSTMENT")</f>
        <v xml:space="preserve">          6408 - INVENTORY ADJUSTMENT</v>
      </c>
      <c r="C198" s="11"/>
      <c r="D198" s="6">
        <v>4250</v>
      </c>
      <c r="E198" s="2"/>
      <c r="F198" s="7">
        <f t="shared" si="68"/>
        <v>1.5723237341760828E-3</v>
      </c>
      <c r="G198" s="2"/>
      <c r="H198" s="6">
        <v>4250</v>
      </c>
      <c r="I198" s="2"/>
      <c r="J198" s="7">
        <f t="shared" si="69"/>
        <v>1.4799719639170222E-3</v>
      </c>
      <c r="K198" s="2"/>
      <c r="L198" s="6">
        <f t="shared" si="70"/>
        <v>0</v>
      </c>
      <c r="M198" s="2"/>
      <c r="N198" s="7">
        <f t="shared" si="71"/>
        <v>0</v>
      </c>
      <c r="O198" s="11"/>
      <c r="P198" s="6">
        <v>8400</v>
      </c>
      <c r="Q198" s="2"/>
      <c r="R198" s="7">
        <f t="shared" si="72"/>
        <v>2.7496411742817914E-3</v>
      </c>
      <c r="S198" s="2"/>
      <c r="T198" s="6">
        <v>8400</v>
      </c>
      <c r="U198" s="2"/>
      <c r="V198" s="7">
        <f t="shared" si="73"/>
        <v>2.5780113631473046E-3</v>
      </c>
      <c r="W198" s="2"/>
      <c r="X198" s="6">
        <f t="shared" si="74"/>
        <v>0</v>
      </c>
      <c r="Y198" s="2"/>
      <c r="Z198" s="7">
        <f t="shared" si="75"/>
        <v>0</v>
      </c>
    </row>
    <row r="199" spans="1:26" s="26" customFormat="1" outlineLevel="1" collapsed="1" x14ac:dyDescent="0.25">
      <c r="A199" s="25"/>
      <c r="B199" s="13" t="str">
        <f>CONCATENATE("     ","Professional Services                             ")</f>
        <v xml:space="preserve">     Professional Services                             </v>
      </c>
      <c r="C199" s="13"/>
      <c r="D199" s="1">
        <f>SUM(OSRRefD22_14x_0)</f>
        <v>0</v>
      </c>
      <c r="E199" s="1"/>
      <c r="F199" s="5">
        <f t="shared" si="68"/>
        <v>0</v>
      </c>
      <c r="G199" s="1"/>
      <c r="H199" s="1">
        <f>SUM(OSRRefH22_14x_0)</f>
        <v>1015</v>
      </c>
      <c r="I199" s="1"/>
      <c r="J199" s="5">
        <f t="shared" si="69"/>
        <v>3.5345212785312417E-4</v>
      </c>
      <c r="K199" s="1"/>
      <c r="L199" s="1">
        <f t="shared" si="70"/>
        <v>-1015</v>
      </c>
      <c r="M199" s="1"/>
      <c r="N199" s="5">
        <f t="shared" si="71"/>
        <v>-1</v>
      </c>
      <c r="O199" s="13"/>
      <c r="P199" s="1">
        <f>SUM(OSRRefP22_14x_0)</f>
        <v>6158.41</v>
      </c>
      <c r="Q199" s="1"/>
      <c r="R199" s="5">
        <f t="shared" si="72"/>
        <v>2.0158830600129438E-3</v>
      </c>
      <c r="S199" s="1"/>
      <c r="T199" s="1">
        <f>SUM(OSRRefT22_14x_0)</f>
        <v>4430</v>
      </c>
      <c r="U199" s="1"/>
      <c r="V199" s="5">
        <f t="shared" si="73"/>
        <v>1.3595940879455428E-3</v>
      </c>
      <c r="W199" s="1"/>
      <c r="X199" s="1">
        <f t="shared" si="74"/>
        <v>1728.4099999999999</v>
      </c>
      <c r="Y199" s="1"/>
      <c r="Z199" s="5">
        <f t="shared" si="75"/>
        <v>0.39016027088036115</v>
      </c>
    </row>
    <row r="200" spans="1:26" s="24" customFormat="1" hidden="1" outlineLevel="2" x14ac:dyDescent="0.25">
      <c r="A200" s="27"/>
      <c r="B200" s="11" t="str">
        <f>CONCATENATE("          ", "6336", " - ", "PROFESSIONAL SERVICES")</f>
        <v xml:space="preserve">          6336 - PROFESSIONAL SERVICES</v>
      </c>
      <c r="C200" s="11"/>
      <c r="D200" s="6"/>
      <c r="E200" s="2"/>
      <c r="F200" s="7">
        <f t="shared" si="68"/>
        <v>0</v>
      </c>
      <c r="G200" s="2"/>
      <c r="H200" s="6">
        <v>1015</v>
      </c>
      <c r="I200" s="2"/>
      <c r="J200" s="7">
        <f t="shared" si="69"/>
        <v>3.5345212785312417E-4</v>
      </c>
      <c r="K200" s="2"/>
      <c r="L200" s="6">
        <f t="shared" si="70"/>
        <v>-1015</v>
      </c>
      <c r="M200" s="2"/>
      <c r="N200" s="7">
        <f t="shared" si="71"/>
        <v>-1</v>
      </c>
      <c r="O200" s="11"/>
      <c r="P200" s="6">
        <v>6158.41</v>
      </c>
      <c r="Q200" s="2"/>
      <c r="R200" s="7">
        <f t="shared" si="72"/>
        <v>2.0158830600129438E-3</v>
      </c>
      <c r="S200" s="2"/>
      <c r="T200" s="6">
        <v>4430</v>
      </c>
      <c r="U200" s="2"/>
      <c r="V200" s="7">
        <f t="shared" si="73"/>
        <v>1.3595940879455428E-3</v>
      </c>
      <c r="W200" s="2"/>
      <c r="X200" s="6">
        <f t="shared" si="74"/>
        <v>1728.4099999999999</v>
      </c>
      <c r="Y200" s="2"/>
      <c r="Z200" s="7">
        <f t="shared" si="75"/>
        <v>0.39016027088036115</v>
      </c>
    </row>
    <row r="201" spans="1:26" s="26" customFormat="1" outlineLevel="1" collapsed="1" x14ac:dyDescent="0.25">
      <c r="A201" s="25"/>
      <c r="B201" s="13" t="str">
        <f>CONCATENATE("     ","Rent                                              ")</f>
        <v xml:space="preserve">     Rent                                              </v>
      </c>
      <c r="C201" s="13"/>
      <c r="D201" s="1">
        <f>SUM(OSRRefD22_15x_0)</f>
        <v>6100</v>
      </c>
      <c r="E201" s="1"/>
      <c r="F201" s="5">
        <f t="shared" si="68"/>
        <v>2.2567470066997895E-3</v>
      </c>
      <c r="G201" s="1"/>
      <c r="H201" s="1">
        <f>SUM(OSRRefH22_15x_0)</f>
        <v>6400</v>
      </c>
      <c r="I201" s="1"/>
      <c r="J201" s="5">
        <f t="shared" si="69"/>
        <v>2.2286636633103395E-3</v>
      </c>
      <c r="K201" s="1"/>
      <c r="L201" s="1">
        <f t="shared" si="70"/>
        <v>-300</v>
      </c>
      <c r="M201" s="1"/>
      <c r="N201" s="5">
        <f t="shared" si="71"/>
        <v>-4.6875E-2</v>
      </c>
      <c r="O201" s="13"/>
      <c r="P201" s="1">
        <f>SUM(OSRRefP22_15x_0)</f>
        <v>12200</v>
      </c>
      <c r="Q201" s="1"/>
      <c r="R201" s="5">
        <f t="shared" si="72"/>
        <v>3.9935264674092683E-3</v>
      </c>
      <c r="S201" s="1"/>
      <c r="T201" s="1">
        <f>SUM(OSRRefT22_15x_0)</f>
        <v>12800</v>
      </c>
      <c r="U201" s="1"/>
      <c r="V201" s="5">
        <f t="shared" si="73"/>
        <v>3.9283982676530356E-3</v>
      </c>
      <c r="W201" s="1"/>
      <c r="X201" s="1">
        <f t="shared" si="74"/>
        <v>-600</v>
      </c>
      <c r="Y201" s="1"/>
      <c r="Z201" s="5">
        <f t="shared" si="75"/>
        <v>-4.6875E-2</v>
      </c>
    </row>
    <row r="202" spans="1:26" s="24" customFormat="1" hidden="1" outlineLevel="2" x14ac:dyDescent="0.25">
      <c r="A202" s="27"/>
      <c r="B202" s="11" t="str">
        <f>CONCATENATE("          ", "6273", " - ", "RENT")</f>
        <v xml:space="preserve">          6273 - RENT</v>
      </c>
      <c r="C202" s="11"/>
      <c r="D202" s="6">
        <v>6100</v>
      </c>
      <c r="E202" s="2"/>
      <c r="F202" s="7">
        <f t="shared" si="68"/>
        <v>2.2567470066997895E-3</v>
      </c>
      <c r="G202" s="2"/>
      <c r="H202" s="6">
        <v>6400</v>
      </c>
      <c r="I202" s="2"/>
      <c r="J202" s="7">
        <f t="shared" si="69"/>
        <v>2.2286636633103395E-3</v>
      </c>
      <c r="K202" s="2"/>
      <c r="L202" s="6">
        <f t="shared" si="70"/>
        <v>-300</v>
      </c>
      <c r="M202" s="2"/>
      <c r="N202" s="7">
        <f t="shared" si="71"/>
        <v>-4.6875E-2</v>
      </c>
      <c r="O202" s="11"/>
      <c r="P202" s="6">
        <v>12200</v>
      </c>
      <c r="Q202" s="2"/>
      <c r="R202" s="7">
        <f t="shared" si="72"/>
        <v>3.9935264674092683E-3</v>
      </c>
      <c r="S202" s="2"/>
      <c r="T202" s="6">
        <v>12800</v>
      </c>
      <c r="U202" s="2"/>
      <c r="V202" s="7">
        <f t="shared" si="73"/>
        <v>3.9283982676530356E-3</v>
      </c>
      <c r="W202" s="2"/>
      <c r="X202" s="6">
        <f t="shared" si="74"/>
        <v>-600</v>
      </c>
      <c r="Y202" s="2"/>
      <c r="Z202" s="7">
        <f t="shared" si="75"/>
        <v>-4.6875E-2</v>
      </c>
    </row>
    <row r="203" spans="1:26" s="26" customFormat="1" outlineLevel="1" collapsed="1" x14ac:dyDescent="0.25">
      <c r="A203" s="25"/>
      <c r="B203" s="13" t="str">
        <f>CONCATENATE("     ","Repair and Maintenance                            ")</f>
        <v xml:space="preserve">     Repair and Maintenance                            </v>
      </c>
      <c r="C203" s="13"/>
      <c r="D203" s="1">
        <f>SUM(OSRRefD22_16x_0)</f>
        <v>14932.49</v>
      </c>
      <c r="E203" s="1"/>
      <c r="F203" s="5">
        <f t="shared" si="68"/>
        <v>5.5244019852581207E-3</v>
      </c>
      <c r="G203" s="1"/>
      <c r="H203" s="1">
        <f>SUM(OSRRefH22_16x_0)</f>
        <v>14690</v>
      </c>
      <c r="I203" s="1"/>
      <c r="J203" s="5">
        <f t="shared" si="69"/>
        <v>5.1154795646920137E-3</v>
      </c>
      <c r="K203" s="1"/>
      <c r="L203" s="1">
        <f t="shared" si="70"/>
        <v>242.48999999999978</v>
      </c>
      <c r="M203" s="1"/>
      <c r="N203" s="5">
        <f t="shared" si="71"/>
        <v>1.6507147719537086E-2</v>
      </c>
      <c r="O203" s="13"/>
      <c r="P203" s="1">
        <f>SUM(OSRRefP22_16x_0)</f>
        <v>37677.800000000003</v>
      </c>
      <c r="Q203" s="1"/>
      <c r="R203" s="5">
        <f t="shared" si="72"/>
        <v>1.2333384551946963E-2</v>
      </c>
      <c r="S203" s="1"/>
      <c r="T203" s="1">
        <f>SUM(OSRRefT22_16x_0)</f>
        <v>71515</v>
      </c>
      <c r="U203" s="1"/>
      <c r="V203" s="5">
        <f t="shared" si="73"/>
        <v>2.1948390789938033E-2</v>
      </c>
      <c r="W203" s="1"/>
      <c r="X203" s="1">
        <f t="shared" si="74"/>
        <v>-33837.199999999997</v>
      </c>
      <c r="Y203" s="1"/>
      <c r="Z203" s="5">
        <f t="shared" si="75"/>
        <v>-0.47314829056841218</v>
      </c>
    </row>
    <row r="204" spans="1:26" s="24" customFormat="1" hidden="1" outlineLevel="2" x14ac:dyDescent="0.25">
      <c r="A204" s="27"/>
      <c r="B204" s="11" t="str">
        <f>CONCATENATE("          ", "6371", " - ", "COMPUTER SOFTWARE MAINTENANCE")</f>
        <v xml:space="preserve">          6371 - COMPUTER SOFTWARE MAINTENANCE</v>
      </c>
      <c r="C204" s="11"/>
      <c r="D204" s="6">
        <v>7887.25</v>
      </c>
      <c r="E204" s="2"/>
      <c r="F204" s="7">
        <f t="shared" si="68"/>
        <v>2.9179553817365433E-3</v>
      </c>
      <c r="G204" s="2"/>
      <c r="H204" s="6"/>
      <c r="I204" s="2"/>
      <c r="J204" s="7">
        <f t="shared" si="69"/>
        <v>0</v>
      </c>
      <c r="K204" s="2"/>
      <c r="L204" s="6">
        <f t="shared" si="70"/>
        <v>7887.25</v>
      </c>
      <c r="M204" s="2"/>
      <c r="N204" s="7">
        <f t="shared" si="71"/>
        <v>0</v>
      </c>
      <c r="O204" s="11"/>
      <c r="P204" s="6">
        <v>8488.25</v>
      </c>
      <c r="Q204" s="2"/>
      <c r="R204" s="7">
        <f t="shared" si="72"/>
        <v>2.7785287735235019E-3</v>
      </c>
      <c r="S204" s="2"/>
      <c r="T204" s="6">
        <v>48535</v>
      </c>
      <c r="U204" s="2"/>
      <c r="V204" s="7">
        <f t="shared" si="73"/>
        <v>1.4895688275042193E-2</v>
      </c>
      <c r="W204" s="2"/>
      <c r="X204" s="6">
        <f t="shared" si="74"/>
        <v>-40046.75</v>
      </c>
      <c r="Y204" s="2"/>
      <c r="Z204" s="7">
        <f t="shared" si="75"/>
        <v>-0.82511074482332336</v>
      </c>
    </row>
    <row r="205" spans="1:26" s="24" customFormat="1" hidden="1" outlineLevel="2" x14ac:dyDescent="0.25">
      <c r="A205" s="27"/>
      <c r="B205" s="11" t="str">
        <f>CONCATENATE("          ", "6373", " - ", "MAINTENANCE CONTRACTS")</f>
        <v xml:space="preserve">          6373 - MAINTENANCE CONTRACTS</v>
      </c>
      <c r="C205" s="11"/>
      <c r="D205" s="6">
        <v>5896.58</v>
      </c>
      <c r="E205" s="2"/>
      <c r="F205" s="7">
        <f t="shared" si="68"/>
        <v>2.1814900434042367E-3</v>
      </c>
      <c r="G205" s="2"/>
      <c r="H205" s="6">
        <v>7115</v>
      </c>
      <c r="I205" s="2"/>
      <c r="J205" s="7">
        <f t="shared" si="69"/>
        <v>2.4776471819457917E-3</v>
      </c>
      <c r="K205" s="2"/>
      <c r="L205" s="6">
        <f t="shared" si="70"/>
        <v>-1218.42</v>
      </c>
      <c r="M205" s="2"/>
      <c r="N205" s="7">
        <f t="shared" si="71"/>
        <v>-0.17124666198172875</v>
      </c>
      <c r="O205" s="11"/>
      <c r="P205" s="6">
        <v>12375.44</v>
      </c>
      <c r="Q205" s="2"/>
      <c r="R205" s="7">
        <f t="shared" si="72"/>
        <v>4.0509546873635539E-3</v>
      </c>
      <c r="S205" s="2"/>
      <c r="T205" s="6">
        <v>14155</v>
      </c>
      <c r="U205" s="2"/>
      <c r="V205" s="7">
        <f t="shared" si="73"/>
        <v>4.3442560530178682E-3</v>
      </c>
      <c r="W205" s="2"/>
      <c r="X205" s="6">
        <f t="shared" si="74"/>
        <v>-1779.5599999999995</v>
      </c>
      <c r="Y205" s="2"/>
      <c r="Z205" s="7">
        <f t="shared" si="75"/>
        <v>-0.12571953373366299</v>
      </c>
    </row>
    <row r="206" spans="1:26" s="24" customFormat="1" hidden="1" outlineLevel="2" x14ac:dyDescent="0.25">
      <c r="A206" s="27"/>
      <c r="B206" s="11" t="str">
        <f>CONCATENATE("          ", "6375", " - ", "OUTSIDE REPAIRS &amp; MAINTENANCE")</f>
        <v xml:space="preserve">          6375 - OUTSIDE REPAIRS &amp; MAINTENANCE</v>
      </c>
      <c r="C206" s="11"/>
      <c r="D206" s="6">
        <v>1148.6600000000001</v>
      </c>
      <c r="E206" s="2"/>
      <c r="F206" s="7">
        <f t="shared" si="68"/>
        <v>4.2495656011734106E-4</v>
      </c>
      <c r="G206" s="2"/>
      <c r="H206" s="6">
        <v>7575</v>
      </c>
      <c r="I206" s="2"/>
      <c r="J206" s="7">
        <f t="shared" si="69"/>
        <v>2.637832382746222E-3</v>
      </c>
      <c r="K206" s="2"/>
      <c r="L206" s="6">
        <f t="shared" si="70"/>
        <v>-6426.34</v>
      </c>
      <c r="M206" s="2"/>
      <c r="N206" s="7">
        <f t="shared" si="71"/>
        <v>-0.84836171617161715</v>
      </c>
      <c r="O206" s="11"/>
      <c r="P206" s="6">
        <v>16814.11</v>
      </c>
      <c r="Q206" s="2"/>
      <c r="R206" s="7">
        <f t="shared" si="72"/>
        <v>5.5039010910599064E-3</v>
      </c>
      <c r="S206" s="2"/>
      <c r="T206" s="6">
        <v>8825</v>
      </c>
      <c r="U206" s="2"/>
      <c r="V206" s="7">
        <f t="shared" si="73"/>
        <v>2.7084464618779718E-3</v>
      </c>
      <c r="W206" s="2"/>
      <c r="X206" s="6">
        <f t="shared" si="74"/>
        <v>7989.1100000000006</v>
      </c>
      <c r="Y206" s="2"/>
      <c r="Z206" s="7">
        <f t="shared" si="75"/>
        <v>0.9052815864022663</v>
      </c>
    </row>
    <row r="207" spans="1:26" s="26" customFormat="1" outlineLevel="1" collapsed="1" x14ac:dyDescent="0.25">
      <c r="A207" s="25"/>
      <c r="B207" s="13" t="str">
        <f>CONCATENATE("     ","Royalty &amp; Commissions                             ")</f>
        <v xml:space="preserve">     Royalty &amp; Commissions                             </v>
      </c>
      <c r="C207" s="13"/>
      <c r="D207" s="1">
        <f>SUM(OSRRefD22_17x_0)</f>
        <v>3785.57</v>
      </c>
      <c r="E207" s="1"/>
      <c r="F207" s="5">
        <f t="shared" ref="F207:F211" si="76">IF(D$12=0,0,D207/D$12)</f>
        <v>1.4005038960905774E-3</v>
      </c>
      <c r="G207" s="1"/>
      <c r="H207" s="1">
        <f>SUM(OSRRefH22_17x_0)</f>
        <v>16485</v>
      </c>
      <c r="I207" s="1"/>
      <c r="J207" s="5">
        <f t="shared" ref="J207:J211" si="77">IF(H$12=0,0,H207/H$12)</f>
        <v>5.7405500765110853E-3</v>
      </c>
      <c r="K207" s="1"/>
      <c r="L207" s="1">
        <f t="shared" ref="L207:L211" si="78">+D207-H207</f>
        <v>-12699.43</v>
      </c>
      <c r="M207" s="1"/>
      <c r="N207" s="5">
        <f t="shared" ref="N207:N211" si="79">IF(H207=0,0,L207/H207)</f>
        <v>-0.77036275401880494</v>
      </c>
      <c r="O207" s="13"/>
      <c r="P207" s="1">
        <f>SUM(OSRRefP22_17x_0)</f>
        <v>8871.619999999999</v>
      </c>
      <c r="Q207" s="1"/>
      <c r="R207" s="5">
        <f t="shared" ref="R207:R211" si="80">IF(P$12=0,0,P207/P$12)</f>
        <v>2.9040204326883125E-3</v>
      </c>
      <c r="S207" s="1"/>
      <c r="T207" s="1">
        <f>SUM(OSRRefT22_17x_0)</f>
        <v>32970</v>
      </c>
      <c r="U207" s="1"/>
      <c r="V207" s="5">
        <f t="shared" ref="V207:V211" si="81">IF(T$12=0,0,T207/T$12)</f>
        <v>1.0118694600353169E-2</v>
      </c>
      <c r="W207" s="1"/>
      <c r="X207" s="1">
        <f t="shared" ref="X207:X211" si="82">+P207-T207</f>
        <v>-24098.38</v>
      </c>
      <c r="Y207" s="1"/>
      <c r="Z207" s="5">
        <f t="shared" ref="Z207:Z211" si="83">IF(T207=0,0,X207/T207)</f>
        <v>-0.73091841067637253</v>
      </c>
    </row>
    <row r="208" spans="1:26" s="24" customFormat="1" hidden="1" outlineLevel="2" x14ac:dyDescent="0.25">
      <c r="A208" s="27"/>
      <c r="B208" s="11" t="str">
        <f>CONCATENATE("          ", "6252", " - ", "ROYALTY DUE CSTV")</f>
        <v xml:space="preserve">          6252 - ROYALTY DUE CSTV</v>
      </c>
      <c r="C208" s="11"/>
      <c r="D208" s="6"/>
      <c r="E208" s="2"/>
      <c r="F208" s="7">
        <f t="shared" si="76"/>
        <v>0</v>
      </c>
      <c r="G208" s="2"/>
      <c r="H208" s="6">
        <v>1085</v>
      </c>
      <c r="I208" s="2"/>
      <c r="J208" s="7">
        <f t="shared" si="77"/>
        <v>3.7782813667058097E-4</v>
      </c>
      <c r="K208" s="2"/>
      <c r="L208" s="6">
        <f t="shared" si="78"/>
        <v>-1085</v>
      </c>
      <c r="M208" s="2"/>
      <c r="N208" s="7">
        <f t="shared" si="79"/>
        <v>-1</v>
      </c>
      <c r="O208" s="11"/>
      <c r="P208" s="6"/>
      <c r="Q208" s="2"/>
      <c r="R208" s="7">
        <f t="shared" si="80"/>
        <v>0</v>
      </c>
      <c r="S208" s="2"/>
      <c r="T208" s="6">
        <v>2170</v>
      </c>
      <c r="U208" s="2"/>
      <c r="V208" s="7">
        <f t="shared" si="81"/>
        <v>6.6598626881305366E-4</v>
      </c>
      <c r="W208" s="2"/>
      <c r="X208" s="6">
        <f t="shared" si="82"/>
        <v>-2170</v>
      </c>
      <c r="Y208" s="2"/>
      <c r="Z208" s="7">
        <f t="shared" si="83"/>
        <v>-1</v>
      </c>
    </row>
    <row r="209" spans="1:26" s="24" customFormat="1" hidden="1" outlineLevel="2" x14ac:dyDescent="0.25">
      <c r="A209" s="27"/>
      <c r="B209" s="11" t="str">
        <f>CONCATENATE("          ", "6253", " - ", "ROYALTY DUE ATHLETICS-LRG")</f>
        <v xml:space="preserve">          6253 - ROYALTY DUE ATHLETICS-LRG</v>
      </c>
      <c r="C209" s="11"/>
      <c r="D209" s="6"/>
      <c r="E209" s="2"/>
      <c r="F209" s="7">
        <f t="shared" si="76"/>
        <v>0</v>
      </c>
      <c r="G209" s="2"/>
      <c r="H209" s="6">
        <v>3700</v>
      </c>
      <c r="I209" s="2"/>
      <c r="J209" s="7">
        <f t="shared" si="77"/>
        <v>1.2884461803512901E-3</v>
      </c>
      <c r="K209" s="2"/>
      <c r="L209" s="6">
        <f t="shared" si="78"/>
        <v>-3700</v>
      </c>
      <c r="M209" s="2"/>
      <c r="N209" s="7">
        <f t="shared" si="79"/>
        <v>-1</v>
      </c>
      <c r="O209" s="11"/>
      <c r="P209" s="6">
        <v>4366.95</v>
      </c>
      <c r="Q209" s="2"/>
      <c r="R209" s="7">
        <f t="shared" si="80"/>
        <v>1.4294697054797463E-3</v>
      </c>
      <c r="S209" s="2"/>
      <c r="T209" s="6">
        <v>7400</v>
      </c>
      <c r="U209" s="2"/>
      <c r="V209" s="7">
        <f t="shared" si="81"/>
        <v>2.271105248486911E-3</v>
      </c>
      <c r="W209" s="2"/>
      <c r="X209" s="6">
        <f t="shared" si="82"/>
        <v>-3033.05</v>
      </c>
      <c r="Y209" s="2"/>
      <c r="Z209" s="7">
        <f t="shared" si="83"/>
        <v>-0.40987162162162166</v>
      </c>
    </row>
    <row r="210" spans="1:26" s="24" customFormat="1" hidden="1" outlineLevel="2" x14ac:dyDescent="0.25">
      <c r="A210" s="27"/>
      <c r="B210" s="11" t="str">
        <f>CONCATENATE("          ", "6254", " - ", "ROYALTY &amp; COMMISSIONS")</f>
        <v xml:space="preserve">          6254 - ROYALTY &amp; COMMISSIONS</v>
      </c>
      <c r="C210" s="11"/>
      <c r="D210" s="6">
        <v>136.4</v>
      </c>
      <c r="E210" s="2"/>
      <c r="F210" s="7">
        <f t="shared" si="76"/>
        <v>5.0462342903910045E-5</v>
      </c>
      <c r="G210" s="2"/>
      <c r="H210" s="6">
        <v>11700</v>
      </c>
      <c r="I210" s="2"/>
      <c r="J210" s="7">
        <f t="shared" si="77"/>
        <v>4.0742757594892142E-3</v>
      </c>
      <c r="K210" s="2"/>
      <c r="L210" s="6">
        <f t="shared" si="78"/>
        <v>-11563.6</v>
      </c>
      <c r="M210" s="2"/>
      <c r="N210" s="7">
        <f t="shared" si="79"/>
        <v>-0.98834188034188042</v>
      </c>
      <c r="O210" s="11"/>
      <c r="P210" s="6">
        <v>250.49</v>
      </c>
      <c r="Q210" s="2"/>
      <c r="R210" s="7">
        <f t="shared" si="80"/>
        <v>8.1994954493553086E-5</v>
      </c>
      <c r="S210" s="2"/>
      <c r="T210" s="6">
        <v>23400</v>
      </c>
      <c r="U210" s="2"/>
      <c r="V210" s="7">
        <f t="shared" si="81"/>
        <v>7.1816030830532049E-3</v>
      </c>
      <c r="W210" s="2"/>
      <c r="X210" s="6">
        <f t="shared" si="82"/>
        <v>-23149.51</v>
      </c>
      <c r="Y210" s="2"/>
      <c r="Z210" s="7">
        <f t="shared" si="83"/>
        <v>-0.98929529914529912</v>
      </c>
    </row>
    <row r="211" spans="1:26" s="24" customFormat="1" hidden="1" outlineLevel="2" x14ac:dyDescent="0.25">
      <c r="A211" s="27"/>
      <c r="B211" s="11" t="str">
        <f>CONCATENATE("          ", "6259", " - ", "ROYALTY &amp; COMMISSIONS")</f>
        <v xml:space="preserve">          6259 - ROYALTY &amp; COMMISSIONS</v>
      </c>
      <c r="C211" s="11"/>
      <c r="D211" s="6">
        <v>3649.17</v>
      </c>
      <c r="E211" s="2"/>
      <c r="F211" s="7">
        <f t="shared" si="76"/>
        <v>1.3500415531866674E-3</v>
      </c>
      <c r="G211" s="2"/>
      <c r="H211" s="6"/>
      <c r="I211" s="2"/>
      <c r="J211" s="7">
        <f t="shared" si="77"/>
        <v>0</v>
      </c>
      <c r="K211" s="2"/>
      <c r="L211" s="6">
        <f t="shared" si="78"/>
        <v>3649.17</v>
      </c>
      <c r="M211" s="2"/>
      <c r="N211" s="7">
        <f t="shared" si="79"/>
        <v>0</v>
      </c>
      <c r="O211" s="11"/>
      <c r="P211" s="6">
        <v>4254.18</v>
      </c>
      <c r="Q211" s="2"/>
      <c r="R211" s="7">
        <f t="shared" si="80"/>
        <v>1.3925557727150135E-3</v>
      </c>
      <c r="S211" s="2"/>
      <c r="T211" s="6"/>
      <c r="U211" s="2"/>
      <c r="V211" s="7">
        <f t="shared" si="81"/>
        <v>0</v>
      </c>
      <c r="W211" s="2"/>
      <c r="X211" s="6">
        <f t="shared" si="82"/>
        <v>4254.18</v>
      </c>
      <c r="Y211" s="2"/>
      <c r="Z211" s="7">
        <f t="shared" si="83"/>
        <v>0</v>
      </c>
    </row>
    <row r="212" spans="1:26" s="26" customFormat="1" outlineLevel="1" collapsed="1" x14ac:dyDescent="0.25">
      <c r="A212" s="25"/>
      <c r="B212" s="13" t="str">
        <f>CONCATENATE("     ","Services                                          ")</f>
        <v xml:space="preserve">     Services                                          </v>
      </c>
      <c r="C212" s="13"/>
      <c r="D212" s="1">
        <f>SUM(OSRRefD22_18x_0)</f>
        <v>4676.59</v>
      </c>
      <c r="E212" s="1"/>
      <c r="F212" s="5">
        <f t="shared" ref="F212:F216" si="84">IF(D$12=0,0,D212/D$12)</f>
        <v>1.7301443416495358E-3</v>
      </c>
      <c r="G212" s="1"/>
      <c r="H212" s="1">
        <f>SUM(OSRRefH22_18x_0)</f>
        <v>4432.5</v>
      </c>
      <c r="I212" s="1"/>
      <c r="J212" s="5">
        <f t="shared" ref="J212:J216" si="85">IF(H$12=0,0,H212/H$12)</f>
        <v>1.5435237011911063E-3</v>
      </c>
      <c r="K212" s="1"/>
      <c r="L212" s="1">
        <f t="shared" ref="L212:L216" si="86">+D212-H212</f>
        <v>244.09000000000015</v>
      </c>
      <c r="M212" s="1"/>
      <c r="N212" s="5">
        <f t="shared" ref="N212:N216" si="87">IF(H212=0,0,L212/H212)</f>
        <v>5.5068245910885535E-2</v>
      </c>
      <c r="O212" s="13"/>
      <c r="P212" s="1">
        <f>SUM(OSRRefP22_18x_0)</f>
        <v>9305.67</v>
      </c>
      <c r="Q212" s="1"/>
      <c r="R212" s="5">
        <f t="shared" ref="R212:R216" si="88">IF(P$12=0,0,P212/P$12)</f>
        <v>3.0461015936046236E-3</v>
      </c>
      <c r="S212" s="1"/>
      <c r="T212" s="1">
        <f>SUM(OSRRefT22_18x_0)</f>
        <v>8865</v>
      </c>
      <c r="U212" s="1"/>
      <c r="V212" s="5">
        <f t="shared" ref="V212:V216" si="89">IF(T$12=0,0,T212/T$12)</f>
        <v>2.7207227064643875E-3</v>
      </c>
      <c r="W212" s="1"/>
      <c r="X212" s="1">
        <f t="shared" ref="X212:X216" si="90">+P212-T212</f>
        <v>440.67000000000007</v>
      </c>
      <c r="Y212" s="1"/>
      <c r="Z212" s="5">
        <f t="shared" ref="Z212:Z216" si="91">IF(T212=0,0,X212/T212)</f>
        <v>4.9708967851099836E-2</v>
      </c>
    </row>
    <row r="213" spans="1:26" s="24" customFormat="1" hidden="1" outlineLevel="2" x14ac:dyDescent="0.25">
      <c r="A213" s="27"/>
      <c r="B213" s="11" t="str">
        <f>CONCATENATE("          ", "6282", " - ", "JANITORIAL/EXTERMINATOR EXPENS")</f>
        <v xml:space="preserve">          6282 - JANITORIAL/EXTERMINATOR EXPENS</v>
      </c>
      <c r="C213" s="11"/>
      <c r="D213" s="6">
        <v>266.5</v>
      </c>
      <c r="E213" s="2"/>
      <c r="F213" s="7">
        <f t="shared" si="84"/>
        <v>9.8593947095982609E-5</v>
      </c>
      <c r="G213" s="2"/>
      <c r="H213" s="6">
        <v>50</v>
      </c>
      <c r="I213" s="2"/>
      <c r="J213" s="7">
        <f t="shared" si="85"/>
        <v>1.7411434869612027E-5</v>
      </c>
      <c r="K213" s="2"/>
      <c r="L213" s="6">
        <f t="shared" si="86"/>
        <v>216.5</v>
      </c>
      <c r="M213" s="2"/>
      <c r="N213" s="7">
        <f t="shared" si="87"/>
        <v>4.33</v>
      </c>
      <c r="O213" s="11"/>
      <c r="P213" s="6">
        <v>533</v>
      </c>
      <c r="Q213" s="2"/>
      <c r="R213" s="7">
        <f t="shared" si="88"/>
        <v>1.7447127927288034E-4</v>
      </c>
      <c r="S213" s="2"/>
      <c r="T213" s="6">
        <v>100</v>
      </c>
      <c r="U213" s="2"/>
      <c r="V213" s="7">
        <f t="shared" si="89"/>
        <v>3.0690611466039341E-5</v>
      </c>
      <c r="W213" s="2"/>
      <c r="X213" s="6">
        <f t="shared" si="90"/>
        <v>433</v>
      </c>
      <c r="Y213" s="2"/>
      <c r="Z213" s="7">
        <f t="shared" si="91"/>
        <v>4.33</v>
      </c>
    </row>
    <row r="214" spans="1:26" s="24" customFormat="1" hidden="1" outlineLevel="2" x14ac:dyDescent="0.25">
      <c r="A214" s="27"/>
      <c r="B214" s="11" t="str">
        <f>CONCATENATE("          ", "6283", " - ", "PLANT SERVICE")</f>
        <v xml:space="preserve">          6283 - PLANT SERVICE</v>
      </c>
      <c r="C214" s="11"/>
      <c r="D214" s="6">
        <v>180.66</v>
      </c>
      <c r="E214" s="2"/>
      <c r="F214" s="7">
        <f t="shared" si="84"/>
        <v>6.683670725088261E-5</v>
      </c>
      <c r="G214" s="2"/>
      <c r="H214" s="6">
        <v>60</v>
      </c>
      <c r="I214" s="2"/>
      <c r="J214" s="7">
        <f t="shared" si="85"/>
        <v>2.0893721843534434E-5</v>
      </c>
      <c r="K214" s="2"/>
      <c r="L214" s="6">
        <f t="shared" si="86"/>
        <v>120.66</v>
      </c>
      <c r="M214" s="2"/>
      <c r="N214" s="7">
        <f t="shared" si="87"/>
        <v>2.0110000000000001</v>
      </c>
      <c r="O214" s="11"/>
      <c r="P214" s="6">
        <v>361.32</v>
      </c>
      <c r="Q214" s="2"/>
      <c r="R214" s="7">
        <f t="shared" si="88"/>
        <v>1.1827385108232106E-4</v>
      </c>
      <c r="S214" s="2"/>
      <c r="T214" s="6">
        <v>120</v>
      </c>
      <c r="U214" s="2"/>
      <c r="V214" s="7">
        <f t="shared" si="89"/>
        <v>3.6828733759247204E-5</v>
      </c>
      <c r="W214" s="2"/>
      <c r="X214" s="6">
        <f t="shared" si="90"/>
        <v>241.32</v>
      </c>
      <c r="Y214" s="2"/>
      <c r="Z214" s="7">
        <f t="shared" si="91"/>
        <v>2.0110000000000001</v>
      </c>
    </row>
    <row r="215" spans="1:26" s="24" customFormat="1" hidden="1" outlineLevel="2" x14ac:dyDescent="0.25">
      <c r="A215" s="27"/>
      <c r="B215" s="11" t="str">
        <f>CONCATENATE("          ", "6284", " - ", "TRASH REMOVAL EXPENSE")</f>
        <v xml:space="preserve">          6284 - TRASH REMOVAL EXPENSE</v>
      </c>
      <c r="C215" s="11"/>
      <c r="D215" s="6">
        <v>134.82</v>
      </c>
      <c r="E215" s="2"/>
      <c r="F215" s="7">
        <f t="shared" si="84"/>
        <v>4.9877808433322229E-5</v>
      </c>
      <c r="G215" s="2"/>
      <c r="H215" s="6">
        <v>62.5</v>
      </c>
      <c r="I215" s="2"/>
      <c r="J215" s="7">
        <f t="shared" si="85"/>
        <v>2.1764293587015034E-5</v>
      </c>
      <c r="K215" s="2"/>
      <c r="L215" s="6">
        <f t="shared" si="86"/>
        <v>72.319999999999993</v>
      </c>
      <c r="M215" s="2"/>
      <c r="N215" s="7">
        <f t="shared" si="87"/>
        <v>1.1571199999999999</v>
      </c>
      <c r="O215" s="11"/>
      <c r="P215" s="6">
        <v>269.64</v>
      </c>
      <c r="Q215" s="2"/>
      <c r="R215" s="7">
        <f t="shared" si="88"/>
        <v>8.8263481694445499E-5</v>
      </c>
      <c r="S215" s="2"/>
      <c r="T215" s="6">
        <v>125</v>
      </c>
      <c r="U215" s="2"/>
      <c r="V215" s="7">
        <f t="shared" si="89"/>
        <v>3.8363264332549174E-5</v>
      </c>
      <c r="W215" s="2"/>
      <c r="X215" s="6">
        <f t="shared" si="90"/>
        <v>144.63999999999999</v>
      </c>
      <c r="Y215" s="2"/>
      <c r="Z215" s="7">
        <f t="shared" si="91"/>
        <v>1.1571199999999999</v>
      </c>
    </row>
    <row r="216" spans="1:26" s="24" customFormat="1" hidden="1" outlineLevel="2" x14ac:dyDescent="0.25">
      <c r="A216" s="27"/>
      <c r="B216" s="11" t="str">
        <f>CONCATENATE("          ", "6285", " - ", "JANITORIAL SERVICES")</f>
        <v xml:space="preserve">          6285 - JANITORIAL SERVICES</v>
      </c>
      <c r="C216" s="11"/>
      <c r="D216" s="6">
        <v>4094.61</v>
      </c>
      <c r="E216" s="2"/>
      <c r="F216" s="7">
        <f t="shared" si="84"/>
        <v>1.5148358788693484E-3</v>
      </c>
      <c r="G216" s="2"/>
      <c r="H216" s="6">
        <v>4260</v>
      </c>
      <c r="I216" s="2"/>
      <c r="J216" s="7">
        <f t="shared" si="85"/>
        <v>1.4834542508909447E-3</v>
      </c>
      <c r="K216" s="2"/>
      <c r="L216" s="6">
        <f t="shared" si="86"/>
        <v>-165.38999999999987</v>
      </c>
      <c r="M216" s="2"/>
      <c r="N216" s="7">
        <f t="shared" si="87"/>
        <v>-3.8823943661971803E-2</v>
      </c>
      <c r="O216" s="11"/>
      <c r="P216" s="6">
        <v>8141.71</v>
      </c>
      <c r="Q216" s="2"/>
      <c r="R216" s="7">
        <f t="shared" si="88"/>
        <v>2.6650929815549766E-3</v>
      </c>
      <c r="S216" s="2"/>
      <c r="T216" s="6">
        <v>8520</v>
      </c>
      <c r="U216" s="2"/>
      <c r="V216" s="7">
        <f t="shared" si="89"/>
        <v>2.6148400969065516E-3</v>
      </c>
      <c r="W216" s="2"/>
      <c r="X216" s="6">
        <f t="shared" si="90"/>
        <v>-378.28999999999996</v>
      </c>
      <c r="Y216" s="2"/>
      <c r="Z216" s="7">
        <f t="shared" si="91"/>
        <v>-4.4400234741784034E-2</v>
      </c>
    </row>
    <row r="217" spans="1:26" s="26" customFormat="1" outlineLevel="1" collapsed="1" x14ac:dyDescent="0.25">
      <c r="A217" s="25"/>
      <c r="B217" s="13" t="str">
        <f>CONCATENATE("     ","Subscriptions &amp; Dues                              ")</f>
        <v xml:space="preserve">     Subscriptions &amp; Dues                              </v>
      </c>
      <c r="C217" s="13"/>
      <c r="D217" s="1">
        <f>SUM(OSRRefD22_19x_0)</f>
        <v>529.98</v>
      </c>
      <c r="E217" s="1"/>
      <c r="F217" s="5">
        <f t="shared" ref="F217:F219" si="92">IF(D$12=0,0,D217/D$12)</f>
        <v>1.9607061944438599E-4</v>
      </c>
      <c r="G217" s="1"/>
      <c r="H217" s="1">
        <f>SUM(OSRRefH22_19x_0)</f>
        <v>1015</v>
      </c>
      <c r="I217" s="1"/>
      <c r="J217" s="5">
        <f t="shared" ref="J217:J219" si="93">IF(H$12=0,0,H217/H$12)</f>
        <v>3.5345212785312417E-4</v>
      </c>
      <c r="K217" s="1"/>
      <c r="L217" s="1">
        <f t="shared" ref="L217:L219" si="94">+D217-H217</f>
        <v>-485.02</v>
      </c>
      <c r="M217" s="1"/>
      <c r="N217" s="5">
        <f t="shared" ref="N217:N219" si="95">IF(H217=0,0,L217/H217)</f>
        <v>-0.47785221674876843</v>
      </c>
      <c r="O217" s="13"/>
      <c r="P217" s="1">
        <f>SUM(OSRRefP22_19x_0)</f>
        <v>992.23</v>
      </c>
      <c r="Q217" s="1"/>
      <c r="R217" s="5">
        <f t="shared" ref="R217:R219" si="96">IF(P$12=0,0,P217/P$12)</f>
        <v>3.2479481694733595E-4</v>
      </c>
      <c r="S217" s="1"/>
      <c r="T217" s="1">
        <f>SUM(OSRRefT22_19x_0)</f>
        <v>3700</v>
      </c>
      <c r="U217" s="1"/>
      <c r="V217" s="5">
        <f t="shared" ref="V217:V219" si="97">IF(T$12=0,0,T217/T$12)</f>
        <v>1.1355526242434555E-3</v>
      </c>
      <c r="W217" s="1"/>
      <c r="X217" s="1">
        <f t="shared" ref="X217:X219" si="98">+P217-T217</f>
        <v>-2707.77</v>
      </c>
      <c r="Y217" s="1"/>
      <c r="Z217" s="5">
        <f t="shared" ref="Z217:Z219" si="99">IF(T217=0,0,X217/T217)</f>
        <v>-0.73182972972972971</v>
      </c>
    </row>
    <row r="218" spans="1:26" s="24" customFormat="1" hidden="1" outlineLevel="2" x14ac:dyDescent="0.25">
      <c r="A218" s="27"/>
      <c r="B218" s="11" t="str">
        <f>CONCATENATE("          ", "6258", " - ", "MEMBERSHIP DUES")</f>
        <v xml:space="preserve">          6258 - MEMBERSHIP DUES</v>
      </c>
      <c r="C218" s="11"/>
      <c r="D218" s="6">
        <v>370</v>
      </c>
      <c r="E218" s="2"/>
      <c r="F218" s="7">
        <f t="shared" si="92"/>
        <v>1.3688465450474132E-4</v>
      </c>
      <c r="G218" s="2"/>
      <c r="H218" s="6">
        <v>500</v>
      </c>
      <c r="I218" s="2"/>
      <c r="J218" s="7">
        <f t="shared" si="93"/>
        <v>1.7411434869612027E-4</v>
      </c>
      <c r="K218" s="2"/>
      <c r="L218" s="6">
        <f t="shared" si="94"/>
        <v>-130</v>
      </c>
      <c r="M218" s="2"/>
      <c r="N218" s="7">
        <f t="shared" si="95"/>
        <v>-0.26</v>
      </c>
      <c r="O218" s="11"/>
      <c r="P218" s="6">
        <v>658.85</v>
      </c>
      <c r="Q218" s="2"/>
      <c r="R218" s="7">
        <f t="shared" si="96"/>
        <v>2.156667961518522E-4</v>
      </c>
      <c r="S218" s="2"/>
      <c r="T218" s="6">
        <v>2395</v>
      </c>
      <c r="U218" s="2"/>
      <c r="V218" s="7">
        <f t="shared" si="97"/>
        <v>7.3504014461164217E-4</v>
      </c>
      <c r="W218" s="2"/>
      <c r="X218" s="6">
        <f t="shared" si="98"/>
        <v>-1736.15</v>
      </c>
      <c r="Y218" s="2"/>
      <c r="Z218" s="7">
        <f t="shared" si="99"/>
        <v>-0.72490605427974952</v>
      </c>
    </row>
    <row r="219" spans="1:26" s="24" customFormat="1" hidden="1" outlineLevel="2" x14ac:dyDescent="0.25">
      <c r="A219" s="27"/>
      <c r="B219" s="11" t="str">
        <f>CONCATENATE("          ", "6275", " - ", "SUBSCRIPTIONS")</f>
        <v xml:space="preserve">          6275 - SUBSCRIPTIONS</v>
      </c>
      <c r="C219" s="11"/>
      <c r="D219" s="6">
        <v>159.97999999999999</v>
      </c>
      <c r="E219" s="2"/>
      <c r="F219" s="7">
        <f t="shared" si="92"/>
        <v>5.9185964939644637E-5</v>
      </c>
      <c r="G219" s="2"/>
      <c r="H219" s="6">
        <v>515</v>
      </c>
      <c r="I219" s="2"/>
      <c r="J219" s="7">
        <f t="shared" si="93"/>
        <v>1.7933777915700387E-4</v>
      </c>
      <c r="K219" s="2"/>
      <c r="L219" s="6">
        <f t="shared" si="94"/>
        <v>-355.02</v>
      </c>
      <c r="M219" s="2"/>
      <c r="N219" s="7">
        <f t="shared" si="95"/>
        <v>-0.68935922330097088</v>
      </c>
      <c r="O219" s="11"/>
      <c r="P219" s="6">
        <v>333.38</v>
      </c>
      <c r="Q219" s="2"/>
      <c r="R219" s="7">
        <f t="shared" si="96"/>
        <v>1.0912802079548376E-4</v>
      </c>
      <c r="S219" s="2"/>
      <c r="T219" s="6">
        <v>1305</v>
      </c>
      <c r="U219" s="2"/>
      <c r="V219" s="7">
        <f t="shared" si="97"/>
        <v>4.0051247963181338E-4</v>
      </c>
      <c r="W219" s="2"/>
      <c r="X219" s="6">
        <f t="shared" si="98"/>
        <v>-971.62</v>
      </c>
      <c r="Y219" s="2"/>
      <c r="Z219" s="7">
        <f t="shared" si="99"/>
        <v>-0.74453639846743291</v>
      </c>
    </row>
    <row r="220" spans="1:26" s="26" customFormat="1" outlineLevel="1" collapsed="1" x14ac:dyDescent="0.25">
      <c r="A220" s="25"/>
      <c r="B220" s="13" t="str">
        <f>CONCATENATE("     ","Supplies                                          ")</f>
        <v xml:space="preserve">     Supplies                                          </v>
      </c>
      <c r="C220" s="13"/>
      <c r="D220" s="1">
        <f>SUM(OSRRefD22_20x_0)</f>
        <v>5503.29</v>
      </c>
      <c r="E220" s="1"/>
      <c r="F220" s="5">
        <f t="shared" ref="F220:F227" si="100">IF(D$12=0,0,D220/D$12)</f>
        <v>2.0359890548362104E-3</v>
      </c>
      <c r="G220" s="1"/>
      <c r="H220" s="1">
        <f>SUM(OSRRefH22_20x_0)</f>
        <v>16310</v>
      </c>
      <c r="I220" s="1"/>
      <c r="J220" s="5">
        <f t="shared" ref="J220:J227" si="101">IF(H$12=0,0,H220/H$12)</f>
        <v>5.6796100544674434E-3</v>
      </c>
      <c r="K220" s="1"/>
      <c r="L220" s="1">
        <f t="shared" ref="L220:L227" si="102">+D220-H220</f>
        <v>-10806.71</v>
      </c>
      <c r="M220" s="1"/>
      <c r="N220" s="5">
        <f t="shared" ref="N220:N227" si="103">IF(H220=0,0,L220/H220)</f>
        <v>-0.66258185162477001</v>
      </c>
      <c r="O220" s="13"/>
      <c r="P220" s="1">
        <f>SUM(OSRRefP22_20x_0)</f>
        <v>12448.82</v>
      </c>
      <c r="Q220" s="1"/>
      <c r="R220" s="5">
        <f t="shared" ref="R220:R227" si="104">IF(P$12=0,0,P220/P$12)</f>
        <v>4.0749747670503159E-3</v>
      </c>
      <c r="S220" s="1"/>
      <c r="T220" s="1">
        <f>SUM(OSRRefT22_20x_0)</f>
        <v>28045</v>
      </c>
      <c r="U220" s="1"/>
      <c r="V220" s="5">
        <f t="shared" ref="V220:V227" si="105">IF(T$12=0,0,T220/T$12)</f>
        <v>8.6071819856507331E-3</v>
      </c>
      <c r="W220" s="1"/>
      <c r="X220" s="1">
        <f t="shared" ref="X220:X227" si="106">+P220-T220</f>
        <v>-15596.18</v>
      </c>
      <c r="Y220" s="1"/>
      <c r="Z220" s="5">
        <f t="shared" ref="Z220:Z227" si="107">IF(T220=0,0,X220/T220)</f>
        <v>-0.55611267605633807</v>
      </c>
    </row>
    <row r="221" spans="1:26" s="24" customFormat="1" hidden="1" outlineLevel="2" x14ac:dyDescent="0.25">
      <c r="A221" s="27"/>
      <c r="B221" s="11" t="str">
        <f>CONCATENATE("          ", "6234", " - ", "EXPENDABLE SUPPLIES &amp; EQUIPMEN")</f>
        <v xml:space="preserve">          6234 - EXPENDABLE SUPPLIES &amp; EQUIPMEN</v>
      </c>
      <c r="C221" s="11"/>
      <c r="D221" s="6">
        <v>1014.02</v>
      </c>
      <c r="E221" s="2"/>
      <c r="F221" s="7">
        <f t="shared" si="100"/>
        <v>3.751453442186427E-4</v>
      </c>
      <c r="G221" s="2"/>
      <c r="H221" s="6">
        <v>300</v>
      </c>
      <c r="I221" s="2"/>
      <c r="J221" s="7">
        <f t="shared" si="101"/>
        <v>1.0446860921767216E-4</v>
      </c>
      <c r="K221" s="2"/>
      <c r="L221" s="6">
        <f t="shared" si="102"/>
        <v>714.02</v>
      </c>
      <c r="M221" s="2"/>
      <c r="N221" s="7">
        <f t="shared" si="103"/>
        <v>2.3800666666666666</v>
      </c>
      <c r="O221" s="11"/>
      <c r="P221" s="6">
        <v>1716.1</v>
      </c>
      <c r="Q221" s="2"/>
      <c r="R221" s="7">
        <f t="shared" si="104"/>
        <v>5.617451451410693E-4</v>
      </c>
      <c r="S221" s="2"/>
      <c r="T221" s="6">
        <v>1600</v>
      </c>
      <c r="U221" s="2"/>
      <c r="V221" s="7">
        <f t="shared" si="105"/>
        <v>4.9104978345662945E-4</v>
      </c>
      <c r="W221" s="2"/>
      <c r="X221" s="6">
        <f t="shared" si="106"/>
        <v>116.09999999999991</v>
      </c>
      <c r="Y221" s="2"/>
      <c r="Z221" s="7">
        <f t="shared" si="107"/>
        <v>7.2562499999999946E-2</v>
      </c>
    </row>
    <row r="222" spans="1:26" s="24" customFormat="1" hidden="1" outlineLevel="2" x14ac:dyDescent="0.25">
      <c r="A222" s="27"/>
      <c r="B222" s="11" t="str">
        <f>CONCATENATE("          ", "6237", " - ", "JANITORIAL SUPPLIES")</f>
        <v xml:space="preserve">          6237 - JANITORIAL SUPPLIES</v>
      </c>
      <c r="C222" s="11"/>
      <c r="D222" s="6">
        <v>326.57</v>
      </c>
      <c r="E222" s="2"/>
      <c r="F222" s="7">
        <f t="shared" si="100"/>
        <v>1.2081735573409021E-4</v>
      </c>
      <c r="G222" s="2"/>
      <c r="H222" s="6">
        <v>35</v>
      </c>
      <c r="I222" s="2"/>
      <c r="J222" s="7">
        <f t="shared" si="101"/>
        <v>1.2188004408728419E-5</v>
      </c>
      <c r="K222" s="2"/>
      <c r="L222" s="6">
        <f t="shared" si="102"/>
        <v>291.57</v>
      </c>
      <c r="M222" s="2"/>
      <c r="N222" s="7">
        <f t="shared" si="103"/>
        <v>8.3305714285714281</v>
      </c>
      <c r="O222" s="11"/>
      <c r="P222" s="6">
        <v>775.4</v>
      </c>
      <c r="Q222" s="2"/>
      <c r="R222" s="7">
        <f t="shared" si="104"/>
        <v>2.5381806744501203E-4</v>
      </c>
      <c r="S222" s="2"/>
      <c r="T222" s="6">
        <v>70</v>
      </c>
      <c r="U222" s="2"/>
      <c r="V222" s="7">
        <f t="shared" si="105"/>
        <v>2.1483428026227537E-5</v>
      </c>
      <c r="W222" s="2"/>
      <c r="X222" s="6">
        <f t="shared" si="106"/>
        <v>705.4</v>
      </c>
      <c r="Y222" s="2"/>
      <c r="Z222" s="7">
        <f t="shared" si="107"/>
        <v>10.077142857142857</v>
      </c>
    </row>
    <row r="223" spans="1:26" s="24" customFormat="1" hidden="1" outlineLevel="2" x14ac:dyDescent="0.25">
      <c r="A223" s="27"/>
      <c r="B223" s="11" t="str">
        <f>CONCATENATE("          ", "6241", " - ", "OFFICE EXPENSE")</f>
        <v xml:space="preserve">          6241 - OFFICE EXPENSE</v>
      </c>
      <c r="C223" s="11"/>
      <c r="D223" s="6">
        <v>4619.84</v>
      </c>
      <c r="E223" s="2"/>
      <c r="F223" s="7">
        <f t="shared" si="100"/>
        <v>1.7091491953167141E-3</v>
      </c>
      <c r="G223" s="2"/>
      <c r="H223" s="6">
        <v>800</v>
      </c>
      <c r="I223" s="2"/>
      <c r="J223" s="7">
        <f t="shared" si="101"/>
        <v>2.7858295791379243E-4</v>
      </c>
      <c r="K223" s="2"/>
      <c r="L223" s="6">
        <f t="shared" si="102"/>
        <v>3819.84</v>
      </c>
      <c r="M223" s="2"/>
      <c r="N223" s="7">
        <f t="shared" si="103"/>
        <v>4.7747999999999999</v>
      </c>
      <c r="O223" s="11"/>
      <c r="P223" s="6">
        <v>7017.51</v>
      </c>
      <c r="Q223" s="2"/>
      <c r="R223" s="7">
        <f t="shared" si="104"/>
        <v>2.2970993377302638E-3</v>
      </c>
      <c r="S223" s="2"/>
      <c r="T223" s="6">
        <v>2025</v>
      </c>
      <c r="U223" s="2"/>
      <c r="V223" s="7">
        <f t="shared" si="105"/>
        <v>6.2148488218729658E-4</v>
      </c>
      <c r="W223" s="2"/>
      <c r="X223" s="6">
        <f t="shared" si="106"/>
        <v>4992.51</v>
      </c>
      <c r="Y223" s="2"/>
      <c r="Z223" s="7">
        <f t="shared" si="107"/>
        <v>2.4654370370370371</v>
      </c>
    </row>
    <row r="224" spans="1:26" s="24" customFormat="1" hidden="1" outlineLevel="2" x14ac:dyDescent="0.25">
      <c r="A224" s="27"/>
      <c r="B224" s="11" t="str">
        <f>CONCATENATE("          ", "6243", " - ", "PAPER SUPPLIES")</f>
        <v xml:space="preserve">          6243 - PAPER SUPPLIES</v>
      </c>
      <c r="C224" s="11"/>
      <c r="D224" s="6">
        <v>1496.95</v>
      </c>
      <c r="E224" s="2"/>
      <c r="F224" s="7">
        <f t="shared" si="100"/>
        <v>5.5380941502938526E-4</v>
      </c>
      <c r="G224" s="2"/>
      <c r="H224" s="6">
        <v>750</v>
      </c>
      <c r="I224" s="2"/>
      <c r="J224" s="7">
        <f t="shared" si="101"/>
        <v>2.6117152304418043E-4</v>
      </c>
      <c r="K224" s="2"/>
      <c r="L224" s="6">
        <f t="shared" si="102"/>
        <v>746.95</v>
      </c>
      <c r="M224" s="2"/>
      <c r="N224" s="7">
        <f t="shared" si="103"/>
        <v>0.99593333333333345</v>
      </c>
      <c r="O224" s="11"/>
      <c r="P224" s="6">
        <v>2658.29</v>
      </c>
      <c r="Q224" s="2"/>
      <c r="R224" s="7">
        <f t="shared" si="104"/>
        <v>8.7015995680732663E-4</v>
      </c>
      <c r="S224" s="2"/>
      <c r="T224" s="6">
        <v>1000</v>
      </c>
      <c r="U224" s="2"/>
      <c r="V224" s="7">
        <f t="shared" si="105"/>
        <v>3.069061146603934E-4</v>
      </c>
      <c r="W224" s="2"/>
      <c r="X224" s="6">
        <f t="shared" si="106"/>
        <v>1658.29</v>
      </c>
      <c r="Y224" s="2"/>
      <c r="Z224" s="7">
        <f t="shared" si="107"/>
        <v>1.65829</v>
      </c>
    </row>
    <row r="225" spans="1:26" s="24" customFormat="1" hidden="1" outlineLevel="2" x14ac:dyDescent="0.25">
      <c r="A225" s="27"/>
      <c r="B225" s="11" t="str">
        <f>CONCATENATE("          ", "6245", " - ", "PRINTING")</f>
        <v xml:space="preserve">          6245 - PRINTING</v>
      </c>
      <c r="C225" s="11"/>
      <c r="D225" s="6">
        <v>4985.1099999999997</v>
      </c>
      <c r="E225" s="2"/>
      <c r="F225" s="7">
        <f t="shared" si="100"/>
        <v>1.8442839459949486E-3</v>
      </c>
      <c r="G225" s="2"/>
      <c r="H225" s="6">
        <v>500</v>
      </c>
      <c r="I225" s="2"/>
      <c r="J225" s="7">
        <f t="shared" si="101"/>
        <v>1.7411434869612027E-4</v>
      </c>
      <c r="K225" s="2"/>
      <c r="L225" s="6">
        <f t="shared" si="102"/>
        <v>4485.1099999999997</v>
      </c>
      <c r="M225" s="2"/>
      <c r="N225" s="7">
        <f t="shared" si="103"/>
        <v>8.9702199999999994</v>
      </c>
      <c r="O225" s="11"/>
      <c r="P225" s="6">
        <v>4985.1099999999997</v>
      </c>
      <c r="Q225" s="2"/>
      <c r="R225" s="7">
        <f t="shared" si="104"/>
        <v>1.6318171088480834E-3</v>
      </c>
      <c r="S225" s="2"/>
      <c r="T225" s="6">
        <v>600</v>
      </c>
      <c r="U225" s="2"/>
      <c r="V225" s="7">
        <f t="shared" si="105"/>
        <v>1.8414366879623603E-4</v>
      </c>
      <c r="W225" s="2"/>
      <c r="X225" s="6">
        <f t="shared" si="106"/>
        <v>4385.1099999999997</v>
      </c>
      <c r="Y225" s="2"/>
      <c r="Z225" s="7">
        <f t="shared" si="107"/>
        <v>7.3085166666666659</v>
      </c>
    </row>
    <row r="226" spans="1:26" s="24" customFormat="1" hidden="1" outlineLevel="2" x14ac:dyDescent="0.25">
      <c r="A226" s="27"/>
      <c r="B226" s="11" t="str">
        <f>CONCATENATE("          ", "6247", " - ", "STORE SUPPLIES")</f>
        <v xml:space="preserve">          6247 - STORE SUPPLIES</v>
      </c>
      <c r="C226" s="11"/>
      <c r="D226" s="6">
        <v>-6939.2</v>
      </c>
      <c r="E226" s="2"/>
      <c r="F226" s="7">
        <f t="shared" si="100"/>
        <v>-2.5672162014575704E-3</v>
      </c>
      <c r="G226" s="2"/>
      <c r="H226" s="6">
        <v>12925</v>
      </c>
      <c r="I226" s="2"/>
      <c r="J226" s="7">
        <f t="shared" si="101"/>
        <v>4.500855913794709E-3</v>
      </c>
      <c r="K226" s="2"/>
      <c r="L226" s="6">
        <f t="shared" si="102"/>
        <v>-19864.2</v>
      </c>
      <c r="M226" s="2"/>
      <c r="N226" s="7">
        <f t="shared" si="103"/>
        <v>-1.5368820116054158</v>
      </c>
      <c r="O226" s="11"/>
      <c r="P226" s="6">
        <v>-4703.59</v>
      </c>
      <c r="Q226" s="2"/>
      <c r="R226" s="7">
        <f t="shared" si="104"/>
        <v>-1.5396648489214395E-3</v>
      </c>
      <c r="S226" s="2"/>
      <c r="T226" s="6">
        <v>20750</v>
      </c>
      <c r="U226" s="2"/>
      <c r="V226" s="7">
        <f t="shared" si="105"/>
        <v>6.3683018792031624E-3</v>
      </c>
      <c r="W226" s="2"/>
      <c r="X226" s="6">
        <f t="shared" si="106"/>
        <v>-25453.59</v>
      </c>
      <c r="Y226" s="2"/>
      <c r="Z226" s="7">
        <f t="shared" si="107"/>
        <v>-1.2266790361445783</v>
      </c>
    </row>
    <row r="227" spans="1:26" s="24" customFormat="1" hidden="1" outlineLevel="2" x14ac:dyDescent="0.25">
      <c r="A227" s="27"/>
      <c r="B227" s="11" t="str">
        <f>CONCATENATE("          ", "6248", " - ", "UNIFORMS")</f>
        <v xml:space="preserve">          6248 - UNIFORMS</v>
      </c>
      <c r="C227" s="11"/>
      <c r="D227" s="6"/>
      <c r="E227" s="2"/>
      <c r="F227" s="7">
        <f t="shared" si="100"/>
        <v>0</v>
      </c>
      <c r="G227" s="2"/>
      <c r="H227" s="6">
        <v>1000</v>
      </c>
      <c r="I227" s="2"/>
      <c r="J227" s="7">
        <f t="shared" si="101"/>
        <v>3.4822869739224054E-4</v>
      </c>
      <c r="K227" s="2"/>
      <c r="L227" s="6">
        <f t="shared" si="102"/>
        <v>-1000</v>
      </c>
      <c r="M227" s="2"/>
      <c r="N227" s="7">
        <f t="shared" si="103"/>
        <v>-1</v>
      </c>
      <c r="O227" s="11"/>
      <c r="P227" s="6"/>
      <c r="Q227" s="2"/>
      <c r="R227" s="7">
        <f t="shared" si="104"/>
        <v>0</v>
      </c>
      <c r="S227" s="2"/>
      <c r="T227" s="6">
        <v>2000</v>
      </c>
      <c r="U227" s="2"/>
      <c r="V227" s="7">
        <f t="shared" si="105"/>
        <v>6.1381222932078679E-4</v>
      </c>
      <c r="W227" s="2"/>
      <c r="X227" s="6">
        <f t="shared" si="106"/>
        <v>-2000</v>
      </c>
      <c r="Y227" s="2"/>
      <c r="Z227" s="7">
        <f t="shared" si="107"/>
        <v>-1</v>
      </c>
    </row>
    <row r="228" spans="1:26" s="26" customFormat="1" outlineLevel="1" collapsed="1" x14ac:dyDescent="0.25">
      <c r="A228" s="25"/>
      <c r="B228" s="13" t="str">
        <f>CONCATENATE("     ","Telephone/Data Lines                              ")</f>
        <v xml:space="preserve">     Telephone/Data Lines                              </v>
      </c>
      <c r="C228" s="13"/>
      <c r="D228" s="1">
        <f>SUM(OSRRefD22_21x_0)</f>
        <v>2628.1</v>
      </c>
      <c r="E228" s="1"/>
      <c r="F228" s="5">
        <f t="shared" ref="F228:F230" si="108">IF(D$12=0,0,D228/D$12)</f>
        <v>9.7228800136192075E-4</v>
      </c>
      <c r="G228" s="1"/>
      <c r="H228" s="1">
        <f>SUM(OSRRefH22_21x_0)</f>
        <v>2865</v>
      </c>
      <c r="I228" s="1"/>
      <c r="J228" s="5">
        <f t="shared" ref="J228:J230" si="109">IF(H$12=0,0,H228/H$12)</f>
        <v>9.9767521802876925E-4</v>
      </c>
      <c r="K228" s="1"/>
      <c r="L228" s="1">
        <f t="shared" ref="L228:L230" si="110">+D228-H228</f>
        <v>-236.90000000000009</v>
      </c>
      <c r="M228" s="1"/>
      <c r="N228" s="5">
        <f t="shared" ref="N228:N230" si="111">IF(H228=0,0,L228/H228)</f>
        <v>-8.2687609075043661E-2</v>
      </c>
      <c r="O228" s="13"/>
      <c r="P228" s="1">
        <f>SUM(OSRRefP22_21x_0)</f>
        <v>4417.37</v>
      </c>
      <c r="Q228" s="1"/>
      <c r="R228" s="5">
        <f t="shared" ref="R228:R230" si="112">IF(P$12=0,0,P228/P$12)</f>
        <v>1.4459740992901378E-3</v>
      </c>
      <c r="S228" s="1"/>
      <c r="T228" s="1">
        <f>SUM(OSRRefT22_21x_0)</f>
        <v>5230</v>
      </c>
      <c r="U228" s="1"/>
      <c r="V228" s="5">
        <f t="shared" ref="V228:V230" si="113">IF(T$12=0,0,T228/T$12)</f>
        <v>1.6051189796738574E-3</v>
      </c>
      <c r="W228" s="1"/>
      <c r="X228" s="1">
        <f t="shared" ref="X228:X230" si="114">+P228-T228</f>
        <v>-812.63000000000011</v>
      </c>
      <c r="Y228" s="1"/>
      <c r="Z228" s="5">
        <f t="shared" ref="Z228:Z230" si="115">IF(T228=0,0,X228/T228)</f>
        <v>-0.15537858508604208</v>
      </c>
    </row>
    <row r="229" spans="1:26" s="24" customFormat="1" hidden="1" outlineLevel="2" x14ac:dyDescent="0.25">
      <c r="A229" s="27"/>
      <c r="B229" s="11" t="str">
        <f>CONCATENATE("          ", "6303", " - ", "DATA PHONE LINES")</f>
        <v xml:space="preserve">          6303 - DATA PHONE LINES</v>
      </c>
      <c r="C229" s="11"/>
      <c r="D229" s="6">
        <v>295</v>
      </c>
      <c r="E229" s="2"/>
      <c r="F229" s="7">
        <f t="shared" si="108"/>
        <v>1.0913776507810457E-4</v>
      </c>
      <c r="G229" s="2"/>
      <c r="H229" s="6">
        <v>875</v>
      </c>
      <c r="I229" s="2"/>
      <c r="J229" s="7">
        <f t="shared" si="109"/>
        <v>3.0470011021821046E-4</v>
      </c>
      <c r="K229" s="2"/>
      <c r="L229" s="6">
        <f t="shared" si="110"/>
        <v>-580</v>
      </c>
      <c r="M229" s="2"/>
      <c r="N229" s="7">
        <f t="shared" si="111"/>
        <v>-0.66285714285714281</v>
      </c>
      <c r="O229" s="11"/>
      <c r="P229" s="6">
        <v>590</v>
      </c>
      <c r="Q229" s="2"/>
      <c r="R229" s="7">
        <f t="shared" si="112"/>
        <v>1.931295586697925E-4</v>
      </c>
      <c r="S229" s="2"/>
      <c r="T229" s="6">
        <v>1725</v>
      </c>
      <c r="U229" s="2"/>
      <c r="V229" s="7">
        <f t="shared" si="113"/>
        <v>5.294130477891786E-4</v>
      </c>
      <c r="W229" s="2"/>
      <c r="X229" s="6">
        <f t="shared" si="114"/>
        <v>-1135</v>
      </c>
      <c r="Y229" s="2"/>
      <c r="Z229" s="7">
        <f t="shared" si="115"/>
        <v>-0.65797101449275364</v>
      </c>
    </row>
    <row r="230" spans="1:26" s="24" customFormat="1" hidden="1" outlineLevel="2" x14ac:dyDescent="0.25">
      <c r="A230" s="27"/>
      <c r="B230" s="11" t="str">
        <f>CONCATENATE("          ", "6309", " - ", "TELEPHONE")</f>
        <v xml:space="preserve">          6309 - TELEPHONE</v>
      </c>
      <c r="C230" s="11"/>
      <c r="D230" s="6">
        <v>2333.1</v>
      </c>
      <c r="E230" s="2"/>
      <c r="F230" s="7">
        <f t="shared" si="108"/>
        <v>8.6315023628381622E-4</v>
      </c>
      <c r="G230" s="2"/>
      <c r="H230" s="6">
        <v>1990</v>
      </c>
      <c r="I230" s="2"/>
      <c r="J230" s="7">
        <f t="shared" si="109"/>
        <v>6.9297510781055874E-4</v>
      </c>
      <c r="K230" s="2"/>
      <c r="L230" s="6">
        <f t="shared" si="110"/>
        <v>343.09999999999991</v>
      </c>
      <c r="M230" s="2"/>
      <c r="N230" s="7">
        <f t="shared" si="111"/>
        <v>0.17241206030150749</v>
      </c>
      <c r="O230" s="11"/>
      <c r="P230" s="6">
        <v>3827.37</v>
      </c>
      <c r="Q230" s="2"/>
      <c r="R230" s="7">
        <f t="shared" si="112"/>
        <v>1.2528445406203453E-3</v>
      </c>
      <c r="S230" s="2"/>
      <c r="T230" s="6">
        <v>3505</v>
      </c>
      <c r="U230" s="2"/>
      <c r="V230" s="7">
        <f t="shared" si="113"/>
        <v>1.0757059318846787E-3</v>
      </c>
      <c r="W230" s="2"/>
      <c r="X230" s="6">
        <f t="shared" si="114"/>
        <v>322.36999999999989</v>
      </c>
      <c r="Y230" s="2"/>
      <c r="Z230" s="7">
        <f t="shared" si="115"/>
        <v>9.1974322396576283E-2</v>
      </c>
    </row>
    <row r="231" spans="1:26" s="26" customFormat="1" outlineLevel="1" collapsed="1" x14ac:dyDescent="0.25">
      <c r="A231" s="25"/>
      <c r="B231" s="13" t="str">
        <f>CONCATENATE("     ","Training                                          ")</f>
        <v xml:space="preserve">     Training                                          </v>
      </c>
      <c r="C231" s="13"/>
      <c r="D231" s="1">
        <f>SUM(OSRRefD22_22x_0)</f>
        <v>6530.86</v>
      </c>
      <c r="E231" s="1"/>
      <c r="F231" s="5">
        <f t="shared" ref="F231:F236" si="116">IF(D$12=0,0,D231/D$12)</f>
        <v>2.4161473370779324E-3</v>
      </c>
      <c r="G231" s="1"/>
      <c r="H231" s="1">
        <f>SUM(OSRRefH22_22x_0)</f>
        <v>1900</v>
      </c>
      <c r="I231" s="1"/>
      <c r="J231" s="5">
        <f t="shared" ref="J231:J236" si="117">IF(H$12=0,0,H231/H$12)</f>
        <v>6.6163452504525708E-4</v>
      </c>
      <c r="K231" s="1"/>
      <c r="L231" s="1">
        <f t="shared" ref="L231:L236" si="118">+D231-H231</f>
        <v>4630.8599999999997</v>
      </c>
      <c r="M231" s="1"/>
      <c r="N231" s="5">
        <f t="shared" ref="N231:N236" si="119">IF(H231=0,0,L231/H231)</f>
        <v>2.4372947368421052</v>
      </c>
      <c r="O231" s="13"/>
      <c r="P231" s="1">
        <f>SUM(OSRRefP22_22x_0)</f>
        <v>7322.53</v>
      </c>
      <c r="Q231" s="1"/>
      <c r="R231" s="5">
        <f t="shared" ref="R231:R236" si="120">IF(P$12=0,0,P231/P$12)</f>
        <v>2.3969440461801958E-3</v>
      </c>
      <c r="S231" s="1"/>
      <c r="T231" s="1">
        <f>SUM(OSRRefT22_22x_0)</f>
        <v>3600</v>
      </c>
      <c r="U231" s="1"/>
      <c r="V231" s="5">
        <f t="shared" ref="V231:V236" si="121">IF(T$12=0,0,T231/T$12)</f>
        <v>1.1048620127774161E-3</v>
      </c>
      <c r="W231" s="1"/>
      <c r="X231" s="1">
        <f t="shared" ref="X231:X236" si="122">+P231-T231</f>
        <v>3722.5299999999997</v>
      </c>
      <c r="Y231" s="1"/>
      <c r="Z231" s="5">
        <f t="shared" ref="Z231:Z236" si="123">IF(T231=0,0,X231/T231)</f>
        <v>1.0340361111111109</v>
      </c>
    </row>
    <row r="232" spans="1:26" s="24" customFormat="1" hidden="1" outlineLevel="2" x14ac:dyDescent="0.25">
      <c r="A232" s="27"/>
      <c r="B232" s="11" t="str">
        <f>CONCATENATE("          ", "6376", " - ", "TRAINING")</f>
        <v xml:space="preserve">          6376 - TRAINING</v>
      </c>
      <c r="C232" s="11"/>
      <c r="D232" s="6">
        <v>6530.86</v>
      </c>
      <c r="E232" s="2"/>
      <c r="F232" s="7">
        <f t="shared" si="116"/>
        <v>2.4161473370779324E-3</v>
      </c>
      <c r="G232" s="2"/>
      <c r="H232" s="6">
        <v>1900</v>
      </c>
      <c r="I232" s="2"/>
      <c r="J232" s="7">
        <f t="shared" si="117"/>
        <v>6.6163452504525708E-4</v>
      </c>
      <c r="K232" s="2"/>
      <c r="L232" s="6">
        <f t="shared" si="118"/>
        <v>4630.8599999999997</v>
      </c>
      <c r="M232" s="2"/>
      <c r="N232" s="7">
        <f t="shared" si="119"/>
        <v>2.4372947368421052</v>
      </c>
      <c r="O232" s="11"/>
      <c r="P232" s="6">
        <v>7322.53</v>
      </c>
      <c r="Q232" s="2"/>
      <c r="R232" s="7">
        <f t="shared" si="120"/>
        <v>2.3969440461801958E-3</v>
      </c>
      <c r="S232" s="2"/>
      <c r="T232" s="6">
        <v>3600</v>
      </c>
      <c r="U232" s="2"/>
      <c r="V232" s="7">
        <f t="shared" si="121"/>
        <v>1.1048620127774161E-3</v>
      </c>
      <c r="W232" s="2"/>
      <c r="X232" s="6">
        <f t="shared" si="122"/>
        <v>3722.5299999999997</v>
      </c>
      <c r="Y232" s="2"/>
      <c r="Z232" s="7">
        <f t="shared" si="123"/>
        <v>1.0340361111111109</v>
      </c>
    </row>
    <row r="233" spans="1:26" s="26" customFormat="1" outlineLevel="1" collapsed="1" x14ac:dyDescent="0.25">
      <c r="A233" s="25"/>
      <c r="B233" s="13" t="str">
        <f>CONCATENATE("     ","Travel                                            ")</f>
        <v xml:space="preserve">     Travel                                            </v>
      </c>
      <c r="C233" s="13"/>
      <c r="D233" s="1">
        <f>SUM(OSRRefD22_23x_0)</f>
        <v>184.35</v>
      </c>
      <c r="E233" s="1"/>
      <c r="F233" s="5">
        <f t="shared" si="116"/>
        <v>6.820185421067315E-5</v>
      </c>
      <c r="G233" s="1"/>
      <c r="H233" s="1">
        <f>SUM(OSRRefH22_23x_0)</f>
        <v>150</v>
      </c>
      <c r="I233" s="1"/>
      <c r="J233" s="5">
        <f t="shared" si="117"/>
        <v>5.2234304608836081E-5</v>
      </c>
      <c r="K233" s="1"/>
      <c r="L233" s="1">
        <f t="shared" si="118"/>
        <v>34.349999999999994</v>
      </c>
      <c r="M233" s="1"/>
      <c r="N233" s="5">
        <f t="shared" si="119"/>
        <v>0.22899999999999995</v>
      </c>
      <c r="O233" s="13"/>
      <c r="P233" s="1">
        <f>SUM(OSRRefP22_23x_0)</f>
        <v>406.03</v>
      </c>
      <c r="Q233" s="1"/>
      <c r="R233" s="5">
        <f t="shared" si="120"/>
        <v>1.3290914357067091E-4</v>
      </c>
      <c r="S233" s="1"/>
      <c r="T233" s="1">
        <f>SUM(OSRRefT22_23x_0)</f>
        <v>710</v>
      </c>
      <c r="U233" s="1"/>
      <c r="V233" s="5">
        <f t="shared" si="121"/>
        <v>2.1790334140887931E-4</v>
      </c>
      <c r="W233" s="1"/>
      <c r="X233" s="1">
        <f t="shared" si="122"/>
        <v>-303.97000000000003</v>
      </c>
      <c r="Y233" s="1"/>
      <c r="Z233" s="5">
        <f t="shared" si="123"/>
        <v>-0.42812676056338034</v>
      </c>
    </row>
    <row r="234" spans="1:26" s="24" customFormat="1" hidden="1" outlineLevel="2" x14ac:dyDescent="0.25">
      <c r="A234" s="27"/>
      <c r="B234" s="11" t="str">
        <f>CONCATENATE("          ", "6292", " - ", "TRAVEL/CONFERENCE")</f>
        <v xml:space="preserve">          6292 - TRAVEL/CONFERENCE</v>
      </c>
      <c r="C234" s="11"/>
      <c r="D234" s="6">
        <v>100.16</v>
      </c>
      <c r="E234" s="2"/>
      <c r="F234" s="7">
        <f t="shared" si="116"/>
        <v>3.7055045932959168E-5</v>
      </c>
      <c r="G234" s="2"/>
      <c r="H234" s="6"/>
      <c r="I234" s="2"/>
      <c r="J234" s="7">
        <f t="shared" si="117"/>
        <v>0</v>
      </c>
      <c r="K234" s="2"/>
      <c r="L234" s="6">
        <f t="shared" si="118"/>
        <v>100.16</v>
      </c>
      <c r="M234" s="2"/>
      <c r="N234" s="7">
        <f t="shared" si="119"/>
        <v>0</v>
      </c>
      <c r="O234" s="11"/>
      <c r="P234" s="6">
        <v>250.64</v>
      </c>
      <c r="Q234" s="2"/>
      <c r="R234" s="7">
        <f t="shared" si="120"/>
        <v>8.2044055228808115E-5</v>
      </c>
      <c r="S234" s="2"/>
      <c r="T234" s="6"/>
      <c r="U234" s="2"/>
      <c r="V234" s="7">
        <f t="shared" si="121"/>
        <v>0</v>
      </c>
      <c r="W234" s="2"/>
      <c r="X234" s="6">
        <f t="shared" si="122"/>
        <v>250.64</v>
      </c>
      <c r="Y234" s="2"/>
      <c r="Z234" s="7">
        <f t="shared" si="123"/>
        <v>0</v>
      </c>
    </row>
    <row r="235" spans="1:26" s="24" customFormat="1" hidden="1" outlineLevel="2" x14ac:dyDescent="0.25">
      <c r="A235" s="27"/>
      <c r="B235" s="11" t="str">
        <f>CONCATENATE("          ", "6294", " - ", "TRAVEL OPERATIONAL")</f>
        <v xml:space="preserve">          6294 - TRAVEL OPERATIONAL</v>
      </c>
      <c r="C235" s="11"/>
      <c r="D235" s="6">
        <v>68.67</v>
      </c>
      <c r="E235" s="2"/>
      <c r="F235" s="7">
        <f t="shared" si="116"/>
        <v>2.5405051959028614E-5</v>
      </c>
      <c r="G235" s="2"/>
      <c r="H235" s="6">
        <v>150</v>
      </c>
      <c r="I235" s="2"/>
      <c r="J235" s="7">
        <f t="shared" si="117"/>
        <v>5.2234304608836081E-5</v>
      </c>
      <c r="K235" s="2"/>
      <c r="L235" s="6">
        <f t="shared" si="118"/>
        <v>-81.33</v>
      </c>
      <c r="M235" s="2"/>
      <c r="N235" s="7">
        <f t="shared" si="119"/>
        <v>-0.54220000000000002</v>
      </c>
      <c r="O235" s="11"/>
      <c r="P235" s="6">
        <v>68.67</v>
      </c>
      <c r="Q235" s="2"/>
      <c r="R235" s="7">
        <f t="shared" si="120"/>
        <v>2.2478316599753647E-5</v>
      </c>
      <c r="S235" s="2"/>
      <c r="T235" s="6">
        <v>260</v>
      </c>
      <c r="U235" s="2"/>
      <c r="V235" s="7">
        <f t="shared" si="121"/>
        <v>7.9795589811702277E-5</v>
      </c>
      <c r="W235" s="2"/>
      <c r="X235" s="6">
        <f t="shared" si="122"/>
        <v>-191.32999999999998</v>
      </c>
      <c r="Y235" s="2"/>
      <c r="Z235" s="7">
        <f t="shared" si="123"/>
        <v>-0.73588461538461536</v>
      </c>
    </row>
    <row r="236" spans="1:26" s="24" customFormat="1" hidden="1" outlineLevel="2" x14ac:dyDescent="0.25">
      <c r="A236" s="27"/>
      <c r="B236" s="11" t="str">
        <f>CONCATENATE("          ", "6298", " - ", "VEHICLE MILEAGE")</f>
        <v xml:space="preserve">          6298 - VEHICLE MILEAGE</v>
      </c>
      <c r="C236" s="11"/>
      <c r="D236" s="6">
        <v>15.52</v>
      </c>
      <c r="E236" s="2"/>
      <c r="F236" s="7">
        <f t="shared" si="116"/>
        <v>5.7417563186853657E-6</v>
      </c>
      <c r="G236" s="2"/>
      <c r="H236" s="6"/>
      <c r="I236" s="2"/>
      <c r="J236" s="7">
        <f t="shared" si="117"/>
        <v>0</v>
      </c>
      <c r="K236" s="2"/>
      <c r="L236" s="6">
        <f t="shared" si="118"/>
        <v>15.52</v>
      </c>
      <c r="M236" s="2"/>
      <c r="N236" s="7">
        <f t="shared" si="119"/>
        <v>0</v>
      </c>
      <c r="O236" s="11"/>
      <c r="P236" s="6">
        <v>86.72</v>
      </c>
      <c r="Q236" s="2"/>
      <c r="R236" s="7">
        <f t="shared" si="120"/>
        <v>2.8386771742109161E-5</v>
      </c>
      <c r="S236" s="2"/>
      <c r="T236" s="6">
        <v>450</v>
      </c>
      <c r="U236" s="2"/>
      <c r="V236" s="7">
        <f t="shared" si="121"/>
        <v>1.3810775159717702E-4</v>
      </c>
      <c r="W236" s="2"/>
      <c r="X236" s="6">
        <f t="shared" si="122"/>
        <v>-363.28</v>
      </c>
      <c r="Y236" s="2"/>
      <c r="Z236" s="7">
        <f t="shared" si="123"/>
        <v>-0.80728888888888883</v>
      </c>
    </row>
    <row r="237" spans="1:26" s="26" customFormat="1" outlineLevel="1" collapsed="1" x14ac:dyDescent="0.25">
      <c r="A237" s="25"/>
      <c r="B237" s="13" t="str">
        <f>CONCATENATE("     ","Utilities                                         ")</f>
        <v xml:space="preserve">     Utilities                                         </v>
      </c>
      <c r="C237" s="13"/>
      <c r="D237" s="1">
        <f>SUM(OSRRefD22_24x_0)</f>
        <v>53.78</v>
      </c>
      <c r="E237" s="1"/>
      <c r="F237" s="5">
        <f t="shared" ref="F237:F238" si="124">IF(D$12=0,0,D237/D$12)</f>
        <v>1.9896369511526998E-5</v>
      </c>
      <c r="G237" s="1"/>
      <c r="H237" s="1">
        <f>SUM(OSRRefH22_24x_0)</f>
        <v>5075</v>
      </c>
      <c r="I237" s="1"/>
      <c r="J237" s="5">
        <f t="shared" ref="J237:J238" si="125">IF(H$12=0,0,H237/H$12)</f>
        <v>1.7672606392656208E-3</v>
      </c>
      <c r="K237" s="1"/>
      <c r="L237" s="1">
        <f t="shared" ref="L237:L238" si="126">+D237-H237</f>
        <v>-5021.22</v>
      </c>
      <c r="M237" s="1"/>
      <c r="N237" s="5">
        <f t="shared" ref="N237:N238" si="127">IF(H237=0,0,L237/H237)</f>
        <v>-0.98940295566502467</v>
      </c>
      <c r="O237" s="13"/>
      <c r="P237" s="1">
        <f>SUM(OSRRefP22_24x_0)</f>
        <v>5689.78</v>
      </c>
      <c r="Q237" s="1"/>
      <c r="R237" s="5">
        <f t="shared" ref="R237:R238" si="128">IF(P$12=0,0,P237/P$12)</f>
        <v>1.8624825429291727E-3</v>
      </c>
      <c r="S237" s="1"/>
      <c r="T237" s="1">
        <f>SUM(OSRRefT22_24x_0)</f>
        <v>10175</v>
      </c>
      <c r="U237" s="1"/>
      <c r="V237" s="5">
        <f t="shared" ref="V237:V238" si="129">IF(T$12=0,0,T237/T$12)</f>
        <v>3.1227697166695029E-3</v>
      </c>
      <c r="W237" s="1"/>
      <c r="X237" s="1">
        <f t="shared" ref="X237:X238" si="130">+P237-T237</f>
        <v>-4485.22</v>
      </c>
      <c r="Y237" s="1"/>
      <c r="Z237" s="5">
        <f t="shared" ref="Z237:Z238" si="131">IF(T237=0,0,X237/T237)</f>
        <v>-0.44080786240786241</v>
      </c>
    </row>
    <row r="238" spans="1:26" s="24" customFormat="1" hidden="1" outlineLevel="2" x14ac:dyDescent="0.25">
      <c r="A238" s="27"/>
      <c r="B238" s="11" t="str">
        <f>CONCATENATE("          ", "6274", " - ", "UTILITIES")</f>
        <v xml:space="preserve">          6274 - UTILITIES</v>
      </c>
      <c r="C238" s="11"/>
      <c r="D238" s="6">
        <v>53.78</v>
      </c>
      <c r="E238" s="2"/>
      <c r="F238" s="7">
        <f t="shared" si="124"/>
        <v>1.9896369511526998E-5</v>
      </c>
      <c r="G238" s="2"/>
      <c r="H238" s="6">
        <v>5075</v>
      </c>
      <c r="I238" s="2"/>
      <c r="J238" s="7">
        <f t="shared" si="125"/>
        <v>1.7672606392656208E-3</v>
      </c>
      <c r="K238" s="2"/>
      <c r="L238" s="6">
        <f t="shared" si="126"/>
        <v>-5021.22</v>
      </c>
      <c r="M238" s="2"/>
      <c r="N238" s="7">
        <f t="shared" si="127"/>
        <v>-0.98940295566502467</v>
      </c>
      <c r="O238" s="11"/>
      <c r="P238" s="6">
        <v>5689.78</v>
      </c>
      <c r="Q238" s="2"/>
      <c r="R238" s="7">
        <f t="shared" si="128"/>
        <v>1.8624825429291727E-3</v>
      </c>
      <c r="S238" s="2"/>
      <c r="T238" s="6">
        <v>10175</v>
      </c>
      <c r="U238" s="2"/>
      <c r="V238" s="7">
        <f t="shared" si="129"/>
        <v>3.1227697166695029E-3</v>
      </c>
      <c r="W238" s="2"/>
      <c r="X238" s="6">
        <f t="shared" si="130"/>
        <v>-4485.22</v>
      </c>
      <c r="Y238" s="2"/>
      <c r="Z238" s="7">
        <f t="shared" si="131"/>
        <v>-0.44080786240786241</v>
      </c>
    </row>
    <row r="239" spans="1:26" s="63" customFormat="1" x14ac:dyDescent="0.25">
      <c r="A239" s="36"/>
      <c r="B239" s="36"/>
      <c r="C239" s="36"/>
      <c r="D239" s="1"/>
      <c r="E239" s="1"/>
      <c r="F239" s="5"/>
      <c r="G239" s="1"/>
      <c r="H239" s="1"/>
      <c r="I239" s="1"/>
      <c r="J239" s="5"/>
      <c r="K239" s="1"/>
      <c r="L239" s="1"/>
      <c r="M239" s="1"/>
      <c r="N239" s="5"/>
      <c r="O239" s="36"/>
      <c r="P239" s="1"/>
      <c r="Q239" s="1"/>
      <c r="R239" s="5"/>
      <c r="S239" s="1"/>
      <c r="T239" s="1"/>
      <c r="U239" s="1"/>
      <c r="V239" s="5"/>
      <c r="W239" s="1"/>
      <c r="X239" s="1"/>
      <c r="Y239" s="1"/>
      <c r="Z239" s="5"/>
    </row>
    <row r="240" spans="1:26" s="23" customFormat="1" collapsed="1" x14ac:dyDescent="0.25">
      <c r="A240" s="10"/>
      <c r="B240" s="28" t="s">
        <v>0</v>
      </c>
      <c r="C240" s="10"/>
      <c r="D240" s="4">
        <f>SUM(OSRRefD25x_0)</f>
        <v>50335.740000000005</v>
      </c>
      <c r="E240" s="4"/>
      <c r="F240" s="12">
        <f t="shared" ref="F240:F247" si="132">IF(D$12=0,0,D240/D$12)</f>
        <v>1.862213615983916E-2</v>
      </c>
      <c r="G240" s="4"/>
      <c r="H240" s="4">
        <f>SUM(OSRRefH25x_0)</f>
        <v>64875</v>
      </c>
      <c r="I240" s="4"/>
      <c r="J240" s="12">
        <f t="shared" ref="J240:J247" si="133">IF(H$12=0,0,H240/H$12)</f>
        <v>2.2591336743321606E-2</v>
      </c>
      <c r="K240" s="4"/>
      <c r="L240" s="4">
        <f t="shared" ref="L240:L247" si="134">+D240-H240</f>
        <v>-14539.259999999995</v>
      </c>
      <c r="M240" s="4"/>
      <c r="N240" s="12">
        <f t="shared" ref="N240:N247" si="135">IF(H240=0,0,L240/H240)</f>
        <v>-0.22411190751445079</v>
      </c>
      <c r="O240" s="10"/>
      <c r="P240" s="4">
        <f>SUM(OSRRefP25x_0)</f>
        <v>121202.85</v>
      </c>
      <c r="Q240" s="4"/>
      <c r="R240" s="12">
        <f t="shared" ref="R240:R247" si="136">IF(P$12=0,0,P240/P$12)</f>
        <v>3.9674327000035696E-2</v>
      </c>
      <c r="S240" s="4"/>
      <c r="T240" s="4">
        <f>SUM(OSRRefT25x_0)</f>
        <v>124550</v>
      </c>
      <c r="U240" s="4"/>
      <c r="V240" s="12">
        <f t="shared" ref="V240:V247" si="137">IF(T$12=0,0,T240/T$12)</f>
        <v>3.8225156580951998E-2</v>
      </c>
      <c r="W240" s="4"/>
      <c r="X240" s="4">
        <f t="shared" ref="X240:X247" si="138">+P240-T240</f>
        <v>-3347.1499999999942</v>
      </c>
      <c r="Y240" s="4"/>
      <c r="Z240" s="12">
        <f t="shared" ref="Z240:Z247" si="139">IF(T240=0,0,X240/T240)</f>
        <v>-2.6873946206342786E-2</v>
      </c>
    </row>
    <row r="241" spans="1:26" s="24" customFormat="1" hidden="1" outlineLevel="1" x14ac:dyDescent="0.25">
      <c r="A241" s="46"/>
      <c r="B241" s="11" t="str">
        <f>CONCATENATE("          ", "4098", " - ", "TAXABLE SALES-GRAD RENTALS")</f>
        <v xml:space="preserve">          4098 - TAXABLE SALES-GRAD RENTALS</v>
      </c>
      <c r="C241" s="11"/>
      <c r="D241" s="2">
        <f>--1552.15</f>
        <v>1552.15</v>
      </c>
      <c r="E241" s="2"/>
      <c r="F241" s="21">
        <f t="shared" si="132"/>
        <v>5.7423112564738987E-4</v>
      </c>
      <c r="G241" s="2"/>
      <c r="H241" s="2"/>
      <c r="I241" s="2"/>
      <c r="J241" s="21">
        <f t="shared" si="133"/>
        <v>0</v>
      </c>
      <c r="K241" s="2"/>
      <c r="L241" s="2">
        <f t="shared" si="134"/>
        <v>1552.15</v>
      </c>
      <c r="M241" s="2"/>
      <c r="N241" s="21">
        <f t="shared" si="135"/>
        <v>0</v>
      </c>
      <c r="O241" s="11"/>
      <c r="P241" s="2">
        <f>--1626.85</f>
        <v>1626.85</v>
      </c>
      <c r="Q241" s="2"/>
      <c r="R241" s="21">
        <f t="shared" si="136"/>
        <v>5.3253020766432521E-4</v>
      </c>
      <c r="S241" s="2"/>
      <c r="T241" s="2"/>
      <c r="U241" s="2"/>
      <c r="V241" s="21">
        <f t="shared" si="137"/>
        <v>0</v>
      </c>
      <c r="W241" s="2"/>
      <c r="X241" s="2">
        <f t="shared" si="138"/>
        <v>1626.85</v>
      </c>
      <c r="Y241" s="2"/>
      <c r="Z241" s="21">
        <f t="shared" si="139"/>
        <v>0</v>
      </c>
    </row>
    <row r="242" spans="1:26" s="24" customFormat="1" hidden="1" outlineLevel="1" x14ac:dyDescent="0.25">
      <c r="A242" s="46"/>
      <c r="B242" s="11" t="str">
        <f>CONCATENATE("          ", "4197", " - ", "NON-TAXABLE SALES-RETURNED CHE")</f>
        <v xml:space="preserve">          4197 - NON-TAXABLE SALES-RETURNED CHE</v>
      </c>
      <c r="C242" s="11"/>
      <c r="D242" s="2">
        <f>--30</f>
        <v>30</v>
      </c>
      <c r="E242" s="2"/>
      <c r="F242" s="21">
        <f t="shared" si="132"/>
        <v>1.1098755770654702E-5</v>
      </c>
      <c r="G242" s="2"/>
      <c r="H242" s="2"/>
      <c r="I242" s="2"/>
      <c r="J242" s="21">
        <f t="shared" si="133"/>
        <v>0</v>
      </c>
      <c r="K242" s="2"/>
      <c r="L242" s="2">
        <f t="shared" si="134"/>
        <v>30</v>
      </c>
      <c r="M242" s="2"/>
      <c r="N242" s="21">
        <f t="shared" si="135"/>
        <v>0</v>
      </c>
      <c r="O242" s="11"/>
      <c r="P242" s="2">
        <f>--30</f>
        <v>30</v>
      </c>
      <c r="Q242" s="2"/>
      <c r="R242" s="21">
        <f t="shared" si="136"/>
        <v>9.8201470510063975E-6</v>
      </c>
      <c r="S242" s="2"/>
      <c r="T242" s="2"/>
      <c r="U242" s="2"/>
      <c r="V242" s="21">
        <f t="shared" si="137"/>
        <v>0</v>
      </c>
      <c r="W242" s="2"/>
      <c r="X242" s="2">
        <f t="shared" si="138"/>
        <v>30</v>
      </c>
      <c r="Y242" s="2"/>
      <c r="Z242" s="21">
        <f t="shared" si="139"/>
        <v>0</v>
      </c>
    </row>
    <row r="243" spans="1:26" s="24" customFormat="1" hidden="1" outlineLevel="1" x14ac:dyDescent="0.25">
      <c r="A243" s="46"/>
      <c r="B243" s="11" t="str">
        <f>CONCATENATE("          ", "4198", " - ", "NON-TAXABLE SALES-GRAD RENTALS")</f>
        <v xml:space="preserve">          4198 - NON-TAXABLE SALES-GRAD RENTALS</v>
      </c>
      <c r="C243" s="11"/>
      <c r="D243" s="2">
        <f>--210</f>
        <v>210</v>
      </c>
      <c r="E243" s="2"/>
      <c r="F243" s="21">
        <f t="shared" si="132"/>
        <v>7.7691290394582918E-5</v>
      </c>
      <c r="G243" s="2"/>
      <c r="H243" s="2"/>
      <c r="I243" s="2"/>
      <c r="J243" s="21">
        <f t="shared" si="133"/>
        <v>0</v>
      </c>
      <c r="K243" s="2"/>
      <c r="L243" s="2">
        <f t="shared" si="134"/>
        <v>210</v>
      </c>
      <c r="M243" s="2"/>
      <c r="N243" s="21">
        <f t="shared" si="135"/>
        <v>0</v>
      </c>
      <c r="O243" s="11"/>
      <c r="P243" s="2">
        <f>--465</f>
        <v>465</v>
      </c>
      <c r="Q243" s="2"/>
      <c r="R243" s="21">
        <f t="shared" si="136"/>
        <v>1.5221227929059918E-4</v>
      </c>
      <c r="S243" s="2"/>
      <c r="T243" s="2"/>
      <c r="U243" s="2"/>
      <c r="V243" s="21">
        <f t="shared" si="137"/>
        <v>0</v>
      </c>
      <c r="W243" s="2"/>
      <c r="X243" s="2">
        <f t="shared" si="138"/>
        <v>465</v>
      </c>
      <c r="Y243" s="2"/>
      <c r="Z243" s="21">
        <f t="shared" si="139"/>
        <v>0</v>
      </c>
    </row>
    <row r="244" spans="1:26" s="24" customFormat="1" hidden="1" outlineLevel="1" x14ac:dyDescent="0.25">
      <c r="A244" s="46"/>
      <c r="B244" s="11" t="str">
        <f>CONCATENATE("          ", "9150", " - ", "MISC. INCOME")</f>
        <v xml:space="preserve">          9150 - MISC. INCOME</v>
      </c>
      <c r="C244" s="11"/>
      <c r="D244" s="2">
        <f>--27536.18</f>
        <v>27536.18</v>
      </c>
      <c r="E244" s="2"/>
      <c r="F244" s="21">
        <f t="shared" si="132"/>
        <v>1.0187244555892887E-2</v>
      </c>
      <c r="G244" s="2"/>
      <c r="H244" s="2">
        <v>41475</v>
      </c>
      <c r="I244" s="2"/>
      <c r="J244" s="21">
        <f t="shared" si="133"/>
        <v>1.4442785224343177E-2</v>
      </c>
      <c r="K244" s="2"/>
      <c r="L244" s="2">
        <f t="shared" si="134"/>
        <v>-13938.82</v>
      </c>
      <c r="M244" s="2"/>
      <c r="N244" s="21">
        <f t="shared" si="135"/>
        <v>-0.33607763713080169</v>
      </c>
      <c r="O244" s="11"/>
      <c r="P244" s="2">
        <f>--98168.08</f>
        <v>98168.08</v>
      </c>
      <c r="Q244" s="2"/>
      <c r="R244" s="21">
        <f t="shared" si="136"/>
        <v>3.2134166043832006E-2</v>
      </c>
      <c r="S244" s="2"/>
      <c r="T244" s="2">
        <v>70700</v>
      </c>
      <c r="U244" s="2"/>
      <c r="V244" s="21">
        <f t="shared" si="137"/>
        <v>2.1698262306489812E-2</v>
      </c>
      <c r="W244" s="2"/>
      <c r="X244" s="2">
        <f t="shared" si="138"/>
        <v>27468.080000000002</v>
      </c>
      <c r="Y244" s="2"/>
      <c r="Z244" s="21">
        <f t="shared" si="139"/>
        <v>0.38851598302687412</v>
      </c>
    </row>
    <row r="245" spans="1:26" s="24" customFormat="1" hidden="1" outlineLevel="1" x14ac:dyDescent="0.25">
      <c r="A245" s="46"/>
      <c r="B245" s="11" t="str">
        <f>CONCATENATE("          ", "9151", " - ", "MISC. INCOME")</f>
        <v xml:space="preserve">          9151 - MISC. INCOME</v>
      </c>
      <c r="C245" s="11"/>
      <c r="D245" s="2">
        <f>-170.02</f>
        <v>-170.02</v>
      </c>
      <c r="E245" s="2"/>
      <c r="F245" s="21">
        <f t="shared" si="132"/>
        <v>-6.2900348537557089E-5</v>
      </c>
      <c r="G245" s="2"/>
      <c r="H245" s="2">
        <v>600</v>
      </c>
      <c r="I245" s="2"/>
      <c r="J245" s="21">
        <f t="shared" si="133"/>
        <v>2.0893721843534432E-4</v>
      </c>
      <c r="K245" s="2"/>
      <c r="L245" s="2">
        <f t="shared" si="134"/>
        <v>-770.02</v>
      </c>
      <c r="M245" s="2"/>
      <c r="N245" s="21">
        <f t="shared" si="135"/>
        <v>-1.2833666666666665</v>
      </c>
      <c r="O245" s="11"/>
      <c r="P245" s="2">
        <f>-264.51</f>
        <v>-264.51</v>
      </c>
      <c r="Q245" s="2"/>
      <c r="R245" s="21">
        <f t="shared" si="136"/>
        <v>-8.6584236548723409E-5</v>
      </c>
      <c r="S245" s="2"/>
      <c r="T245" s="2">
        <v>13450</v>
      </c>
      <c r="U245" s="2"/>
      <c r="V245" s="21">
        <f t="shared" si="137"/>
        <v>4.1278872421822909E-3</v>
      </c>
      <c r="W245" s="2"/>
      <c r="X245" s="2">
        <f t="shared" si="138"/>
        <v>-13714.51</v>
      </c>
      <c r="Y245" s="2"/>
      <c r="Z245" s="21">
        <f t="shared" si="139"/>
        <v>-1.0196661710037176</v>
      </c>
    </row>
    <row r="246" spans="1:26" s="24" customFormat="1" hidden="1" outlineLevel="1" x14ac:dyDescent="0.25">
      <c r="A246" s="46"/>
      <c r="B246" s="11" t="str">
        <f>CONCATENATE("          ", "9152", " - ", "MISC. INCOME")</f>
        <v xml:space="preserve">          9152 - MISC. INCOME</v>
      </c>
      <c r="C246" s="11"/>
      <c r="D246" s="2">
        <f>--7.43</f>
        <v>7.43</v>
      </c>
      <c r="E246" s="2"/>
      <c r="F246" s="21">
        <f t="shared" si="132"/>
        <v>2.7487918458654811E-6</v>
      </c>
      <c r="G246" s="2"/>
      <c r="H246" s="2"/>
      <c r="I246" s="2"/>
      <c r="J246" s="21">
        <f t="shared" si="133"/>
        <v>0</v>
      </c>
      <c r="K246" s="2"/>
      <c r="L246" s="2">
        <f t="shared" si="134"/>
        <v>7.43</v>
      </c>
      <c r="M246" s="2"/>
      <c r="N246" s="21">
        <f t="shared" si="135"/>
        <v>0</v>
      </c>
      <c r="O246" s="11"/>
      <c r="P246" s="2">
        <f>--7.43</f>
        <v>7.43</v>
      </c>
      <c r="Q246" s="2"/>
      <c r="R246" s="21">
        <f t="shared" si="136"/>
        <v>2.4321230862992513E-6</v>
      </c>
      <c r="S246" s="2"/>
      <c r="T246" s="2"/>
      <c r="U246" s="2"/>
      <c r="V246" s="21">
        <f t="shared" si="137"/>
        <v>0</v>
      </c>
      <c r="W246" s="2"/>
      <c r="X246" s="2">
        <f t="shared" si="138"/>
        <v>7.43</v>
      </c>
      <c r="Y246" s="2"/>
      <c r="Z246" s="21">
        <f t="shared" si="139"/>
        <v>0</v>
      </c>
    </row>
    <row r="247" spans="1:26" s="24" customFormat="1" hidden="1" outlineLevel="1" x14ac:dyDescent="0.25">
      <c r="A247" s="46"/>
      <c r="B247" s="11" t="str">
        <f>CONCATENATE("          ", "9160", " - ", "MISC. INCOME")</f>
        <v xml:space="preserve">          9160 - MISC. INCOME</v>
      </c>
      <c r="C247" s="11"/>
      <c r="D247" s="2">
        <f>--21170</f>
        <v>21170</v>
      </c>
      <c r="E247" s="2"/>
      <c r="F247" s="21">
        <f t="shared" si="132"/>
        <v>7.8320219888253356E-3</v>
      </c>
      <c r="G247" s="2"/>
      <c r="H247" s="2">
        <v>22800</v>
      </c>
      <c r="I247" s="2"/>
      <c r="J247" s="21">
        <f t="shared" si="133"/>
        <v>7.9396143005430846E-3</v>
      </c>
      <c r="K247" s="2"/>
      <c r="L247" s="2">
        <f t="shared" si="134"/>
        <v>-1630</v>
      </c>
      <c r="M247" s="2"/>
      <c r="N247" s="21">
        <f t="shared" si="135"/>
        <v>-7.1491228070175439E-2</v>
      </c>
      <c r="O247" s="11"/>
      <c r="P247" s="2">
        <f>--21170</f>
        <v>21170</v>
      </c>
      <c r="Q247" s="2"/>
      <c r="R247" s="21">
        <f t="shared" si="136"/>
        <v>6.9297504356601817E-3</v>
      </c>
      <c r="S247" s="2"/>
      <c r="T247" s="2">
        <v>40400</v>
      </c>
      <c r="U247" s="2"/>
      <c r="V247" s="21">
        <f t="shared" si="137"/>
        <v>1.2399007032279892E-2</v>
      </c>
      <c r="W247" s="2"/>
      <c r="X247" s="2">
        <f t="shared" si="138"/>
        <v>-19230</v>
      </c>
      <c r="Y247" s="2"/>
      <c r="Z247" s="21">
        <f t="shared" si="139"/>
        <v>-0.47599009900990097</v>
      </c>
    </row>
    <row r="248" spans="1:26" x14ac:dyDescent="0.25">
      <c r="A248" s="9"/>
      <c r="B248" s="10"/>
      <c r="C248" s="10"/>
      <c r="D248" s="3"/>
      <c r="E248" s="3"/>
      <c r="F248" s="8"/>
      <c r="G248" s="3"/>
      <c r="H248" s="3"/>
      <c r="I248" s="3"/>
      <c r="J248" s="8"/>
      <c r="K248" s="3"/>
      <c r="L248" s="3"/>
      <c r="M248" s="3"/>
      <c r="N248" s="8"/>
      <c r="O248" s="10"/>
      <c r="P248" s="3"/>
      <c r="Q248" s="3"/>
      <c r="R248" s="8"/>
      <c r="S248" s="3"/>
      <c r="T248" s="3"/>
      <c r="U248" s="3"/>
      <c r="V248" s="8"/>
      <c r="W248" s="3"/>
      <c r="X248" s="3"/>
      <c r="Y248" s="3"/>
      <c r="Z248" s="8"/>
    </row>
    <row r="249" spans="1:26" s="23" customFormat="1" x14ac:dyDescent="0.25">
      <c r="A249" s="10"/>
      <c r="B249" s="29" t="s">
        <v>3</v>
      </c>
      <c r="C249" s="29"/>
      <c r="D249" s="22">
        <f>+D144-D146+D240</f>
        <v>572719.15000000037</v>
      </c>
      <c r="E249" s="14"/>
      <c r="F249" s="20">
        <f>IF(D$12=0,0,D249/D$12)</f>
        <v>0.21188233236756535</v>
      </c>
      <c r="G249" s="14"/>
      <c r="H249" s="22">
        <f>+H144-H146+H240</f>
        <v>627107.77017056919</v>
      </c>
      <c r="I249" s="14"/>
      <c r="J249" s="20">
        <f>IF(H$12=0,0,H249/H$12)</f>
        <v>0.21837692193104988</v>
      </c>
      <c r="K249" s="15"/>
      <c r="L249" s="22">
        <f>+D249-H249</f>
        <v>-54388.620170568815</v>
      </c>
      <c r="M249" s="15"/>
      <c r="N249" s="20">
        <f>IF(H249=0,0,L249/H249)</f>
        <v>-8.6729303570541733E-2</v>
      </c>
      <c r="O249" s="28"/>
      <c r="P249" s="22">
        <f>+P144-P146+P240</f>
        <v>445836.92000000051</v>
      </c>
      <c r="Q249" s="14"/>
      <c r="R249" s="20">
        <f>IF(P$12=0,0,P249/P$12)</f>
        <v>0.14593947050559267</v>
      </c>
      <c r="S249" s="14"/>
      <c r="T249" s="22">
        <f>+T144-T146+T240</f>
        <v>436324.61980233015</v>
      </c>
      <c r="U249" s="14"/>
      <c r="V249" s="20">
        <f>IF(T$12=0,0,T249/T$12)</f>
        <v>0.13391069379420648</v>
      </c>
      <c r="W249" s="15"/>
      <c r="X249" s="22">
        <f>+P249-T249</f>
        <v>9512.3001976703526</v>
      </c>
      <c r="Y249" s="15"/>
      <c r="Z249" s="20">
        <f>IF(T249=0,0,X249/T249)</f>
        <v>2.1800970575485169E-2</v>
      </c>
    </row>
    <row r="250" spans="1:26" x14ac:dyDescent="0.25">
      <c r="A250" s="9"/>
      <c r="B250" s="10"/>
      <c r="C250" s="9"/>
      <c r="D250" s="3"/>
      <c r="E250" s="3"/>
      <c r="F250" s="8"/>
      <c r="G250" s="3"/>
      <c r="H250" s="3"/>
      <c r="I250" s="3"/>
      <c r="J250" s="8"/>
      <c r="K250" s="3"/>
      <c r="L250" s="3"/>
      <c r="M250" s="3"/>
      <c r="N250" s="8"/>
      <c r="P250" s="3"/>
      <c r="Q250" s="3"/>
      <c r="R250" s="8"/>
      <c r="S250" s="3"/>
      <c r="T250" s="3"/>
      <c r="U250" s="3"/>
      <c r="V250" s="8"/>
      <c r="W250" s="3"/>
      <c r="X250" s="3"/>
      <c r="Y250" s="3"/>
      <c r="Z250" s="8"/>
    </row>
    <row r="251" spans="1:26" s="23" customFormat="1" x14ac:dyDescent="0.25">
      <c r="A251" s="52"/>
      <c r="B251" s="10" t="s">
        <v>14</v>
      </c>
      <c r="C251" s="10"/>
      <c r="D251" s="4">
        <v>307717.44</v>
      </c>
      <c r="E251" s="4"/>
      <c r="F251" s="12">
        <f>IF(D$12=0,0,D251/D$12)</f>
        <v>0.11384269043103641</v>
      </c>
      <c r="G251" s="4"/>
      <c r="H251" s="4">
        <v>434932</v>
      </c>
      <c r="I251" s="4"/>
      <c r="J251" s="12">
        <f>IF(H$12=0,0,H251/H$12)</f>
        <v>0.15145580381420196</v>
      </c>
      <c r="K251" s="4"/>
      <c r="L251" s="4">
        <f>+D251-H251</f>
        <v>-127214.56</v>
      </c>
      <c r="M251" s="4"/>
      <c r="N251" s="12">
        <f>IF(H251=0,0,L251/H251)</f>
        <v>-0.29249298740952606</v>
      </c>
      <c r="O251" s="10"/>
      <c r="P251" s="4">
        <v>380895.81</v>
      </c>
      <c r="Q251" s="4"/>
      <c r="R251" s="12">
        <f>IF(P$12=0,0,P251/P$12)</f>
        <v>0.12468176217707311</v>
      </c>
      <c r="S251" s="4"/>
      <c r="T251" s="4">
        <v>529161</v>
      </c>
      <c r="U251" s="4"/>
      <c r="V251" s="12">
        <f>IF(T$12=0,0,T251/T$12)</f>
        <v>0.16240274653980843</v>
      </c>
      <c r="W251" s="4"/>
      <c r="X251" s="4">
        <f>+P251-T251</f>
        <v>-148265.19</v>
      </c>
      <c r="Y251" s="4"/>
      <c r="Z251" s="12">
        <f>IF(T251=0,0,X251/T251)</f>
        <v>-0.28018918627790029</v>
      </c>
    </row>
    <row r="252" spans="1:26" x14ac:dyDescent="0.25">
      <c r="A252" s="9"/>
      <c r="B252" s="10"/>
      <c r="C252" s="10"/>
      <c r="D252" s="3"/>
      <c r="E252" s="3"/>
      <c r="F252" s="8"/>
      <c r="G252" s="3"/>
      <c r="H252" s="3"/>
      <c r="I252" s="3"/>
      <c r="J252" s="8"/>
      <c r="K252" s="3"/>
      <c r="L252" s="3"/>
      <c r="M252" s="3"/>
      <c r="N252" s="8"/>
      <c r="O252" s="10"/>
      <c r="P252" s="3"/>
      <c r="Q252" s="3"/>
      <c r="R252" s="8"/>
      <c r="S252" s="3"/>
      <c r="T252" s="3"/>
      <c r="U252" s="3"/>
      <c r="V252" s="8"/>
      <c r="W252" s="3"/>
      <c r="X252" s="3"/>
      <c r="Y252" s="3"/>
      <c r="Z252" s="8"/>
    </row>
    <row r="253" spans="1:26" s="23" customFormat="1" ht="15.75" thickBot="1" x14ac:dyDescent="0.3">
      <c r="A253" s="10"/>
      <c r="B253" s="29" t="s">
        <v>4</v>
      </c>
      <c r="C253" s="29"/>
      <c r="D253" s="31">
        <f>+D249-D251</f>
        <v>265001.71000000037</v>
      </c>
      <c r="E253" s="14"/>
      <c r="F253" s="32">
        <f>IF(D$12=0,0,D253/D$12)</f>
        <v>9.8039641936528935E-2</v>
      </c>
      <c r="G253" s="14"/>
      <c r="H253" s="31">
        <f>+H249-H251</f>
        <v>192175.77017056919</v>
      </c>
      <c r="I253" s="14"/>
      <c r="J253" s="32">
        <f>IF(H$12=0,0,H253/H$12)</f>
        <v>6.6921118116847908E-2</v>
      </c>
      <c r="K253" s="15"/>
      <c r="L253" s="31">
        <f>D253-H253</f>
        <v>72825.939829431183</v>
      </c>
      <c r="M253" s="15"/>
      <c r="N253" s="32">
        <f>IF(H253=0,0,L253/H253)</f>
        <v>0.37895484828702997</v>
      </c>
      <c r="O253" s="28"/>
      <c r="P253" s="31">
        <f>+P249-P251</f>
        <v>64941.11000000051</v>
      </c>
      <c r="Q253" s="14"/>
      <c r="R253" s="32">
        <f>IF(P$12=0,0,P253/P$12)</f>
        <v>2.1257708328519569E-2</v>
      </c>
      <c r="S253" s="14"/>
      <c r="T253" s="31">
        <f>+T249-T251</f>
        <v>-92836.380197669845</v>
      </c>
      <c r="U253" s="14"/>
      <c r="V253" s="32">
        <f>IF(T$12=0,0,T253/T$12)</f>
        <v>-2.8492052745601935E-2</v>
      </c>
      <c r="W253" s="15"/>
      <c r="X253" s="31">
        <f>P253-T253</f>
        <v>157777.49019767035</v>
      </c>
      <c r="Y253" s="15"/>
      <c r="Z253" s="32">
        <f>IF(T253=0,0,X253/T253)</f>
        <v>-1.6995222116774271</v>
      </c>
    </row>
    <row r="254" spans="1:26" ht="15.75" thickTop="1" x14ac:dyDescent="0.25">
      <c r="A254" s="9"/>
      <c r="B254" s="9"/>
      <c r="C254" s="9"/>
      <c r="D254" s="3"/>
      <c r="E254" s="3"/>
      <c r="F254" s="8"/>
      <c r="G254" s="3"/>
      <c r="H254" s="3"/>
      <c r="I254" s="3"/>
      <c r="J254" s="8"/>
      <c r="K254" s="3"/>
      <c r="L254" s="3"/>
      <c r="M254" s="3"/>
      <c r="N254" s="8"/>
      <c r="P254" s="3"/>
      <c r="Q254" s="3"/>
      <c r="R254" s="8"/>
      <c r="S254" s="3"/>
      <c r="T254" s="3"/>
      <c r="U254" s="3"/>
      <c r="V254" s="8"/>
      <c r="W254" s="3"/>
      <c r="X254" s="3"/>
      <c r="Y254" s="3"/>
      <c r="Z254" s="8"/>
    </row>
    <row r="255" spans="1:26" x14ac:dyDescent="0.25">
      <c r="A255" s="9"/>
      <c r="B255" s="9"/>
      <c r="C255" s="9"/>
      <c r="D255" s="3"/>
      <c r="E255" s="3"/>
      <c r="F255" s="8"/>
      <c r="G255" s="3"/>
      <c r="H255" s="3"/>
      <c r="I255" s="3"/>
      <c r="J255" s="8"/>
      <c r="K255" s="3"/>
      <c r="L255" s="3"/>
      <c r="M255" s="3"/>
      <c r="N255" s="8"/>
      <c r="P255" s="3"/>
      <c r="Q255" s="3"/>
      <c r="R255" s="8"/>
      <c r="S255" s="3"/>
      <c r="T255" s="3"/>
      <c r="U255" s="3"/>
      <c r="V255" s="8"/>
      <c r="W255" s="3"/>
      <c r="X255" s="3"/>
      <c r="Y255" s="3"/>
      <c r="Z255" s="8"/>
    </row>
    <row r="256" spans="1:26" s="23" customFormat="1" ht="15.75" thickBot="1" x14ac:dyDescent="0.3">
      <c r="A256" s="10"/>
      <c r="B256" s="29" t="s">
        <v>5</v>
      </c>
      <c r="C256" s="29"/>
      <c r="D256" s="33">
        <f>SUM(D253:D255)</f>
        <v>265001.71000000037</v>
      </c>
      <c r="E256" s="14"/>
      <c r="F256" s="35">
        <f>IF(D$12=0,0,D256/D$12)</f>
        <v>9.8039641936528935E-2</v>
      </c>
      <c r="G256" s="14"/>
      <c r="H256" s="33">
        <f>SUM(H253:H255)</f>
        <v>192175.77017056919</v>
      </c>
      <c r="I256" s="14"/>
      <c r="J256" s="35">
        <f>IF(H$12=0,0,H256/H$12)</f>
        <v>6.6921118116847908E-2</v>
      </c>
      <c r="K256" s="15"/>
      <c r="L256" s="33">
        <f>+D256-H256</f>
        <v>72825.939829431183</v>
      </c>
      <c r="M256" s="15"/>
      <c r="N256" s="35">
        <f>IF(H256=0,0,L256/H256)</f>
        <v>0.37895484828702997</v>
      </c>
      <c r="O256" s="28"/>
      <c r="P256" s="33">
        <f>SUM(P253:P255)</f>
        <v>64941.11000000051</v>
      </c>
      <c r="Q256" s="14"/>
      <c r="R256" s="35">
        <f>IF(P$12=0,0,P256/P$12)</f>
        <v>2.1257708328519569E-2</v>
      </c>
      <c r="S256" s="14"/>
      <c r="T256" s="33">
        <f>SUM(T253:T255)</f>
        <v>-92836.380197669845</v>
      </c>
      <c r="U256" s="14"/>
      <c r="V256" s="35">
        <f>IF(T$12=0,0,T256/T$12)</f>
        <v>-2.8492052745601935E-2</v>
      </c>
      <c r="W256" s="15"/>
      <c r="X256" s="33">
        <f>+P256-T256</f>
        <v>157777.49019767035</v>
      </c>
      <c r="Y256" s="15"/>
      <c r="Z256" s="35">
        <f>IF(T256=0,0,X256/T256)</f>
        <v>-1.6995222116774271</v>
      </c>
    </row>
    <row r="257" spans="1:24" ht="15.75" thickTop="1" x14ac:dyDescent="0.25">
      <c r="A257" s="9"/>
      <c r="C257" s="9"/>
      <c r="D257" s="17"/>
      <c r="E257" s="17"/>
      <c r="G257" s="17"/>
      <c r="H257" s="17"/>
      <c r="I257" s="17"/>
      <c r="J257" s="42"/>
      <c r="K257" s="17"/>
      <c r="L257" s="17"/>
      <c r="M257" s="17"/>
      <c r="P257" s="17"/>
      <c r="Q257" s="17"/>
      <c r="R257" s="42"/>
      <c r="S257" s="17"/>
      <c r="T257" s="17"/>
      <c r="U257" s="17"/>
      <c r="V257" s="42"/>
      <c r="W257" s="17"/>
      <c r="X257" s="17"/>
    </row>
    <row r="258" spans="1:24" x14ac:dyDescent="0.25">
      <c r="A258" s="9"/>
      <c r="B258" s="61">
        <v>43732.705419756945</v>
      </c>
      <c r="D258" s="17"/>
      <c r="E258" s="17"/>
      <c r="G258" s="17"/>
      <c r="H258" s="17"/>
      <c r="I258" s="17"/>
      <c r="J258" s="42"/>
      <c r="K258" s="17"/>
      <c r="L258" s="17"/>
      <c r="M258" s="17"/>
      <c r="P258" s="17"/>
      <c r="Q258" s="17"/>
      <c r="R258" s="42"/>
      <c r="S258" s="17"/>
      <c r="T258" s="17"/>
      <c r="U258" s="17"/>
      <c r="V258" s="42"/>
      <c r="W258" s="17"/>
      <c r="X258" s="17"/>
    </row>
    <row r="259" spans="1:24" x14ac:dyDescent="0.25">
      <c r="A259" s="9"/>
      <c r="B259" s="62" t="s">
        <v>314</v>
      </c>
      <c r="D259" s="17"/>
      <c r="E259" s="17"/>
      <c r="G259" s="17"/>
      <c r="H259" s="17"/>
      <c r="I259" s="17"/>
      <c r="J259" s="42"/>
      <c r="K259" s="17"/>
      <c r="L259" s="17"/>
      <c r="M259" s="17"/>
      <c r="P259" s="17"/>
      <c r="Q259" s="17"/>
      <c r="R259" s="42"/>
      <c r="S259" s="17"/>
      <c r="T259" s="17"/>
      <c r="U259" s="17"/>
      <c r="V259" s="42"/>
      <c r="W259" s="17"/>
      <c r="X259" s="17"/>
    </row>
    <row r="260" spans="1:24" x14ac:dyDescent="0.25">
      <c r="A260" s="9"/>
      <c r="B260" s="58"/>
      <c r="D260" s="17"/>
      <c r="E260" s="17"/>
      <c r="G260" s="17"/>
      <c r="H260" s="17"/>
      <c r="I260" s="17"/>
      <c r="J260" s="42"/>
      <c r="K260" s="17"/>
      <c r="L260" s="17"/>
      <c r="M260" s="17"/>
      <c r="P260" s="17"/>
      <c r="Q260" s="17"/>
      <c r="R260" s="42"/>
      <c r="S260" s="17"/>
      <c r="T260" s="17"/>
      <c r="U260" s="17"/>
      <c r="V260" s="42"/>
      <c r="W260" s="17"/>
      <c r="X260" s="17"/>
    </row>
    <row r="261" spans="1:24" x14ac:dyDescent="0.25">
      <c r="D261" s="17"/>
      <c r="E261" s="17"/>
      <c r="G261" s="17"/>
      <c r="H261" s="17"/>
      <c r="I261" s="17"/>
      <c r="J261" s="42"/>
      <c r="K261" s="17"/>
      <c r="L261" s="17"/>
      <c r="M261" s="17"/>
      <c r="P261" s="17"/>
      <c r="Q261" s="17"/>
      <c r="R261" s="42"/>
      <c r="S261" s="17"/>
      <c r="T261" s="17"/>
      <c r="U261" s="17"/>
      <c r="V261" s="42"/>
      <c r="W261" s="17"/>
      <c r="X261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297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8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312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3204520.7900000005</v>
      </c>
      <c r="E12" s="4"/>
      <c r="F12" s="12"/>
      <c r="G12" s="4"/>
      <c r="H12" s="4">
        <f>SUM(OSRRefH13x_0)</f>
        <v>3207461.0206399998</v>
      </c>
      <c r="I12" s="4"/>
      <c r="J12" s="12"/>
      <c r="K12" s="4"/>
      <c r="L12" s="4">
        <f t="shared" ref="L12:L110" si="0">+D12-H12</f>
        <v>-2940.2306399992667</v>
      </c>
      <c r="M12" s="4"/>
      <c r="N12" s="12">
        <f t="shared" ref="N12:N110" si="1">IF(H12=0,0,L12/H12)</f>
        <v>-9.1668476127344757E-4</v>
      </c>
      <c r="O12" s="10"/>
      <c r="P12" s="4">
        <f>SUM(OSRRefP13x_0)</f>
        <v>3926796.540000001</v>
      </c>
      <c r="Q12" s="4"/>
      <c r="R12" s="12"/>
      <c r="S12" s="4"/>
      <c r="T12" s="4">
        <f>SUM(OSRRefT13x_0)</f>
        <v>4005943.4364499999</v>
      </c>
      <c r="U12" s="4"/>
      <c r="V12" s="12"/>
      <c r="W12" s="4"/>
      <c r="X12" s="4">
        <f t="shared" ref="X12:X110" si="2">+P12-T12</f>
        <v>-79146.896449998952</v>
      </c>
      <c r="Y12" s="4"/>
      <c r="Z12" s="12">
        <f t="shared" ref="Z12:Z110" si="3">IF(T12=0,0,X12/T12)</f>
        <v>-1.9757367448038059E-2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814292.02064</v>
      </c>
      <c r="I13" s="2"/>
      <c r="J13" s="21"/>
      <c r="K13" s="2"/>
      <c r="L13" s="2">
        <f t="shared" si="0"/>
        <v>-814292.02064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1431014.4364499999</v>
      </c>
      <c r="U13" s="2"/>
      <c r="V13" s="21"/>
      <c r="W13" s="2"/>
      <c r="X13" s="2">
        <f t="shared" si="2"/>
        <v>-1431014.4364499999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"4001", " - ", "TAXABLE SALES-NEW TEXT")</f>
        <v xml:space="preserve">          4001 - TAXABLE SALES-NEW TEXT</v>
      </c>
      <c r="C14" s="11"/>
      <c r="D14" s="2">
        <f>--1090909.72</f>
        <v>1090909.72</v>
      </c>
      <c r="E14" s="2"/>
      <c r="F14" s="21"/>
      <c r="G14" s="2"/>
      <c r="H14" s="2"/>
      <c r="I14" s="2"/>
      <c r="J14" s="21"/>
      <c r="K14" s="2"/>
      <c r="L14" s="2">
        <f t="shared" si="0"/>
        <v>1090909.72</v>
      </c>
      <c r="M14" s="2"/>
      <c r="N14" s="21">
        <f t="shared" si="1"/>
        <v>0</v>
      </c>
      <c r="O14" s="11"/>
      <c r="P14" s="2">
        <f>--1127221.97</f>
        <v>1127221.97</v>
      </c>
      <c r="Q14" s="2"/>
      <c r="R14" s="21"/>
      <c r="S14" s="2"/>
      <c r="T14" s="2"/>
      <c r="U14" s="2"/>
      <c r="V14" s="21"/>
      <c r="W14" s="2"/>
      <c r="X14" s="2">
        <f t="shared" si="2"/>
        <v>1127221.97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"4002", " - ", "TAXABLE SALES-USED TEXT")</f>
        <v xml:space="preserve">          4002 - TAXABLE SALES-USED TEXT</v>
      </c>
      <c r="C15" s="11"/>
      <c r="D15" s="2">
        <f>--533666.11</f>
        <v>533666.11</v>
      </c>
      <c r="E15" s="2"/>
      <c r="F15" s="21"/>
      <c r="G15" s="2"/>
      <c r="H15" s="2"/>
      <c r="I15" s="2"/>
      <c r="J15" s="21"/>
      <c r="K15" s="2"/>
      <c r="L15" s="2">
        <f t="shared" si="0"/>
        <v>533666.11</v>
      </c>
      <c r="M15" s="2"/>
      <c r="N15" s="21">
        <f t="shared" si="1"/>
        <v>0</v>
      </c>
      <c r="O15" s="11"/>
      <c r="P15" s="2">
        <f>--555460.92</f>
        <v>555460.92000000004</v>
      </c>
      <c r="Q15" s="2"/>
      <c r="R15" s="21"/>
      <c r="S15" s="2"/>
      <c r="T15" s="2"/>
      <c r="U15" s="2"/>
      <c r="V15" s="21"/>
      <c r="W15" s="2"/>
      <c r="X15" s="2">
        <f t="shared" si="2"/>
        <v>555460.92000000004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"4003", " - ", "TAXABLE SALES-RENTAL TEXT")</f>
        <v xml:space="preserve">          4003 - TAXABLE SALES-RENTAL TEXT</v>
      </c>
      <c r="C16" s="11"/>
      <c r="D16" s="2">
        <f>--12302.07</f>
        <v>12302.07</v>
      </c>
      <c r="E16" s="2"/>
      <c r="F16" s="21"/>
      <c r="G16" s="2"/>
      <c r="H16" s="2"/>
      <c r="I16" s="2"/>
      <c r="J16" s="21"/>
      <c r="K16" s="2"/>
      <c r="L16" s="2">
        <f t="shared" si="0"/>
        <v>12302.07</v>
      </c>
      <c r="M16" s="2"/>
      <c r="N16" s="21">
        <f t="shared" si="1"/>
        <v>0</v>
      </c>
      <c r="O16" s="11"/>
      <c r="P16" s="2">
        <f>--12736.05</f>
        <v>12736.05</v>
      </c>
      <c r="Q16" s="2"/>
      <c r="R16" s="21"/>
      <c r="S16" s="2"/>
      <c r="T16" s="2"/>
      <c r="U16" s="2"/>
      <c r="V16" s="21"/>
      <c r="W16" s="2"/>
      <c r="X16" s="2">
        <f t="shared" si="2"/>
        <v>12736.05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"4004", " - ", "TAXABLE SALES-DIGITAL TEXT")</f>
        <v xml:space="preserve">          4004 - TAXABLE SALES-DIGITAL TEXT</v>
      </c>
      <c r="C17" s="11"/>
      <c r="D17" s="2">
        <f>--22276.72</f>
        <v>22276.720000000001</v>
      </c>
      <c r="E17" s="2"/>
      <c r="F17" s="21"/>
      <c r="G17" s="2"/>
      <c r="H17" s="2"/>
      <c r="I17" s="2"/>
      <c r="J17" s="21"/>
      <c r="K17" s="2"/>
      <c r="L17" s="2">
        <f t="shared" si="0"/>
        <v>22276.720000000001</v>
      </c>
      <c r="M17" s="2"/>
      <c r="N17" s="21">
        <f t="shared" si="1"/>
        <v>0</v>
      </c>
      <c r="O17" s="11"/>
      <c r="P17" s="2">
        <f>--22410.07</f>
        <v>22410.07</v>
      </c>
      <c r="Q17" s="2"/>
      <c r="R17" s="21"/>
      <c r="S17" s="2"/>
      <c r="T17" s="2"/>
      <c r="U17" s="2"/>
      <c r="V17" s="21"/>
      <c r="W17" s="2"/>
      <c r="X17" s="2">
        <f t="shared" si="2"/>
        <v>22410.07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"4013", " - ", "TAXABLE SALES-TRADE BOOKS")</f>
        <v xml:space="preserve">          4013 - TAXABLE SALES-TRADE BOOKS</v>
      </c>
      <c r="C18" s="11"/>
      <c r="D18" s="2">
        <f>--70.86</f>
        <v>70.86</v>
      </c>
      <c r="E18" s="2"/>
      <c r="F18" s="21"/>
      <c r="G18" s="2"/>
      <c r="H18" s="2"/>
      <c r="I18" s="2"/>
      <c r="J18" s="21"/>
      <c r="K18" s="2"/>
      <c r="L18" s="2">
        <f t="shared" si="0"/>
        <v>70.86</v>
      </c>
      <c r="M18" s="2"/>
      <c r="N18" s="21">
        <f t="shared" si="1"/>
        <v>0</v>
      </c>
      <c r="O18" s="11"/>
      <c r="P18" s="2">
        <f>--110.81</f>
        <v>110.81</v>
      </c>
      <c r="Q18" s="2"/>
      <c r="R18" s="21"/>
      <c r="S18" s="2"/>
      <c r="T18" s="2"/>
      <c r="U18" s="2"/>
      <c r="V18" s="21"/>
      <c r="W18" s="2"/>
      <c r="X18" s="2">
        <f t="shared" si="2"/>
        <v>110.81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"4014", " - ", "TAXABLE SALES-REMAINDERS")</f>
        <v xml:space="preserve">          4014 - TAXABLE SALES-REMAINDERS</v>
      </c>
      <c r="C19" s="11"/>
      <c r="D19" s="2">
        <f>--175</f>
        <v>175</v>
      </c>
      <c r="E19" s="2"/>
      <c r="F19" s="21"/>
      <c r="G19" s="2"/>
      <c r="H19" s="2"/>
      <c r="I19" s="2"/>
      <c r="J19" s="21"/>
      <c r="K19" s="2"/>
      <c r="L19" s="2">
        <f t="shared" si="0"/>
        <v>175</v>
      </c>
      <c r="M19" s="2"/>
      <c r="N19" s="21">
        <f t="shared" si="1"/>
        <v>0</v>
      </c>
      <c r="O19" s="11"/>
      <c r="P19" s="2">
        <f>--425.65</f>
        <v>425.65</v>
      </c>
      <c r="Q19" s="2"/>
      <c r="R19" s="21"/>
      <c r="S19" s="2"/>
      <c r="T19" s="2"/>
      <c r="U19" s="2"/>
      <c r="V19" s="21"/>
      <c r="W19" s="2"/>
      <c r="X19" s="2">
        <f t="shared" si="2"/>
        <v>425.65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--152.83</f>
        <v>152.83000000000001</v>
      </c>
      <c r="E20" s="2"/>
      <c r="F20" s="21"/>
      <c r="G20" s="2"/>
      <c r="H20" s="2"/>
      <c r="I20" s="2"/>
      <c r="J20" s="21"/>
      <c r="K20" s="2"/>
      <c r="L20" s="2">
        <f t="shared" si="0"/>
        <v>152.83000000000001</v>
      </c>
      <c r="M20" s="2"/>
      <c r="N20" s="21">
        <f t="shared" si="1"/>
        <v>0</v>
      </c>
      <c r="O20" s="11"/>
      <c r="P20" s="2">
        <f>--157.3</f>
        <v>157.30000000000001</v>
      </c>
      <c r="Q20" s="2"/>
      <c r="R20" s="21"/>
      <c r="S20" s="2"/>
      <c r="T20" s="2"/>
      <c r="U20" s="2"/>
      <c r="V20" s="21"/>
      <c r="W20" s="2"/>
      <c r="X20" s="2">
        <f t="shared" si="2"/>
        <v>157.30000000000001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"4018", " - ", "TAXABLE SALES-STUDY GUIDES")</f>
        <v xml:space="preserve">          4018 - TAXABLE SALES-STUDY GUIDES</v>
      </c>
      <c r="C21" s="11"/>
      <c r="D21" s="2">
        <f>--1184.84</f>
        <v>1184.8399999999999</v>
      </c>
      <c r="E21" s="2"/>
      <c r="F21" s="21"/>
      <c r="G21" s="2"/>
      <c r="H21" s="2"/>
      <c r="I21" s="2"/>
      <c r="J21" s="21"/>
      <c r="K21" s="2"/>
      <c r="L21" s="2">
        <f t="shared" si="0"/>
        <v>1184.8399999999999</v>
      </c>
      <c r="M21" s="2"/>
      <c r="N21" s="21">
        <f t="shared" si="1"/>
        <v>0</v>
      </c>
      <c r="O21" s="11"/>
      <c r="P21" s="2">
        <f>--1364.13</f>
        <v>1364.13</v>
      </c>
      <c r="Q21" s="2"/>
      <c r="R21" s="21"/>
      <c r="S21" s="2"/>
      <c r="T21" s="2"/>
      <c r="U21" s="2"/>
      <c r="V21" s="21"/>
      <c r="W21" s="2"/>
      <c r="X21" s="2">
        <f t="shared" si="2"/>
        <v>1364.13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"4019", " - ", "TAXABLE SALES-BOOK RELATED")</f>
        <v xml:space="preserve">          4019 - TAXABLE SALES-BOOK RELATED</v>
      </c>
      <c r="C22" s="11"/>
      <c r="D22" s="2">
        <f>--14.95</f>
        <v>14.95</v>
      </c>
      <c r="E22" s="2"/>
      <c r="F22" s="21"/>
      <c r="G22" s="2"/>
      <c r="H22" s="2"/>
      <c r="I22" s="2"/>
      <c r="J22" s="21"/>
      <c r="K22" s="2"/>
      <c r="L22" s="2">
        <f t="shared" si="0"/>
        <v>14.95</v>
      </c>
      <c r="M22" s="2"/>
      <c r="N22" s="21">
        <f t="shared" si="1"/>
        <v>0</v>
      </c>
      <c r="O22" s="11"/>
      <c r="P22" s="2">
        <f>--14.95</f>
        <v>14.95</v>
      </c>
      <c r="Q22" s="2"/>
      <c r="R22" s="21"/>
      <c r="S22" s="2"/>
      <c r="T22" s="2"/>
      <c r="U22" s="2"/>
      <c r="V22" s="21"/>
      <c r="W22" s="2"/>
      <c r="X22" s="2">
        <f t="shared" si="2"/>
        <v>14.95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"4025", " - ", "TAXABLE SALES-TEST FORMS")</f>
        <v xml:space="preserve">          4025 - TAXABLE SALES-TEST FORMS</v>
      </c>
      <c r="C23" s="11"/>
      <c r="D23" s="2">
        <f>--4066.24</f>
        <v>4066.24</v>
      </c>
      <c r="E23" s="2"/>
      <c r="F23" s="21"/>
      <c r="G23" s="2"/>
      <c r="H23" s="2"/>
      <c r="I23" s="2"/>
      <c r="J23" s="21"/>
      <c r="K23" s="2"/>
      <c r="L23" s="2">
        <f t="shared" si="0"/>
        <v>4066.24</v>
      </c>
      <c r="M23" s="2"/>
      <c r="N23" s="21">
        <f t="shared" si="1"/>
        <v>0</v>
      </c>
      <c r="O23" s="11"/>
      <c r="P23" s="2">
        <f>--4458.53</f>
        <v>4458.53</v>
      </c>
      <c r="Q23" s="2"/>
      <c r="R23" s="21"/>
      <c r="S23" s="2"/>
      <c r="T23" s="2"/>
      <c r="U23" s="2"/>
      <c r="V23" s="21"/>
      <c r="W23" s="2"/>
      <c r="X23" s="2">
        <f t="shared" si="2"/>
        <v>4458.53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>--10841.03</f>
        <v>10841.03</v>
      </c>
      <c r="E24" s="2"/>
      <c r="F24" s="21"/>
      <c r="G24" s="2"/>
      <c r="H24" s="2"/>
      <c r="I24" s="2"/>
      <c r="J24" s="21"/>
      <c r="K24" s="2"/>
      <c r="L24" s="2">
        <f t="shared" si="0"/>
        <v>10841.03</v>
      </c>
      <c r="M24" s="2"/>
      <c r="N24" s="21">
        <f t="shared" si="1"/>
        <v>0</v>
      </c>
      <c r="O24" s="11"/>
      <c r="P24" s="2">
        <f>--12776.54</f>
        <v>12776.54</v>
      </c>
      <c r="Q24" s="2"/>
      <c r="R24" s="21"/>
      <c r="S24" s="2"/>
      <c r="T24" s="2"/>
      <c r="U24" s="2"/>
      <c r="V24" s="21"/>
      <c r="W24" s="2"/>
      <c r="X24" s="2">
        <f t="shared" si="2"/>
        <v>12776.54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--65949.25</f>
        <v>65949.25</v>
      </c>
      <c r="E25" s="2"/>
      <c r="F25" s="21"/>
      <c r="G25" s="2"/>
      <c r="H25" s="2"/>
      <c r="I25" s="2"/>
      <c r="J25" s="21"/>
      <c r="K25" s="2"/>
      <c r="L25" s="2">
        <f t="shared" si="0"/>
        <v>65949.25</v>
      </c>
      <c r="M25" s="2"/>
      <c r="N25" s="21">
        <f t="shared" si="1"/>
        <v>0</v>
      </c>
      <c r="O25" s="11"/>
      <c r="P25" s="2">
        <f>--79099.25</f>
        <v>79099.25</v>
      </c>
      <c r="Q25" s="2"/>
      <c r="R25" s="21"/>
      <c r="S25" s="2"/>
      <c r="T25" s="2"/>
      <c r="U25" s="2"/>
      <c r="V25" s="21"/>
      <c r="W25" s="2"/>
      <c r="X25" s="2">
        <f t="shared" si="2"/>
        <v>79099.25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"4028", " - ", "TAXABLE SALES-ART/TECH")</f>
        <v xml:space="preserve">          4028 - TAXABLE SALES-ART/TECH</v>
      </c>
      <c r="C26" s="11"/>
      <c r="D26" s="2">
        <f>--46631.39</f>
        <v>46631.39</v>
      </c>
      <c r="E26" s="2"/>
      <c r="F26" s="21"/>
      <c r="G26" s="2"/>
      <c r="H26" s="2"/>
      <c r="I26" s="2"/>
      <c r="J26" s="21"/>
      <c r="K26" s="2"/>
      <c r="L26" s="2">
        <f t="shared" si="0"/>
        <v>46631.39</v>
      </c>
      <c r="M26" s="2"/>
      <c r="N26" s="21">
        <f t="shared" si="1"/>
        <v>0</v>
      </c>
      <c r="O26" s="11"/>
      <c r="P26" s="2">
        <f>--48915.55</f>
        <v>48915.55</v>
      </c>
      <c r="Q26" s="2"/>
      <c r="R26" s="21"/>
      <c r="S26" s="2"/>
      <c r="T26" s="2"/>
      <c r="U26" s="2"/>
      <c r="V26" s="21"/>
      <c r="W26" s="2"/>
      <c r="X26" s="2">
        <f t="shared" si="2"/>
        <v>48915.55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"4031", " - ", "TAXABLE SALES-FOOD")</f>
        <v xml:space="preserve">          4031 - TAXABLE SALES-FOOD</v>
      </c>
      <c r="C27" s="11"/>
      <c r="D27" s="2">
        <f>--30.82</f>
        <v>30.82</v>
      </c>
      <c r="E27" s="2"/>
      <c r="F27" s="21"/>
      <c r="G27" s="2"/>
      <c r="H27" s="2"/>
      <c r="I27" s="2"/>
      <c r="J27" s="21"/>
      <c r="K27" s="2"/>
      <c r="L27" s="2">
        <f t="shared" si="0"/>
        <v>30.82</v>
      </c>
      <c r="M27" s="2"/>
      <c r="N27" s="21">
        <f t="shared" si="1"/>
        <v>0</v>
      </c>
      <c r="O27" s="11"/>
      <c r="P27" s="2">
        <f>--32.34</f>
        <v>32.340000000000003</v>
      </c>
      <c r="Q27" s="2"/>
      <c r="R27" s="21"/>
      <c r="S27" s="2"/>
      <c r="T27" s="2"/>
      <c r="U27" s="2"/>
      <c r="V27" s="21"/>
      <c r="W27" s="2"/>
      <c r="X27" s="2">
        <f t="shared" si="2"/>
        <v>32.340000000000003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"4032", " - ", "TAXABLE SALES-JUICE")</f>
        <v xml:space="preserve">          4032 - TAXABLE SALES-JUICE</v>
      </c>
      <c r="C28" s="11"/>
      <c r="D28" s="2">
        <f>--2.34</f>
        <v>2.34</v>
      </c>
      <c r="E28" s="2"/>
      <c r="F28" s="21"/>
      <c r="G28" s="2"/>
      <c r="H28" s="2"/>
      <c r="I28" s="2"/>
      <c r="J28" s="21"/>
      <c r="K28" s="2"/>
      <c r="L28" s="2">
        <f t="shared" si="0"/>
        <v>2.34</v>
      </c>
      <c r="M28" s="2"/>
      <c r="N28" s="21">
        <f t="shared" si="1"/>
        <v>0</v>
      </c>
      <c r="O28" s="11"/>
      <c r="P28" s="2">
        <f>--3.81</f>
        <v>3.81</v>
      </c>
      <c r="Q28" s="2"/>
      <c r="R28" s="21"/>
      <c r="S28" s="2"/>
      <c r="T28" s="2"/>
      <c r="U28" s="2"/>
      <c r="V28" s="21"/>
      <c r="W28" s="2"/>
      <c r="X28" s="2">
        <f t="shared" si="2"/>
        <v>3.81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"4033", " - ", "TAXABLE SALES-CANDY")</f>
        <v xml:space="preserve">          4033 - TAXABLE SALES-CANDY</v>
      </c>
      <c r="C29" s="11"/>
      <c r="D29" s="2">
        <f>--9.83</f>
        <v>9.83</v>
      </c>
      <c r="E29" s="2"/>
      <c r="F29" s="21"/>
      <c r="G29" s="2"/>
      <c r="H29" s="2"/>
      <c r="I29" s="2"/>
      <c r="J29" s="21"/>
      <c r="K29" s="2"/>
      <c r="L29" s="2">
        <f t="shared" si="0"/>
        <v>9.83</v>
      </c>
      <c r="M29" s="2"/>
      <c r="N29" s="21">
        <f t="shared" si="1"/>
        <v>0</v>
      </c>
      <c r="O29" s="11"/>
      <c r="P29" s="2">
        <f>--13</f>
        <v>13</v>
      </c>
      <c r="Q29" s="2"/>
      <c r="R29" s="21"/>
      <c r="S29" s="2"/>
      <c r="T29" s="2"/>
      <c r="U29" s="2"/>
      <c r="V29" s="21"/>
      <c r="W29" s="2"/>
      <c r="X29" s="2">
        <f t="shared" si="2"/>
        <v>13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"4034", " - ", "TAXABLE SALES-SODA")</f>
        <v xml:space="preserve">          4034 - TAXABLE SALES-SODA</v>
      </c>
      <c r="C30" s="11"/>
      <c r="D30" s="2">
        <f>--280.8</f>
        <v>280.8</v>
      </c>
      <c r="E30" s="2"/>
      <c r="F30" s="21"/>
      <c r="G30" s="2"/>
      <c r="H30" s="2"/>
      <c r="I30" s="2"/>
      <c r="J30" s="21"/>
      <c r="K30" s="2"/>
      <c r="L30" s="2">
        <f t="shared" si="0"/>
        <v>280.8</v>
      </c>
      <c r="M30" s="2"/>
      <c r="N30" s="21">
        <f t="shared" si="1"/>
        <v>0</v>
      </c>
      <c r="O30" s="11"/>
      <c r="P30" s="2">
        <f>--315.54</f>
        <v>315.54000000000002</v>
      </c>
      <c r="Q30" s="2"/>
      <c r="R30" s="21"/>
      <c r="S30" s="2"/>
      <c r="T30" s="2"/>
      <c r="U30" s="2"/>
      <c r="V30" s="21"/>
      <c r="W30" s="2"/>
      <c r="X30" s="2">
        <f t="shared" si="2"/>
        <v>315.54000000000002</v>
      </c>
      <c r="Y30" s="2"/>
      <c r="Z30" s="21">
        <f t="shared" si="3"/>
        <v>0</v>
      </c>
    </row>
    <row r="31" spans="1:26" s="24" customFormat="1" hidden="1" outlineLevel="1" x14ac:dyDescent="0.25">
      <c r="A31" s="46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>--92.48</f>
        <v>92.48</v>
      </c>
      <c r="E31" s="2"/>
      <c r="F31" s="21"/>
      <c r="G31" s="2"/>
      <c r="H31" s="2"/>
      <c r="I31" s="2"/>
      <c r="J31" s="21"/>
      <c r="K31" s="2"/>
      <c r="L31" s="2">
        <f t="shared" si="0"/>
        <v>92.48</v>
      </c>
      <c r="M31" s="2"/>
      <c r="N31" s="21">
        <f t="shared" si="1"/>
        <v>0</v>
      </c>
      <c r="O31" s="11"/>
      <c r="P31" s="2">
        <f>--98.45</f>
        <v>98.45</v>
      </c>
      <c r="Q31" s="2"/>
      <c r="R31" s="21"/>
      <c r="S31" s="2"/>
      <c r="T31" s="2"/>
      <c r="U31" s="2"/>
      <c r="V31" s="21"/>
      <c r="W31" s="2"/>
      <c r="X31" s="2">
        <f t="shared" si="2"/>
        <v>98.45</v>
      </c>
      <c r="Y31" s="2"/>
      <c r="Z31" s="21">
        <f t="shared" si="3"/>
        <v>0</v>
      </c>
    </row>
    <row r="32" spans="1:26" s="24" customFormat="1" hidden="1" outlineLevel="1" x14ac:dyDescent="0.25">
      <c r="A32" s="46"/>
      <c r="B32" s="11" t="str">
        <f>CONCATENATE("          ", "4037", " - ", "TAXABLE SALES-WATER")</f>
        <v xml:space="preserve">          4037 - TAXABLE SALES-WATER</v>
      </c>
      <c r="C32" s="11"/>
      <c r="D32" s="2">
        <f>--36.88</f>
        <v>36.880000000000003</v>
      </c>
      <c r="E32" s="2"/>
      <c r="F32" s="21"/>
      <c r="G32" s="2"/>
      <c r="H32" s="2"/>
      <c r="I32" s="2"/>
      <c r="J32" s="21"/>
      <c r="K32" s="2"/>
      <c r="L32" s="2">
        <f t="shared" si="0"/>
        <v>36.880000000000003</v>
      </c>
      <c r="M32" s="2"/>
      <c r="N32" s="21">
        <f t="shared" si="1"/>
        <v>0</v>
      </c>
      <c r="O32" s="11"/>
      <c r="P32" s="2">
        <f>--42.17</f>
        <v>42.17</v>
      </c>
      <c r="Q32" s="2"/>
      <c r="R32" s="21"/>
      <c r="S32" s="2"/>
      <c r="T32" s="2"/>
      <c r="U32" s="2"/>
      <c r="V32" s="21"/>
      <c r="W32" s="2"/>
      <c r="X32" s="2">
        <f t="shared" si="2"/>
        <v>42.17</v>
      </c>
      <c r="Y32" s="2"/>
      <c r="Z32" s="21">
        <f t="shared" si="3"/>
        <v>0</v>
      </c>
    </row>
    <row r="33" spans="1:26" s="24" customFormat="1" hidden="1" outlineLevel="1" x14ac:dyDescent="0.25">
      <c r="A33" s="46"/>
      <c r="B33" s="11" t="str">
        <f>CONCATENATE("          ", "4040", " - ", "TAXABLE SALES-LOGO CLOTHING")</f>
        <v xml:space="preserve">          4040 - TAXABLE SALES-LOGO CLOTHING</v>
      </c>
      <c r="C33" s="11"/>
      <c r="D33" s="2">
        <f>--219441.66</f>
        <v>219441.66</v>
      </c>
      <c r="E33" s="2"/>
      <c r="F33" s="21"/>
      <c r="G33" s="2"/>
      <c r="H33" s="2"/>
      <c r="I33" s="2"/>
      <c r="J33" s="21"/>
      <c r="K33" s="2"/>
      <c r="L33" s="2">
        <f t="shared" si="0"/>
        <v>219441.66</v>
      </c>
      <c r="M33" s="2"/>
      <c r="N33" s="21">
        <f t="shared" si="1"/>
        <v>0</v>
      </c>
      <c r="O33" s="11"/>
      <c r="P33" s="2">
        <f>--389753.68</f>
        <v>389753.68</v>
      </c>
      <c r="Q33" s="2"/>
      <c r="R33" s="21"/>
      <c r="S33" s="2"/>
      <c r="T33" s="2"/>
      <c r="U33" s="2"/>
      <c r="V33" s="21"/>
      <c r="W33" s="2"/>
      <c r="X33" s="2">
        <f t="shared" si="2"/>
        <v>389753.68</v>
      </c>
      <c r="Y33" s="2"/>
      <c r="Z33" s="21">
        <f t="shared" si="3"/>
        <v>0</v>
      </c>
    </row>
    <row r="34" spans="1:26" s="24" customFormat="1" hidden="1" outlineLevel="1" x14ac:dyDescent="0.25">
      <c r="A34" s="46"/>
      <c r="B34" s="11" t="str">
        <f>CONCATENATE("          ", "4041", " - ", "TAXABLE SALES-LOGO GIFTS")</f>
        <v xml:space="preserve">          4041 - TAXABLE SALES-LOGO GIFTS</v>
      </c>
      <c r="C34" s="11"/>
      <c r="D34" s="2">
        <f>--120650.82</f>
        <v>120650.82</v>
      </c>
      <c r="E34" s="2"/>
      <c r="F34" s="21"/>
      <c r="G34" s="2"/>
      <c r="H34" s="2"/>
      <c r="I34" s="2"/>
      <c r="J34" s="21"/>
      <c r="K34" s="2"/>
      <c r="L34" s="2">
        <f t="shared" si="0"/>
        <v>120650.82</v>
      </c>
      <c r="M34" s="2"/>
      <c r="N34" s="21">
        <f t="shared" si="1"/>
        <v>0</v>
      </c>
      <c r="O34" s="11"/>
      <c r="P34" s="2">
        <f>--151692.41</f>
        <v>151692.41</v>
      </c>
      <c r="Q34" s="2"/>
      <c r="R34" s="21"/>
      <c r="S34" s="2"/>
      <c r="T34" s="2"/>
      <c r="U34" s="2"/>
      <c r="V34" s="21"/>
      <c r="W34" s="2"/>
      <c r="X34" s="2">
        <f t="shared" si="2"/>
        <v>151692.41</v>
      </c>
      <c r="Y34" s="2"/>
      <c r="Z34" s="21">
        <f t="shared" si="3"/>
        <v>0</v>
      </c>
    </row>
    <row r="35" spans="1:26" s="24" customFormat="1" hidden="1" outlineLevel="1" x14ac:dyDescent="0.25">
      <c r="A35" s="46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--44445.92</f>
        <v>44445.919999999998</v>
      </c>
      <c r="E35" s="2"/>
      <c r="F35" s="21"/>
      <c r="G35" s="2"/>
      <c r="H35" s="2"/>
      <c r="I35" s="2"/>
      <c r="J35" s="21"/>
      <c r="K35" s="2"/>
      <c r="L35" s="2">
        <f t="shared" si="0"/>
        <v>44445.919999999998</v>
      </c>
      <c r="M35" s="2"/>
      <c r="N35" s="21">
        <f t="shared" si="1"/>
        <v>0</v>
      </c>
      <c r="O35" s="11"/>
      <c r="P35" s="2">
        <f>--60038.97</f>
        <v>60038.97</v>
      </c>
      <c r="Q35" s="2"/>
      <c r="R35" s="21"/>
      <c r="S35" s="2"/>
      <c r="T35" s="2"/>
      <c r="U35" s="2"/>
      <c r="V35" s="21"/>
      <c r="W35" s="2"/>
      <c r="X35" s="2">
        <f t="shared" si="2"/>
        <v>60038.97</v>
      </c>
      <c r="Y35" s="2"/>
      <c r="Z35" s="21">
        <f t="shared" si="3"/>
        <v>0</v>
      </c>
    </row>
    <row r="36" spans="1:26" s="24" customFormat="1" hidden="1" outlineLevel="1" x14ac:dyDescent="0.25">
      <c r="A36" s="46"/>
      <c r="B36" s="11" t="str">
        <f>CONCATENATE("          ", "4043", " - ", "TAXABLE SALES-CARDS")</f>
        <v xml:space="preserve">          4043 - TAXABLE SALES-CARDS</v>
      </c>
      <c r="C36" s="11"/>
      <c r="D36" s="2">
        <f>--129.05</f>
        <v>129.05000000000001</v>
      </c>
      <c r="E36" s="2"/>
      <c r="F36" s="21"/>
      <c r="G36" s="2"/>
      <c r="H36" s="2"/>
      <c r="I36" s="2"/>
      <c r="J36" s="21"/>
      <c r="K36" s="2"/>
      <c r="L36" s="2">
        <f t="shared" si="0"/>
        <v>129.05000000000001</v>
      </c>
      <c r="M36" s="2"/>
      <c r="N36" s="21">
        <f t="shared" si="1"/>
        <v>0</v>
      </c>
      <c r="O36" s="11"/>
      <c r="P36" s="2">
        <f>--185.45</f>
        <v>185.45</v>
      </c>
      <c r="Q36" s="2"/>
      <c r="R36" s="21"/>
      <c r="S36" s="2"/>
      <c r="T36" s="2"/>
      <c r="U36" s="2"/>
      <c r="V36" s="21"/>
      <c r="W36" s="2"/>
      <c r="X36" s="2">
        <f t="shared" si="2"/>
        <v>185.45</v>
      </c>
      <c r="Y36" s="2"/>
      <c r="Z36" s="21">
        <f t="shared" si="3"/>
        <v>0</v>
      </c>
    </row>
    <row r="37" spans="1:26" s="24" customFormat="1" hidden="1" outlineLevel="1" x14ac:dyDescent="0.25">
      <c r="A37" s="46"/>
      <c r="B37" s="11" t="str">
        <f>CONCATENATE("          ", "4044", " - ", "TAXABLE SALES-ACCESSORIES")</f>
        <v xml:space="preserve">          4044 - TAXABLE SALES-ACCESSORIES</v>
      </c>
      <c r="C37" s="11"/>
      <c r="D37" s="2">
        <f>--19434.42</f>
        <v>19434.419999999998</v>
      </c>
      <c r="E37" s="2"/>
      <c r="F37" s="21"/>
      <c r="G37" s="2"/>
      <c r="H37" s="2"/>
      <c r="I37" s="2"/>
      <c r="J37" s="21"/>
      <c r="K37" s="2"/>
      <c r="L37" s="2">
        <f t="shared" si="0"/>
        <v>19434.419999999998</v>
      </c>
      <c r="M37" s="2"/>
      <c r="N37" s="21">
        <f t="shared" si="1"/>
        <v>0</v>
      </c>
      <c r="O37" s="11"/>
      <c r="P37" s="2">
        <f>--21777.07</f>
        <v>21777.07</v>
      </c>
      <c r="Q37" s="2"/>
      <c r="R37" s="21"/>
      <c r="S37" s="2"/>
      <c r="T37" s="2"/>
      <c r="U37" s="2"/>
      <c r="V37" s="21"/>
      <c r="W37" s="2"/>
      <c r="X37" s="2">
        <f t="shared" si="2"/>
        <v>21777.07</v>
      </c>
      <c r="Y37" s="2"/>
      <c r="Z37" s="21">
        <f t="shared" si="3"/>
        <v>0</v>
      </c>
    </row>
    <row r="38" spans="1:26" s="24" customFormat="1" hidden="1" outlineLevel="1" x14ac:dyDescent="0.25">
      <c r="A38" s="46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--6103.32</f>
        <v>6103.32</v>
      </c>
      <c r="E38" s="2"/>
      <c r="F38" s="21"/>
      <c r="G38" s="2"/>
      <c r="H38" s="2"/>
      <c r="I38" s="2"/>
      <c r="J38" s="21"/>
      <c r="K38" s="2"/>
      <c r="L38" s="2">
        <f t="shared" si="0"/>
        <v>6103.32</v>
      </c>
      <c r="M38" s="2"/>
      <c r="N38" s="21">
        <f t="shared" si="1"/>
        <v>0</v>
      </c>
      <c r="O38" s="11"/>
      <c r="P38" s="2">
        <f>--25524.04</f>
        <v>25524.04</v>
      </c>
      <c r="Q38" s="2"/>
      <c r="R38" s="21"/>
      <c r="S38" s="2"/>
      <c r="T38" s="2"/>
      <c r="U38" s="2"/>
      <c r="V38" s="21"/>
      <c r="W38" s="2"/>
      <c r="X38" s="2">
        <f t="shared" si="2"/>
        <v>25524.04</v>
      </c>
      <c r="Y38" s="2"/>
      <c r="Z38" s="21">
        <f t="shared" si="3"/>
        <v>0</v>
      </c>
    </row>
    <row r="39" spans="1:26" s="24" customFormat="1" hidden="1" outlineLevel="1" x14ac:dyDescent="0.25">
      <c r="A39" s="46"/>
      <c r="B39" s="11" t="str">
        <f>CONCATENATE("          ", "4047", " - ", "TAXABLE SALES-MISC")</f>
        <v xml:space="preserve">          4047 - TAXABLE SALES-MISC</v>
      </c>
      <c r="C39" s="11"/>
      <c r="D39" s="2">
        <f>--442.38</f>
        <v>442.38</v>
      </c>
      <c r="E39" s="2"/>
      <c r="F39" s="21"/>
      <c r="G39" s="2"/>
      <c r="H39" s="2"/>
      <c r="I39" s="2"/>
      <c r="J39" s="21"/>
      <c r="K39" s="2"/>
      <c r="L39" s="2">
        <f t="shared" si="0"/>
        <v>442.38</v>
      </c>
      <c r="M39" s="2"/>
      <c r="N39" s="21">
        <f t="shared" si="1"/>
        <v>0</v>
      </c>
      <c r="O39" s="11"/>
      <c r="P39" s="2">
        <f>--482.38</f>
        <v>482.38</v>
      </c>
      <c r="Q39" s="2"/>
      <c r="R39" s="21"/>
      <c r="S39" s="2"/>
      <c r="T39" s="2"/>
      <c r="U39" s="2"/>
      <c r="V39" s="21"/>
      <c r="W39" s="2"/>
      <c r="X39" s="2">
        <f t="shared" si="2"/>
        <v>482.38</v>
      </c>
      <c r="Y39" s="2"/>
      <c r="Z39" s="21">
        <f t="shared" si="3"/>
        <v>0</v>
      </c>
    </row>
    <row r="40" spans="1:26" s="24" customFormat="1" hidden="1" outlineLevel="1" x14ac:dyDescent="0.25">
      <c r="A40" s="46"/>
      <c r="B40" s="11" t="str">
        <f>CONCATENATE("          ", "4081", " - ", "TAXABLE SALES-ELECTRONICS")</f>
        <v xml:space="preserve">          4081 - TAXABLE SALES-ELECTRONICS</v>
      </c>
      <c r="C40" s="11"/>
      <c r="D40" s="2">
        <f>--88736.22</f>
        <v>88736.22</v>
      </c>
      <c r="E40" s="2"/>
      <c r="F40" s="21"/>
      <c r="G40" s="2"/>
      <c r="H40" s="2"/>
      <c r="I40" s="2"/>
      <c r="J40" s="21"/>
      <c r="K40" s="2"/>
      <c r="L40" s="2">
        <f t="shared" si="0"/>
        <v>88736.22</v>
      </c>
      <c r="M40" s="2"/>
      <c r="N40" s="21">
        <f t="shared" si="1"/>
        <v>0</v>
      </c>
      <c r="O40" s="11"/>
      <c r="P40" s="2">
        <f>--109688.79</f>
        <v>109688.79</v>
      </c>
      <c r="Q40" s="2"/>
      <c r="R40" s="21"/>
      <c r="S40" s="2"/>
      <c r="T40" s="2"/>
      <c r="U40" s="2"/>
      <c r="V40" s="21"/>
      <c r="W40" s="2"/>
      <c r="X40" s="2">
        <f t="shared" si="2"/>
        <v>109688.79</v>
      </c>
      <c r="Y40" s="2"/>
      <c r="Z40" s="21">
        <f t="shared" si="3"/>
        <v>0</v>
      </c>
    </row>
    <row r="41" spans="1:26" s="24" customFormat="1" hidden="1" outlineLevel="1" x14ac:dyDescent="0.25">
      <c r="A41" s="46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>--414784.04</f>
        <v>414784.04</v>
      </c>
      <c r="E41" s="2"/>
      <c r="F41" s="21"/>
      <c r="G41" s="2"/>
      <c r="H41" s="2"/>
      <c r="I41" s="2"/>
      <c r="J41" s="21"/>
      <c r="K41" s="2"/>
      <c r="L41" s="2">
        <f t="shared" si="0"/>
        <v>414784.04</v>
      </c>
      <c r="M41" s="2"/>
      <c r="N41" s="21">
        <f t="shared" si="1"/>
        <v>0</v>
      </c>
      <c r="O41" s="11"/>
      <c r="P41" s="2">
        <f>--813572.78</f>
        <v>813572.78</v>
      </c>
      <c r="Q41" s="2"/>
      <c r="R41" s="21"/>
      <c r="S41" s="2"/>
      <c r="T41" s="2"/>
      <c r="U41" s="2"/>
      <c r="V41" s="21"/>
      <c r="W41" s="2"/>
      <c r="X41" s="2">
        <f t="shared" si="2"/>
        <v>813572.78</v>
      </c>
      <c r="Y41" s="2"/>
      <c r="Z41" s="21">
        <f t="shared" si="3"/>
        <v>0</v>
      </c>
    </row>
    <row r="42" spans="1:26" s="24" customFormat="1" hidden="1" outlineLevel="1" x14ac:dyDescent="0.25">
      <c r="A42" s="46"/>
      <c r="B42" s="11" t="str">
        <f>CONCATENATE("          ", "4083", " - ", "TAXABLE SALES-COMPUTER EQUIPME")</f>
        <v xml:space="preserve">          4083 - TAXABLE SALES-COMPUTER EQUIPME</v>
      </c>
      <c r="C42" s="11"/>
      <c r="D42" s="2">
        <f>--15701.67</f>
        <v>15701.67</v>
      </c>
      <c r="E42" s="2"/>
      <c r="F42" s="21"/>
      <c r="G42" s="2"/>
      <c r="H42" s="2"/>
      <c r="I42" s="2"/>
      <c r="J42" s="21"/>
      <c r="K42" s="2"/>
      <c r="L42" s="2">
        <f t="shared" si="0"/>
        <v>15701.67</v>
      </c>
      <c r="M42" s="2"/>
      <c r="N42" s="21">
        <f t="shared" si="1"/>
        <v>0</v>
      </c>
      <c r="O42" s="11"/>
      <c r="P42" s="2">
        <f>--23607.77</f>
        <v>23607.77</v>
      </c>
      <c r="Q42" s="2"/>
      <c r="R42" s="21"/>
      <c r="S42" s="2"/>
      <c r="T42" s="2"/>
      <c r="U42" s="2"/>
      <c r="V42" s="21"/>
      <c r="W42" s="2"/>
      <c r="X42" s="2">
        <f t="shared" si="2"/>
        <v>23607.77</v>
      </c>
      <c r="Y42" s="2"/>
      <c r="Z42" s="21">
        <f t="shared" si="3"/>
        <v>0</v>
      </c>
    </row>
    <row r="43" spans="1:26" s="24" customFormat="1" hidden="1" outlineLevel="1" x14ac:dyDescent="0.25">
      <c r="A43" s="46"/>
      <c r="B43" s="11" t="str">
        <f>CONCATENATE("          ", "4084", " - ", "TAXABLE SALES-SOFTWARE LICENSE")</f>
        <v xml:space="preserve">          4084 - TAXABLE SALES-SOFTWARE LICENSE</v>
      </c>
      <c r="C43" s="11"/>
      <c r="D43" s="2">
        <f t="shared" ref="D43:D44" si="4">0</f>
        <v>0</v>
      </c>
      <c r="E43" s="2"/>
      <c r="F43" s="21"/>
      <c r="G43" s="2"/>
      <c r="H43" s="2"/>
      <c r="I43" s="2"/>
      <c r="J43" s="21"/>
      <c r="K43" s="2"/>
      <c r="L43" s="2">
        <f t="shared" si="0"/>
        <v>0</v>
      </c>
      <c r="M43" s="2"/>
      <c r="N43" s="21">
        <f t="shared" si="1"/>
        <v>0</v>
      </c>
      <c r="O43" s="11"/>
      <c r="P43" s="2">
        <f>--129</f>
        <v>129</v>
      </c>
      <c r="Q43" s="2"/>
      <c r="R43" s="21"/>
      <c r="S43" s="2"/>
      <c r="T43" s="2"/>
      <c r="U43" s="2"/>
      <c r="V43" s="21"/>
      <c r="W43" s="2"/>
      <c r="X43" s="2">
        <f t="shared" si="2"/>
        <v>129</v>
      </c>
      <c r="Y43" s="2"/>
      <c r="Z43" s="21">
        <f t="shared" si="3"/>
        <v>0</v>
      </c>
    </row>
    <row r="44" spans="1:26" s="24" customFormat="1" hidden="1" outlineLevel="1" x14ac:dyDescent="0.25">
      <c r="A44" s="46"/>
      <c r="B44" s="11" t="str">
        <f>CONCATENATE("          ", "4085", " - ", "TAXABLE SALES-SOFTWARE")</f>
        <v xml:space="preserve">          4085 - TAXABLE SALES-SOFTWARE</v>
      </c>
      <c r="C44" s="11"/>
      <c r="D44" s="2">
        <f t="shared" si="4"/>
        <v>0</v>
      </c>
      <c r="E44" s="2"/>
      <c r="F44" s="21"/>
      <c r="G44" s="2"/>
      <c r="H44" s="2"/>
      <c r="I44" s="2"/>
      <c r="J44" s="21"/>
      <c r="K44" s="2"/>
      <c r="L44" s="2">
        <f t="shared" si="0"/>
        <v>0</v>
      </c>
      <c r="M44" s="2"/>
      <c r="N44" s="21">
        <f t="shared" si="1"/>
        <v>0</v>
      </c>
      <c r="O44" s="11"/>
      <c r="P44" s="2">
        <f>--493.95</f>
        <v>493.95</v>
      </c>
      <c r="Q44" s="2"/>
      <c r="R44" s="21"/>
      <c r="S44" s="2"/>
      <c r="T44" s="2"/>
      <c r="U44" s="2"/>
      <c r="V44" s="21"/>
      <c r="W44" s="2"/>
      <c r="X44" s="2">
        <f t="shared" si="2"/>
        <v>493.95</v>
      </c>
      <c r="Y44" s="2"/>
      <c r="Z44" s="21">
        <f t="shared" si="3"/>
        <v>0</v>
      </c>
    </row>
    <row r="45" spans="1:26" s="24" customFormat="1" hidden="1" outlineLevel="1" x14ac:dyDescent="0.25">
      <c r="A45" s="46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--7672.23</f>
        <v>7672.23</v>
      </c>
      <c r="E45" s="2"/>
      <c r="F45" s="21"/>
      <c r="G45" s="2"/>
      <c r="H45" s="2"/>
      <c r="I45" s="2"/>
      <c r="J45" s="21"/>
      <c r="K45" s="2"/>
      <c r="L45" s="2">
        <f t="shared" si="0"/>
        <v>7672.23</v>
      </c>
      <c r="M45" s="2"/>
      <c r="N45" s="21">
        <f t="shared" si="1"/>
        <v>0</v>
      </c>
      <c r="O45" s="11"/>
      <c r="P45" s="2">
        <f>--9667.55</f>
        <v>9667.5499999999993</v>
      </c>
      <c r="Q45" s="2"/>
      <c r="R45" s="21"/>
      <c r="S45" s="2"/>
      <c r="T45" s="2"/>
      <c r="U45" s="2"/>
      <c r="V45" s="21"/>
      <c r="W45" s="2"/>
      <c r="X45" s="2">
        <f t="shared" si="2"/>
        <v>9667.5499999999993</v>
      </c>
      <c r="Y45" s="2"/>
      <c r="Z45" s="21">
        <f t="shared" si="3"/>
        <v>0</v>
      </c>
    </row>
    <row r="46" spans="1:26" s="24" customFormat="1" hidden="1" outlineLevel="1" x14ac:dyDescent="0.25">
      <c r="A46" s="46"/>
      <c r="B46" s="11" t="str">
        <f>CONCATENATE("          ", "4088", " - ", "TAXABLE SALES-MUSIC")</f>
        <v xml:space="preserve">          4088 - TAXABLE SALES-MUSIC</v>
      </c>
      <c r="C46" s="11"/>
      <c r="D46" s="2">
        <f>--259.98</f>
        <v>259.98</v>
      </c>
      <c r="E46" s="2"/>
      <c r="F46" s="21"/>
      <c r="G46" s="2"/>
      <c r="H46" s="2"/>
      <c r="I46" s="2"/>
      <c r="J46" s="21"/>
      <c r="K46" s="2"/>
      <c r="L46" s="2">
        <f t="shared" si="0"/>
        <v>259.98</v>
      </c>
      <c r="M46" s="2"/>
      <c r="N46" s="21">
        <f t="shared" si="1"/>
        <v>0</v>
      </c>
      <c r="O46" s="11"/>
      <c r="P46" s="2">
        <f>--518.97</f>
        <v>518.97</v>
      </c>
      <c r="Q46" s="2"/>
      <c r="R46" s="21"/>
      <c r="S46" s="2"/>
      <c r="T46" s="2"/>
      <c r="U46" s="2"/>
      <c r="V46" s="21"/>
      <c r="W46" s="2"/>
      <c r="X46" s="2">
        <f t="shared" si="2"/>
        <v>518.97</v>
      </c>
      <c r="Y46" s="2"/>
      <c r="Z46" s="21">
        <f t="shared" si="3"/>
        <v>0</v>
      </c>
    </row>
    <row r="47" spans="1:26" s="24" customFormat="1" hidden="1" outlineLevel="1" x14ac:dyDescent="0.25">
      <c r="A47" s="46"/>
      <c r="B47" s="11" t="str">
        <f>CONCATENATE("          ", "4092", " - ", "TAXABLE SALES-GRAD MERCH")</f>
        <v xml:space="preserve">          4092 - TAXABLE SALES-GRAD MERCH</v>
      </c>
      <c r="C47" s="11"/>
      <c r="D47" s="2">
        <f>--1694.1</f>
        <v>1694.1</v>
      </c>
      <c r="E47" s="2"/>
      <c r="F47" s="21"/>
      <c r="G47" s="2"/>
      <c r="H47" s="2"/>
      <c r="I47" s="2"/>
      <c r="J47" s="21"/>
      <c r="K47" s="2"/>
      <c r="L47" s="2">
        <f t="shared" si="0"/>
        <v>1694.1</v>
      </c>
      <c r="M47" s="2"/>
      <c r="N47" s="21">
        <f t="shared" si="1"/>
        <v>0</v>
      </c>
      <c r="O47" s="11"/>
      <c r="P47" s="2">
        <f>--3822.73</f>
        <v>3822.73</v>
      </c>
      <c r="Q47" s="2"/>
      <c r="R47" s="21"/>
      <c r="S47" s="2"/>
      <c r="T47" s="2"/>
      <c r="U47" s="2"/>
      <c r="V47" s="21"/>
      <c r="W47" s="2"/>
      <c r="X47" s="2">
        <f t="shared" si="2"/>
        <v>3822.73</v>
      </c>
      <c r="Y47" s="2"/>
      <c r="Z47" s="21">
        <f t="shared" si="3"/>
        <v>0</v>
      </c>
    </row>
    <row r="48" spans="1:26" s="24" customFormat="1" hidden="1" outlineLevel="1" x14ac:dyDescent="0.25">
      <c r="A48" s="46"/>
      <c r="B48" s="11" t="str">
        <f>CONCATENATE("          ", "4095", " - ", "TAXABLE SALES-CUSTOMER SERVICE")</f>
        <v xml:space="preserve">          4095 - TAXABLE SALES-CUSTOMER SERVICE</v>
      </c>
      <c r="C48" s="11"/>
      <c r="D48" s="2">
        <f>--127.49</f>
        <v>127.49</v>
      </c>
      <c r="E48" s="2"/>
      <c r="F48" s="21"/>
      <c r="G48" s="2"/>
      <c r="H48" s="2"/>
      <c r="I48" s="2"/>
      <c r="J48" s="21"/>
      <c r="K48" s="2"/>
      <c r="L48" s="2">
        <f t="shared" si="0"/>
        <v>127.49</v>
      </c>
      <c r="M48" s="2"/>
      <c r="N48" s="21">
        <f t="shared" si="1"/>
        <v>0</v>
      </c>
      <c r="O48" s="11"/>
      <c r="P48" s="2">
        <f>--174.02</f>
        <v>174.02</v>
      </c>
      <c r="Q48" s="2"/>
      <c r="R48" s="21"/>
      <c r="S48" s="2"/>
      <c r="T48" s="2"/>
      <c r="U48" s="2"/>
      <c r="V48" s="21"/>
      <c r="W48" s="2"/>
      <c r="X48" s="2">
        <f t="shared" si="2"/>
        <v>174.02</v>
      </c>
      <c r="Y48" s="2"/>
      <c r="Z48" s="21">
        <f t="shared" si="3"/>
        <v>0</v>
      </c>
    </row>
    <row r="49" spans="1:26" s="24" customFormat="1" hidden="1" outlineLevel="1" x14ac:dyDescent="0.25">
      <c r="A49" s="46"/>
      <c r="B49" s="11" t="str">
        <f>CONCATENATE("          ", "4100", " - ", "NON-TAXABLE SALES")</f>
        <v xml:space="preserve">          4100 - NON-TAXABLE SALES</v>
      </c>
      <c r="C49" s="11"/>
      <c r="D49" s="2">
        <f>--261252.23</f>
        <v>261252.23</v>
      </c>
      <c r="E49" s="2"/>
      <c r="F49" s="21"/>
      <c r="G49" s="2"/>
      <c r="H49" s="2">
        <v>2393169</v>
      </c>
      <c r="I49" s="2"/>
      <c r="J49" s="21"/>
      <c r="K49" s="2"/>
      <c r="L49" s="2">
        <f t="shared" si="0"/>
        <v>-2131916.77</v>
      </c>
      <c r="M49" s="2"/>
      <c r="N49" s="21">
        <f t="shared" si="1"/>
        <v>-0.89083419098275129</v>
      </c>
      <c r="O49" s="11"/>
      <c r="P49" s="2">
        <f>--265514.43</f>
        <v>265514.43</v>
      </c>
      <c r="Q49" s="2"/>
      <c r="R49" s="21"/>
      <c r="S49" s="2"/>
      <c r="T49" s="2">
        <v>2574929</v>
      </c>
      <c r="U49" s="2"/>
      <c r="V49" s="21"/>
      <c r="W49" s="2"/>
      <c r="X49" s="2">
        <f t="shared" si="2"/>
        <v>-2309414.5699999998</v>
      </c>
      <c r="Y49" s="2"/>
      <c r="Z49" s="21">
        <f t="shared" si="3"/>
        <v>-0.89688475682242108</v>
      </c>
    </row>
    <row r="50" spans="1:26" s="24" customFormat="1" hidden="1" outlineLevel="1" x14ac:dyDescent="0.25">
      <c r="A50" s="46"/>
      <c r="B50" s="11" t="str">
        <f>CONCATENATE("          ", "4101", " - ", "NON-TAXABLE SALES-NEW TEXT")</f>
        <v xml:space="preserve">          4101 - NON-TAXABLE SALES-NEW TEXT</v>
      </c>
      <c r="C50" s="11"/>
      <c r="D50" s="2">
        <f>--48156.44</f>
        <v>48156.44</v>
      </c>
      <c r="E50" s="2"/>
      <c r="F50" s="21"/>
      <c r="G50" s="2"/>
      <c r="H50" s="2"/>
      <c r="I50" s="2"/>
      <c r="J50" s="21"/>
      <c r="K50" s="2"/>
      <c r="L50" s="2">
        <f t="shared" si="0"/>
        <v>48156.44</v>
      </c>
      <c r="M50" s="2"/>
      <c r="N50" s="21">
        <f t="shared" si="1"/>
        <v>0</v>
      </c>
      <c r="O50" s="11"/>
      <c r="P50" s="2">
        <f>--55893.02</f>
        <v>55893.02</v>
      </c>
      <c r="Q50" s="2"/>
      <c r="R50" s="21"/>
      <c r="S50" s="2"/>
      <c r="T50" s="2"/>
      <c r="U50" s="2"/>
      <c r="V50" s="21"/>
      <c r="W50" s="2"/>
      <c r="X50" s="2">
        <f t="shared" si="2"/>
        <v>55893.02</v>
      </c>
      <c r="Y50" s="2"/>
      <c r="Z50" s="21">
        <f t="shared" si="3"/>
        <v>0</v>
      </c>
    </row>
    <row r="51" spans="1:26" s="24" customFormat="1" hidden="1" outlineLevel="1" x14ac:dyDescent="0.25">
      <c r="A51" s="46"/>
      <c r="B51" s="11" t="str">
        <f>CONCATENATE("          ", "4102", " - ", "NON-TAXABLE SALES-USED TEXT")</f>
        <v xml:space="preserve">          4102 - NON-TAXABLE SALES-USED TEXT</v>
      </c>
      <c r="C51" s="11"/>
      <c r="D51" s="2">
        <f>--27115.09</f>
        <v>27115.09</v>
      </c>
      <c r="E51" s="2"/>
      <c r="F51" s="21"/>
      <c r="G51" s="2"/>
      <c r="H51" s="2"/>
      <c r="I51" s="2"/>
      <c r="J51" s="21"/>
      <c r="K51" s="2"/>
      <c r="L51" s="2">
        <f t="shared" si="0"/>
        <v>27115.09</v>
      </c>
      <c r="M51" s="2"/>
      <c r="N51" s="21">
        <f t="shared" si="1"/>
        <v>0</v>
      </c>
      <c r="O51" s="11"/>
      <c r="P51" s="2">
        <f>--32474.33</f>
        <v>32474.33</v>
      </c>
      <c r="Q51" s="2"/>
      <c r="R51" s="21"/>
      <c r="S51" s="2"/>
      <c r="T51" s="2"/>
      <c r="U51" s="2"/>
      <c r="V51" s="21"/>
      <c r="W51" s="2"/>
      <c r="X51" s="2">
        <f t="shared" si="2"/>
        <v>32474.33</v>
      </c>
      <c r="Y51" s="2"/>
      <c r="Z51" s="21">
        <f t="shared" si="3"/>
        <v>0</v>
      </c>
    </row>
    <row r="52" spans="1:26" s="24" customFormat="1" hidden="1" outlineLevel="1" x14ac:dyDescent="0.25">
      <c r="A52" s="46"/>
      <c r="B52" s="11" t="str">
        <f>CONCATENATE("          ", "4103", " - ", "NON-TAXABLE SALES-RENTAL TEXT")</f>
        <v xml:space="preserve">          4103 - NON-TAXABLE SALES-RENTAL TEXT</v>
      </c>
      <c r="C52" s="11"/>
      <c r="D52" s="2">
        <f>--474.97</f>
        <v>474.97</v>
      </c>
      <c r="E52" s="2"/>
      <c r="F52" s="21"/>
      <c r="G52" s="2"/>
      <c r="H52" s="2"/>
      <c r="I52" s="2"/>
      <c r="J52" s="21"/>
      <c r="K52" s="2"/>
      <c r="L52" s="2">
        <f t="shared" si="0"/>
        <v>474.97</v>
      </c>
      <c r="M52" s="2"/>
      <c r="N52" s="21">
        <f t="shared" si="1"/>
        <v>0</v>
      </c>
      <c r="O52" s="11"/>
      <c r="P52" s="2">
        <f>--474.97</f>
        <v>474.97</v>
      </c>
      <c r="Q52" s="2"/>
      <c r="R52" s="21"/>
      <c r="S52" s="2"/>
      <c r="T52" s="2"/>
      <c r="U52" s="2"/>
      <c r="V52" s="21"/>
      <c r="W52" s="2"/>
      <c r="X52" s="2">
        <f t="shared" si="2"/>
        <v>474.97</v>
      </c>
      <c r="Y52" s="2"/>
      <c r="Z52" s="21">
        <f t="shared" si="3"/>
        <v>0</v>
      </c>
    </row>
    <row r="53" spans="1:26" s="24" customFormat="1" hidden="1" outlineLevel="1" x14ac:dyDescent="0.25">
      <c r="A53" s="46"/>
      <c r="B53" s="11" t="str">
        <f>CONCATENATE("          ", "4104", " - ", "NON-TAXABLE SALES-DIGITAL TEXT")</f>
        <v xml:space="preserve">          4104 - NON-TAXABLE SALES-DIGITAL TEXT</v>
      </c>
      <c r="C53" s="11"/>
      <c r="D53" s="2">
        <f>--246443.9</f>
        <v>246443.9</v>
      </c>
      <c r="E53" s="2"/>
      <c r="F53" s="21"/>
      <c r="G53" s="2"/>
      <c r="H53" s="2"/>
      <c r="I53" s="2"/>
      <c r="J53" s="21"/>
      <c r="K53" s="2"/>
      <c r="L53" s="2">
        <f t="shared" si="0"/>
        <v>246443.9</v>
      </c>
      <c r="M53" s="2"/>
      <c r="N53" s="21">
        <f t="shared" si="1"/>
        <v>0</v>
      </c>
      <c r="O53" s="11"/>
      <c r="P53" s="2">
        <f>--259868.07</f>
        <v>259868.07</v>
      </c>
      <c r="Q53" s="2"/>
      <c r="R53" s="21"/>
      <c r="S53" s="2"/>
      <c r="T53" s="2"/>
      <c r="U53" s="2"/>
      <c r="V53" s="21"/>
      <c r="W53" s="2"/>
      <c r="X53" s="2">
        <f t="shared" si="2"/>
        <v>259868.07</v>
      </c>
      <c r="Y53" s="2"/>
      <c r="Z53" s="21">
        <f t="shared" si="3"/>
        <v>0</v>
      </c>
    </row>
    <row r="54" spans="1:26" s="24" customFormat="1" hidden="1" outlineLevel="1" x14ac:dyDescent="0.25">
      <c r="A54" s="46"/>
      <c r="B54" s="11" t="str">
        <f>CONCATENATE("          ", "4111", " - ", "NON-TAXABLE SALES-NO VALUE TEX")</f>
        <v xml:space="preserve">          4111 - NON-TAXABLE SALES-NO VALUE TEX</v>
      </c>
      <c r="C54" s="11"/>
      <c r="D54" s="2">
        <f>--3067.16</f>
        <v>3067.16</v>
      </c>
      <c r="E54" s="2"/>
      <c r="F54" s="21"/>
      <c r="G54" s="2"/>
      <c r="H54" s="2"/>
      <c r="I54" s="2"/>
      <c r="J54" s="21"/>
      <c r="K54" s="2"/>
      <c r="L54" s="2">
        <f t="shared" si="0"/>
        <v>3067.16</v>
      </c>
      <c r="M54" s="2"/>
      <c r="N54" s="21">
        <f t="shared" si="1"/>
        <v>0</v>
      </c>
      <c r="O54" s="11"/>
      <c r="P54" s="2">
        <f>--5748.11</f>
        <v>5748.11</v>
      </c>
      <c r="Q54" s="2"/>
      <c r="R54" s="21"/>
      <c r="S54" s="2"/>
      <c r="T54" s="2"/>
      <c r="U54" s="2"/>
      <c r="V54" s="21"/>
      <c r="W54" s="2"/>
      <c r="X54" s="2">
        <f t="shared" si="2"/>
        <v>5748.11</v>
      </c>
      <c r="Y54" s="2"/>
      <c r="Z54" s="21">
        <f t="shared" si="3"/>
        <v>0</v>
      </c>
    </row>
    <row r="55" spans="1:26" s="24" customFormat="1" hidden="1" outlineLevel="1" x14ac:dyDescent="0.25">
      <c r="A55" s="46"/>
      <c r="B55" s="11" t="str">
        <f>CONCATENATE("          ", "4113", " - ", "NON-TAXABLE SALES-TRADE BOOKS")</f>
        <v xml:space="preserve">          4113 - NON-TAXABLE SALES-TRADE BOOKS</v>
      </c>
      <c r="C55" s="11"/>
      <c r="D55" s="2">
        <f>--12.72</f>
        <v>12.72</v>
      </c>
      <c r="E55" s="2"/>
      <c r="F55" s="21"/>
      <c r="G55" s="2"/>
      <c r="H55" s="2"/>
      <c r="I55" s="2"/>
      <c r="J55" s="21"/>
      <c r="K55" s="2"/>
      <c r="L55" s="2">
        <f t="shared" si="0"/>
        <v>12.72</v>
      </c>
      <c r="M55" s="2"/>
      <c r="N55" s="21">
        <f t="shared" si="1"/>
        <v>0</v>
      </c>
      <c r="O55" s="11"/>
      <c r="P55" s="2">
        <f>--1146.72</f>
        <v>1146.72</v>
      </c>
      <c r="Q55" s="2"/>
      <c r="R55" s="21"/>
      <c r="S55" s="2"/>
      <c r="T55" s="2"/>
      <c r="U55" s="2"/>
      <c r="V55" s="21"/>
      <c r="W55" s="2"/>
      <c r="X55" s="2">
        <f t="shared" si="2"/>
        <v>1146.72</v>
      </c>
      <c r="Y55" s="2"/>
      <c r="Z55" s="21">
        <f t="shared" si="3"/>
        <v>0</v>
      </c>
    </row>
    <row r="56" spans="1:26" s="24" customFormat="1" hidden="1" outlineLevel="1" x14ac:dyDescent="0.25">
      <c r="A56" s="46"/>
      <c r="B56" s="11" t="str">
        <f>CONCATENATE("          ", "4118", " - ", "NON-TAXABLE SALES-STUDY GUIDES")</f>
        <v xml:space="preserve">          4118 - NON-TAXABLE SALES-STUDY GUIDES</v>
      </c>
      <c r="C56" s="11"/>
      <c r="D56" s="2">
        <f>--7.02</f>
        <v>7.02</v>
      </c>
      <c r="E56" s="2"/>
      <c r="F56" s="21"/>
      <c r="G56" s="2"/>
      <c r="H56" s="2"/>
      <c r="I56" s="2"/>
      <c r="J56" s="21"/>
      <c r="K56" s="2"/>
      <c r="L56" s="2">
        <f t="shared" si="0"/>
        <v>7.02</v>
      </c>
      <c r="M56" s="2"/>
      <c r="N56" s="21">
        <f t="shared" si="1"/>
        <v>0</v>
      </c>
      <c r="O56" s="11"/>
      <c r="P56" s="2">
        <f>--13.97</f>
        <v>13.97</v>
      </c>
      <c r="Q56" s="2"/>
      <c r="R56" s="21"/>
      <c r="S56" s="2"/>
      <c r="T56" s="2"/>
      <c r="U56" s="2"/>
      <c r="V56" s="21"/>
      <c r="W56" s="2"/>
      <c r="X56" s="2">
        <f t="shared" si="2"/>
        <v>13.97</v>
      </c>
      <c r="Y56" s="2"/>
      <c r="Z56" s="21">
        <f t="shared" si="3"/>
        <v>0</v>
      </c>
    </row>
    <row r="57" spans="1:26" s="24" customFormat="1" hidden="1" outlineLevel="1" x14ac:dyDescent="0.25">
      <c r="A57" s="46"/>
      <c r="B57" s="11" t="str">
        <f>CONCATENATE("          ", "4125", " - ", "NON-TAXABLE SALES-TEST FORMS")</f>
        <v xml:space="preserve">          4125 - NON-TAXABLE SALES-TEST FORMS</v>
      </c>
      <c r="C57" s="11"/>
      <c r="D57" s="2">
        <f>--77.17</f>
        <v>77.17</v>
      </c>
      <c r="E57" s="2"/>
      <c r="F57" s="21"/>
      <c r="G57" s="2"/>
      <c r="H57" s="2"/>
      <c r="I57" s="2"/>
      <c r="J57" s="21"/>
      <c r="K57" s="2"/>
      <c r="L57" s="2">
        <f t="shared" si="0"/>
        <v>77.17</v>
      </c>
      <c r="M57" s="2"/>
      <c r="N57" s="21">
        <f t="shared" si="1"/>
        <v>0</v>
      </c>
      <c r="O57" s="11"/>
      <c r="P57" s="2">
        <f>--82.15</f>
        <v>82.15</v>
      </c>
      <c r="Q57" s="2"/>
      <c r="R57" s="21"/>
      <c r="S57" s="2"/>
      <c r="T57" s="2"/>
      <c r="U57" s="2"/>
      <c r="V57" s="21"/>
      <c r="W57" s="2"/>
      <c r="X57" s="2">
        <f t="shared" si="2"/>
        <v>82.15</v>
      </c>
      <c r="Y57" s="2"/>
      <c r="Z57" s="21">
        <f t="shared" si="3"/>
        <v>0</v>
      </c>
    </row>
    <row r="58" spans="1:26" s="24" customFormat="1" hidden="1" outlineLevel="1" x14ac:dyDescent="0.25">
      <c r="A58" s="46"/>
      <c r="B58" s="11" t="str">
        <f>CONCATENATE("          ", "4126", " - ", "NON-TAXABLE SALES-WRITING INST")</f>
        <v xml:space="preserve">          4126 - NON-TAXABLE SALES-WRITING INST</v>
      </c>
      <c r="C58" s="11"/>
      <c r="D58" s="2">
        <f>--844.09</f>
        <v>844.09</v>
      </c>
      <c r="E58" s="2"/>
      <c r="F58" s="21"/>
      <c r="G58" s="2"/>
      <c r="H58" s="2"/>
      <c r="I58" s="2"/>
      <c r="J58" s="21"/>
      <c r="K58" s="2"/>
      <c r="L58" s="2">
        <f t="shared" si="0"/>
        <v>844.09</v>
      </c>
      <c r="M58" s="2"/>
      <c r="N58" s="21">
        <f t="shared" si="1"/>
        <v>0</v>
      </c>
      <c r="O58" s="11"/>
      <c r="P58" s="2">
        <f>--1011.12</f>
        <v>1011.12</v>
      </c>
      <c r="Q58" s="2"/>
      <c r="R58" s="21"/>
      <c r="S58" s="2"/>
      <c r="T58" s="2"/>
      <c r="U58" s="2"/>
      <c r="V58" s="21"/>
      <c r="W58" s="2"/>
      <c r="X58" s="2">
        <f t="shared" si="2"/>
        <v>1011.12</v>
      </c>
      <c r="Y58" s="2"/>
      <c r="Z58" s="21">
        <f t="shared" si="3"/>
        <v>0</v>
      </c>
    </row>
    <row r="59" spans="1:26" s="24" customFormat="1" hidden="1" outlineLevel="1" x14ac:dyDescent="0.25">
      <c r="A59" s="46"/>
      <c r="B59" s="11" t="str">
        <f>CONCATENATE("          ", "4127", " - ", "NON-TAXABLE SALES-SCHOOL SUPPL")</f>
        <v xml:space="preserve">          4127 - NON-TAXABLE SALES-SCHOOL SUPPL</v>
      </c>
      <c r="C59" s="11"/>
      <c r="D59" s="2">
        <f>--1692.39</f>
        <v>1692.39</v>
      </c>
      <c r="E59" s="2"/>
      <c r="F59" s="21"/>
      <c r="G59" s="2"/>
      <c r="H59" s="2"/>
      <c r="I59" s="2"/>
      <c r="J59" s="21"/>
      <c r="K59" s="2"/>
      <c r="L59" s="2">
        <f t="shared" si="0"/>
        <v>1692.39</v>
      </c>
      <c r="M59" s="2"/>
      <c r="N59" s="21">
        <f t="shared" si="1"/>
        <v>0</v>
      </c>
      <c r="O59" s="11"/>
      <c r="P59" s="2">
        <f>--1870.28</f>
        <v>1870.28</v>
      </c>
      <c r="Q59" s="2"/>
      <c r="R59" s="21"/>
      <c r="S59" s="2"/>
      <c r="T59" s="2"/>
      <c r="U59" s="2"/>
      <c r="V59" s="21"/>
      <c r="W59" s="2"/>
      <c r="X59" s="2">
        <f t="shared" si="2"/>
        <v>1870.28</v>
      </c>
      <c r="Y59" s="2"/>
      <c r="Z59" s="21">
        <f t="shared" si="3"/>
        <v>0</v>
      </c>
    </row>
    <row r="60" spans="1:26" s="24" customFormat="1" hidden="1" outlineLevel="1" x14ac:dyDescent="0.25">
      <c r="A60" s="46"/>
      <c r="B60" s="11" t="str">
        <f>CONCATENATE("          ", "4128", " - ", "NON-TAXABLE SALES-ART/TECH")</f>
        <v xml:space="preserve">          4128 - NON-TAXABLE SALES-ART/TECH</v>
      </c>
      <c r="C60" s="11"/>
      <c r="D60" s="2">
        <f>--128.61</f>
        <v>128.61000000000001</v>
      </c>
      <c r="E60" s="2"/>
      <c r="F60" s="21"/>
      <c r="G60" s="2"/>
      <c r="H60" s="2"/>
      <c r="I60" s="2"/>
      <c r="J60" s="21"/>
      <c r="K60" s="2"/>
      <c r="L60" s="2">
        <f t="shared" si="0"/>
        <v>128.61000000000001</v>
      </c>
      <c r="M60" s="2"/>
      <c r="N60" s="21">
        <f t="shared" si="1"/>
        <v>0</v>
      </c>
      <c r="O60" s="11"/>
      <c r="P60" s="2">
        <f>--130.1</f>
        <v>130.1</v>
      </c>
      <c r="Q60" s="2"/>
      <c r="R60" s="21"/>
      <c r="S60" s="2"/>
      <c r="T60" s="2"/>
      <c r="U60" s="2"/>
      <c r="V60" s="21"/>
      <c r="W60" s="2"/>
      <c r="X60" s="2">
        <f t="shared" si="2"/>
        <v>130.1</v>
      </c>
      <c r="Y60" s="2"/>
      <c r="Z60" s="21">
        <f t="shared" si="3"/>
        <v>0</v>
      </c>
    </row>
    <row r="61" spans="1:26" s="24" customFormat="1" hidden="1" outlineLevel="1" x14ac:dyDescent="0.25">
      <c r="A61" s="46"/>
      <c r="B61" s="11" t="str">
        <f>CONCATENATE("          ", "4131", " - ", "NON-TAXABLE SALES-FOOD")</f>
        <v xml:space="preserve">          4131 - NON-TAXABLE SALES-FOOD</v>
      </c>
      <c r="C61" s="11"/>
      <c r="D61" s="2">
        <f>--2447.58</f>
        <v>2447.58</v>
      </c>
      <c r="E61" s="2"/>
      <c r="F61" s="21"/>
      <c r="G61" s="2"/>
      <c r="H61" s="2"/>
      <c r="I61" s="2"/>
      <c r="J61" s="21"/>
      <c r="K61" s="2"/>
      <c r="L61" s="2">
        <f t="shared" si="0"/>
        <v>2447.58</v>
      </c>
      <c r="M61" s="2"/>
      <c r="N61" s="21">
        <f t="shared" si="1"/>
        <v>0</v>
      </c>
      <c r="O61" s="11"/>
      <c r="P61" s="2">
        <f>--2717.2</f>
        <v>2717.2</v>
      </c>
      <c r="Q61" s="2"/>
      <c r="R61" s="21"/>
      <c r="S61" s="2"/>
      <c r="T61" s="2"/>
      <c r="U61" s="2"/>
      <c r="V61" s="21"/>
      <c r="W61" s="2"/>
      <c r="X61" s="2">
        <f t="shared" si="2"/>
        <v>2717.2</v>
      </c>
      <c r="Y61" s="2"/>
      <c r="Z61" s="21">
        <f t="shared" si="3"/>
        <v>0</v>
      </c>
    </row>
    <row r="62" spans="1:26" s="24" customFormat="1" hidden="1" outlineLevel="1" x14ac:dyDescent="0.25">
      <c r="A62" s="46"/>
      <c r="B62" s="11" t="str">
        <f>CONCATENATE("          ", "4132", " - ", "NON-TAXABLE SALES-JUICE")</f>
        <v xml:space="preserve">          4132 - NON-TAXABLE SALES-JUICE</v>
      </c>
      <c r="C62" s="11"/>
      <c r="D62" s="2">
        <f>--713.6</f>
        <v>713.6</v>
      </c>
      <c r="E62" s="2"/>
      <c r="F62" s="21"/>
      <c r="G62" s="2"/>
      <c r="H62" s="2"/>
      <c r="I62" s="2"/>
      <c r="J62" s="21"/>
      <c r="K62" s="2"/>
      <c r="L62" s="2">
        <f t="shared" si="0"/>
        <v>713.6</v>
      </c>
      <c r="M62" s="2"/>
      <c r="N62" s="21">
        <f t="shared" si="1"/>
        <v>0</v>
      </c>
      <c r="O62" s="11"/>
      <c r="P62" s="2">
        <f>--758.91</f>
        <v>758.91</v>
      </c>
      <c r="Q62" s="2"/>
      <c r="R62" s="21"/>
      <c r="S62" s="2"/>
      <c r="T62" s="2"/>
      <c r="U62" s="2"/>
      <c r="V62" s="21"/>
      <c r="W62" s="2"/>
      <c r="X62" s="2">
        <f t="shared" si="2"/>
        <v>758.91</v>
      </c>
      <c r="Y62" s="2"/>
      <c r="Z62" s="21">
        <f t="shared" si="3"/>
        <v>0</v>
      </c>
    </row>
    <row r="63" spans="1:26" s="24" customFormat="1" hidden="1" outlineLevel="1" x14ac:dyDescent="0.25">
      <c r="A63" s="46"/>
      <c r="B63" s="11" t="str">
        <f>CONCATENATE("          ", "4133", " - ", "NON-TAXABLE SALES-CANDY")</f>
        <v xml:space="preserve">          4133 - NON-TAXABLE SALES-CANDY</v>
      </c>
      <c r="C63" s="11"/>
      <c r="D63" s="2">
        <f>--900.13</f>
        <v>900.13</v>
      </c>
      <c r="E63" s="2"/>
      <c r="F63" s="21"/>
      <c r="G63" s="2"/>
      <c r="H63" s="2"/>
      <c r="I63" s="2"/>
      <c r="J63" s="21"/>
      <c r="K63" s="2"/>
      <c r="L63" s="2">
        <f t="shared" si="0"/>
        <v>900.13</v>
      </c>
      <c r="M63" s="2"/>
      <c r="N63" s="21">
        <f t="shared" si="1"/>
        <v>0</v>
      </c>
      <c r="O63" s="11"/>
      <c r="P63" s="2">
        <f>--1372.35</f>
        <v>1372.35</v>
      </c>
      <c r="Q63" s="2"/>
      <c r="R63" s="21"/>
      <c r="S63" s="2"/>
      <c r="T63" s="2"/>
      <c r="U63" s="2"/>
      <c r="V63" s="21"/>
      <c r="W63" s="2"/>
      <c r="X63" s="2">
        <f t="shared" si="2"/>
        <v>1372.35</v>
      </c>
      <c r="Y63" s="2"/>
      <c r="Z63" s="21">
        <f t="shared" si="3"/>
        <v>0</v>
      </c>
    </row>
    <row r="64" spans="1:26" s="24" customFormat="1" hidden="1" outlineLevel="1" x14ac:dyDescent="0.25">
      <c r="A64" s="46"/>
      <c r="B64" s="11" t="str">
        <f>CONCATENATE("          ", "4135", " - ", "NON-TAXABLE SALES")</f>
        <v xml:space="preserve">          4135 - NON-TAXABLE SALES</v>
      </c>
      <c r="C64" s="11"/>
      <c r="D64" s="2">
        <f>--32.21</f>
        <v>32.21</v>
      </c>
      <c r="E64" s="2"/>
      <c r="F64" s="21"/>
      <c r="G64" s="2"/>
      <c r="H64" s="2"/>
      <c r="I64" s="2"/>
      <c r="J64" s="21"/>
      <c r="K64" s="2"/>
      <c r="L64" s="2">
        <f t="shared" si="0"/>
        <v>32.21</v>
      </c>
      <c r="M64" s="2"/>
      <c r="N64" s="21">
        <f t="shared" si="1"/>
        <v>0</v>
      </c>
      <c r="O64" s="11"/>
      <c r="P64" s="2">
        <f>--53.75</f>
        <v>53.75</v>
      </c>
      <c r="Q64" s="2"/>
      <c r="R64" s="21"/>
      <c r="S64" s="2"/>
      <c r="T64" s="2"/>
      <c r="U64" s="2"/>
      <c r="V64" s="21"/>
      <c r="W64" s="2"/>
      <c r="X64" s="2">
        <f t="shared" si="2"/>
        <v>53.75</v>
      </c>
      <c r="Y64" s="2"/>
      <c r="Z64" s="21">
        <f t="shared" si="3"/>
        <v>0</v>
      </c>
    </row>
    <row r="65" spans="1:26" s="24" customFormat="1" hidden="1" outlineLevel="1" x14ac:dyDescent="0.25">
      <c r="A65" s="46"/>
      <c r="B65" s="11" t="str">
        <f>CONCATENATE("          ", "4137", " - ", "NON-TAXABLE SALES-WATER")</f>
        <v xml:space="preserve">          4137 - NON-TAXABLE SALES-WATER</v>
      </c>
      <c r="C65" s="11"/>
      <c r="D65" s="2">
        <f>--553.7</f>
        <v>553.70000000000005</v>
      </c>
      <c r="E65" s="2"/>
      <c r="F65" s="21"/>
      <c r="G65" s="2"/>
      <c r="H65" s="2"/>
      <c r="I65" s="2"/>
      <c r="J65" s="21"/>
      <c r="K65" s="2"/>
      <c r="L65" s="2">
        <f t="shared" si="0"/>
        <v>553.70000000000005</v>
      </c>
      <c r="M65" s="2"/>
      <c r="N65" s="21">
        <f t="shared" si="1"/>
        <v>0</v>
      </c>
      <c r="O65" s="11"/>
      <c r="P65" s="2">
        <f>--606.72</f>
        <v>606.72</v>
      </c>
      <c r="Q65" s="2"/>
      <c r="R65" s="21"/>
      <c r="S65" s="2"/>
      <c r="T65" s="2"/>
      <c r="U65" s="2"/>
      <c r="V65" s="21"/>
      <c r="W65" s="2"/>
      <c r="X65" s="2">
        <f t="shared" si="2"/>
        <v>606.72</v>
      </c>
      <c r="Y65" s="2"/>
      <c r="Z65" s="21">
        <f t="shared" si="3"/>
        <v>0</v>
      </c>
    </row>
    <row r="66" spans="1:26" s="24" customFormat="1" hidden="1" outlineLevel="1" x14ac:dyDescent="0.25">
      <c r="A66" s="46"/>
      <c r="B66" s="11" t="str">
        <f>CONCATENATE("          ", "4140", " - ", "NON-TAXABLE SALES-LOGO CLOTHIN")</f>
        <v xml:space="preserve">          4140 - NON-TAXABLE SALES-LOGO CLOTHIN</v>
      </c>
      <c r="C66" s="11"/>
      <c r="D66" s="2">
        <f>--1979.29</f>
        <v>1979.29</v>
      </c>
      <c r="E66" s="2"/>
      <c r="F66" s="21"/>
      <c r="G66" s="2"/>
      <c r="H66" s="2"/>
      <c r="I66" s="2"/>
      <c r="J66" s="21"/>
      <c r="K66" s="2"/>
      <c r="L66" s="2">
        <f t="shared" si="0"/>
        <v>1979.29</v>
      </c>
      <c r="M66" s="2"/>
      <c r="N66" s="21">
        <f t="shared" si="1"/>
        <v>0</v>
      </c>
      <c r="O66" s="11"/>
      <c r="P66" s="2">
        <f>--5142.96</f>
        <v>5142.96</v>
      </c>
      <c r="Q66" s="2"/>
      <c r="R66" s="21"/>
      <c r="S66" s="2"/>
      <c r="T66" s="2"/>
      <c r="U66" s="2"/>
      <c r="V66" s="21"/>
      <c r="W66" s="2"/>
      <c r="X66" s="2">
        <f t="shared" si="2"/>
        <v>5142.96</v>
      </c>
      <c r="Y66" s="2"/>
      <c r="Z66" s="21">
        <f t="shared" si="3"/>
        <v>0</v>
      </c>
    </row>
    <row r="67" spans="1:26" s="24" customFormat="1" hidden="1" outlineLevel="1" x14ac:dyDescent="0.25">
      <c r="A67" s="46"/>
      <c r="B67" s="11" t="str">
        <f>CONCATENATE("          ", "4141", " - ", "NON-TAXABLE SALES-LOGO GIFTS")</f>
        <v xml:space="preserve">          4141 - NON-TAXABLE SALES-LOGO GIFTS</v>
      </c>
      <c r="C67" s="11"/>
      <c r="D67" s="2">
        <f>--432.15</f>
        <v>432.15</v>
      </c>
      <c r="E67" s="2"/>
      <c r="F67" s="21"/>
      <c r="G67" s="2"/>
      <c r="H67" s="2"/>
      <c r="I67" s="2"/>
      <c r="J67" s="21"/>
      <c r="K67" s="2"/>
      <c r="L67" s="2">
        <f t="shared" si="0"/>
        <v>432.15</v>
      </c>
      <c r="M67" s="2"/>
      <c r="N67" s="21">
        <f t="shared" si="1"/>
        <v>0</v>
      </c>
      <c r="O67" s="11"/>
      <c r="P67" s="2">
        <f>--694.3</f>
        <v>694.3</v>
      </c>
      <c r="Q67" s="2"/>
      <c r="R67" s="21"/>
      <c r="S67" s="2"/>
      <c r="T67" s="2"/>
      <c r="U67" s="2"/>
      <c r="V67" s="21"/>
      <c r="W67" s="2"/>
      <c r="X67" s="2">
        <f t="shared" si="2"/>
        <v>694.3</v>
      </c>
      <c r="Y67" s="2"/>
      <c r="Z67" s="21">
        <f t="shared" si="3"/>
        <v>0</v>
      </c>
    </row>
    <row r="68" spans="1:26" s="24" customFormat="1" hidden="1" outlineLevel="1" x14ac:dyDescent="0.25">
      <c r="A68" s="46"/>
      <c r="B68" s="11" t="str">
        <f>CONCATENATE("          ", "4142", " - ", "NON-TAXABLE SALES-EVERYDAY GIF")</f>
        <v xml:space="preserve">          4142 - NON-TAXABLE SALES-EVERYDAY GIF</v>
      </c>
      <c r="C68" s="11"/>
      <c r="D68" s="2">
        <f>--577.66</f>
        <v>577.66</v>
      </c>
      <c r="E68" s="2"/>
      <c r="F68" s="21"/>
      <c r="G68" s="2"/>
      <c r="H68" s="2"/>
      <c r="I68" s="2"/>
      <c r="J68" s="21"/>
      <c r="K68" s="2"/>
      <c r="L68" s="2">
        <f t="shared" si="0"/>
        <v>577.66</v>
      </c>
      <c r="M68" s="2"/>
      <c r="N68" s="21">
        <f t="shared" si="1"/>
        <v>0</v>
      </c>
      <c r="O68" s="11"/>
      <c r="P68" s="2">
        <f>--920.1</f>
        <v>920.1</v>
      </c>
      <c r="Q68" s="2"/>
      <c r="R68" s="21"/>
      <c r="S68" s="2"/>
      <c r="T68" s="2"/>
      <c r="U68" s="2"/>
      <c r="V68" s="21"/>
      <c r="W68" s="2"/>
      <c r="X68" s="2">
        <f t="shared" si="2"/>
        <v>920.1</v>
      </c>
      <c r="Y68" s="2"/>
      <c r="Z68" s="21">
        <f t="shared" si="3"/>
        <v>0</v>
      </c>
    </row>
    <row r="69" spans="1:26" s="24" customFormat="1" hidden="1" outlineLevel="1" x14ac:dyDescent="0.25">
      <c r="A69" s="46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--117.86</f>
        <v>117.86</v>
      </c>
      <c r="E69" s="2"/>
      <c r="F69" s="21"/>
      <c r="G69" s="2"/>
      <c r="H69" s="2"/>
      <c r="I69" s="2"/>
      <c r="J69" s="21"/>
      <c r="K69" s="2"/>
      <c r="L69" s="2">
        <f t="shared" si="0"/>
        <v>117.86</v>
      </c>
      <c r="M69" s="2"/>
      <c r="N69" s="21">
        <f t="shared" si="1"/>
        <v>0</v>
      </c>
      <c r="O69" s="11"/>
      <c r="P69" s="2">
        <f>--139.76</f>
        <v>139.76</v>
      </c>
      <c r="Q69" s="2"/>
      <c r="R69" s="21"/>
      <c r="S69" s="2"/>
      <c r="T69" s="2"/>
      <c r="U69" s="2"/>
      <c r="V69" s="21"/>
      <c r="W69" s="2"/>
      <c r="X69" s="2">
        <f t="shared" si="2"/>
        <v>139.76</v>
      </c>
      <c r="Y69" s="2"/>
      <c r="Z69" s="21">
        <f t="shared" si="3"/>
        <v>0</v>
      </c>
    </row>
    <row r="70" spans="1:26" s="24" customFormat="1" hidden="1" outlineLevel="1" x14ac:dyDescent="0.25">
      <c r="A70" s="46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--90</f>
        <v>90</v>
      </c>
      <c r="E70" s="2"/>
      <c r="F70" s="21"/>
      <c r="G70" s="2"/>
      <c r="H70" s="2"/>
      <c r="I70" s="2"/>
      <c r="J70" s="21"/>
      <c r="K70" s="2"/>
      <c r="L70" s="2">
        <f t="shared" si="0"/>
        <v>90</v>
      </c>
      <c r="M70" s="2"/>
      <c r="N70" s="21">
        <f t="shared" si="1"/>
        <v>0</v>
      </c>
      <c r="O70" s="11"/>
      <c r="P70" s="2">
        <f>--90</f>
        <v>90</v>
      </c>
      <c r="Q70" s="2"/>
      <c r="R70" s="21"/>
      <c r="S70" s="2"/>
      <c r="T70" s="2"/>
      <c r="U70" s="2"/>
      <c r="V70" s="21"/>
      <c r="W70" s="2"/>
      <c r="X70" s="2">
        <f t="shared" si="2"/>
        <v>90</v>
      </c>
      <c r="Y70" s="2"/>
      <c r="Z70" s="21">
        <f t="shared" si="3"/>
        <v>0</v>
      </c>
    </row>
    <row r="71" spans="1:26" s="24" customFormat="1" hidden="1" outlineLevel="1" x14ac:dyDescent="0.25">
      <c r="A71" s="46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--13281.65</f>
        <v>13281.65</v>
      </c>
      <c r="E71" s="2"/>
      <c r="F71" s="21"/>
      <c r="G71" s="2"/>
      <c r="H71" s="2"/>
      <c r="I71" s="2"/>
      <c r="J71" s="21"/>
      <c r="K71" s="2"/>
      <c r="L71" s="2">
        <f t="shared" si="0"/>
        <v>13281.65</v>
      </c>
      <c r="M71" s="2"/>
      <c r="N71" s="21">
        <f t="shared" si="1"/>
        <v>0</v>
      </c>
      <c r="O71" s="11"/>
      <c r="P71" s="2">
        <f>--15348.75</f>
        <v>15348.75</v>
      </c>
      <c r="Q71" s="2"/>
      <c r="R71" s="21"/>
      <c r="S71" s="2"/>
      <c r="T71" s="2"/>
      <c r="U71" s="2"/>
      <c r="V71" s="21"/>
      <c r="W71" s="2"/>
      <c r="X71" s="2">
        <f t="shared" si="2"/>
        <v>15348.75</v>
      </c>
      <c r="Y71" s="2"/>
      <c r="Z71" s="21">
        <f t="shared" si="3"/>
        <v>0</v>
      </c>
    </row>
    <row r="72" spans="1:26" s="24" customFormat="1" hidden="1" outlineLevel="1" x14ac:dyDescent="0.25">
      <c r="A72" s="46"/>
      <c r="B72" s="11" t="str">
        <f>CONCATENATE("          ", "4147", " - ", "NON-TAXABLE SALES-MISC")</f>
        <v xml:space="preserve">          4147 - NON-TAXABLE SALES-MISC</v>
      </c>
      <c r="C72" s="11"/>
      <c r="D72" s="2">
        <f>--53.9</f>
        <v>53.9</v>
      </c>
      <c r="E72" s="2"/>
      <c r="F72" s="21"/>
      <c r="G72" s="2"/>
      <c r="H72" s="2"/>
      <c r="I72" s="2"/>
      <c r="J72" s="21"/>
      <c r="K72" s="2"/>
      <c r="L72" s="2">
        <f t="shared" si="0"/>
        <v>53.9</v>
      </c>
      <c r="M72" s="2"/>
      <c r="N72" s="21">
        <f t="shared" si="1"/>
        <v>0</v>
      </c>
      <c r="O72" s="11"/>
      <c r="P72" s="2">
        <f>--70.4</f>
        <v>70.400000000000006</v>
      </c>
      <c r="Q72" s="2"/>
      <c r="R72" s="21"/>
      <c r="S72" s="2"/>
      <c r="T72" s="2"/>
      <c r="U72" s="2"/>
      <c r="V72" s="21"/>
      <c r="W72" s="2"/>
      <c r="X72" s="2">
        <f t="shared" si="2"/>
        <v>70.400000000000006</v>
      </c>
      <c r="Y72" s="2"/>
      <c r="Z72" s="21">
        <f t="shared" si="3"/>
        <v>0</v>
      </c>
    </row>
    <row r="73" spans="1:26" s="24" customFormat="1" hidden="1" outlineLevel="1" x14ac:dyDescent="0.25">
      <c r="A73" s="46"/>
      <c r="B73" s="11" t="str">
        <f>CONCATENATE("          ", "4181", " - ", "NON-TAXABLE SALES-ELECTRONICS")</f>
        <v xml:space="preserve">          4181 - NON-TAXABLE SALES-ELECTRONICS</v>
      </c>
      <c r="C73" s="11"/>
      <c r="D73" s="2">
        <f>--87.95</f>
        <v>87.95</v>
      </c>
      <c r="E73" s="2"/>
      <c r="F73" s="21"/>
      <c r="G73" s="2"/>
      <c r="H73" s="2"/>
      <c r="I73" s="2"/>
      <c r="J73" s="21"/>
      <c r="K73" s="2"/>
      <c r="L73" s="2">
        <f t="shared" si="0"/>
        <v>87.95</v>
      </c>
      <c r="M73" s="2"/>
      <c r="N73" s="21">
        <f t="shared" si="1"/>
        <v>0</v>
      </c>
      <c r="O73" s="11"/>
      <c r="P73" s="2">
        <f>--1390.56</f>
        <v>1390.56</v>
      </c>
      <c r="Q73" s="2"/>
      <c r="R73" s="21"/>
      <c r="S73" s="2"/>
      <c r="T73" s="2"/>
      <c r="U73" s="2"/>
      <c r="V73" s="21"/>
      <c r="W73" s="2"/>
      <c r="X73" s="2">
        <f t="shared" si="2"/>
        <v>1390.56</v>
      </c>
      <c r="Y73" s="2"/>
      <c r="Z73" s="21">
        <f t="shared" si="3"/>
        <v>0</v>
      </c>
    </row>
    <row r="74" spans="1:26" s="24" customFormat="1" hidden="1" outlineLevel="1" x14ac:dyDescent="0.25">
      <c r="A74" s="46"/>
      <c r="B74" s="11" t="str">
        <f>CONCATENATE("          ", "4182", " - ", "NON-TAXABLE SALES-COMPUTER HAR")</f>
        <v xml:space="preserve">          4182 - NON-TAXABLE SALES-COMPUTER HAR</v>
      </c>
      <c r="C74" s="11"/>
      <c r="D74" s="2">
        <f>--19953</f>
        <v>19953</v>
      </c>
      <c r="E74" s="2"/>
      <c r="F74" s="21"/>
      <c r="G74" s="2"/>
      <c r="H74" s="2"/>
      <c r="I74" s="2"/>
      <c r="J74" s="21"/>
      <c r="K74" s="2"/>
      <c r="L74" s="2">
        <f t="shared" si="0"/>
        <v>19953</v>
      </c>
      <c r="M74" s="2"/>
      <c r="N74" s="21">
        <f t="shared" si="1"/>
        <v>0</v>
      </c>
      <c r="O74" s="11"/>
      <c r="P74" s="2">
        <f>--30571</f>
        <v>30571</v>
      </c>
      <c r="Q74" s="2"/>
      <c r="R74" s="21"/>
      <c r="S74" s="2"/>
      <c r="T74" s="2"/>
      <c r="U74" s="2"/>
      <c r="V74" s="21"/>
      <c r="W74" s="2"/>
      <c r="X74" s="2">
        <f t="shared" si="2"/>
        <v>30571</v>
      </c>
      <c r="Y74" s="2"/>
      <c r="Z74" s="21">
        <f t="shared" si="3"/>
        <v>0</v>
      </c>
    </row>
    <row r="75" spans="1:26" s="24" customFormat="1" hidden="1" outlineLevel="1" x14ac:dyDescent="0.25">
      <c r="A75" s="46"/>
      <c r="B75" s="11" t="str">
        <f>CONCATENATE("          ", "4183", " - ", "NON-TAXABLE SALES-COMPUTER EQU")</f>
        <v xml:space="preserve">          4183 - NON-TAXABLE SALES-COMPUTER EQU</v>
      </c>
      <c r="C75" s="11"/>
      <c r="D75" s="2">
        <f>--974.39</f>
        <v>974.39</v>
      </c>
      <c r="E75" s="2"/>
      <c r="F75" s="21"/>
      <c r="G75" s="2"/>
      <c r="H75" s="2"/>
      <c r="I75" s="2"/>
      <c r="J75" s="21"/>
      <c r="K75" s="2"/>
      <c r="L75" s="2">
        <f t="shared" si="0"/>
        <v>974.39</v>
      </c>
      <c r="M75" s="2"/>
      <c r="N75" s="21">
        <f t="shared" si="1"/>
        <v>0</v>
      </c>
      <c r="O75" s="11"/>
      <c r="P75" s="2">
        <f>--1156.29</f>
        <v>1156.29</v>
      </c>
      <c r="Q75" s="2"/>
      <c r="R75" s="21"/>
      <c r="S75" s="2"/>
      <c r="T75" s="2"/>
      <c r="U75" s="2"/>
      <c r="V75" s="21"/>
      <c r="W75" s="2"/>
      <c r="X75" s="2">
        <f t="shared" si="2"/>
        <v>1156.29</v>
      </c>
      <c r="Y75" s="2"/>
      <c r="Z75" s="21">
        <f t="shared" si="3"/>
        <v>0</v>
      </c>
    </row>
    <row r="76" spans="1:26" s="24" customFormat="1" hidden="1" outlineLevel="1" x14ac:dyDescent="0.25">
      <c r="A76" s="46"/>
      <c r="B76" s="11" t="str">
        <f>CONCATENATE("          ", "4184", " - ", "NON-TAXABLE SALES-SOFTWARE LIC")</f>
        <v xml:space="preserve">          4184 - NON-TAXABLE SALES-SOFTWARE LIC</v>
      </c>
      <c r="C76" s="11"/>
      <c r="D76" s="2">
        <f>--1522</f>
        <v>1522</v>
      </c>
      <c r="E76" s="2"/>
      <c r="F76" s="21"/>
      <c r="G76" s="2"/>
      <c r="H76" s="2"/>
      <c r="I76" s="2"/>
      <c r="J76" s="21"/>
      <c r="K76" s="2"/>
      <c r="L76" s="2">
        <f t="shared" si="0"/>
        <v>1522</v>
      </c>
      <c r="M76" s="2"/>
      <c r="N76" s="21">
        <f t="shared" si="1"/>
        <v>0</v>
      </c>
      <c r="O76" s="11"/>
      <c r="P76" s="2">
        <f>--1522</f>
        <v>1522</v>
      </c>
      <c r="Q76" s="2"/>
      <c r="R76" s="21"/>
      <c r="S76" s="2"/>
      <c r="T76" s="2"/>
      <c r="U76" s="2"/>
      <c r="V76" s="21"/>
      <c r="W76" s="2"/>
      <c r="X76" s="2">
        <f t="shared" si="2"/>
        <v>1522</v>
      </c>
      <c r="Y76" s="2"/>
      <c r="Z76" s="21">
        <f t="shared" si="3"/>
        <v>0</v>
      </c>
    </row>
    <row r="77" spans="1:26" s="24" customFormat="1" hidden="1" outlineLevel="1" x14ac:dyDescent="0.25">
      <c r="A77" s="46"/>
      <c r="B77" s="11" t="str">
        <f>CONCATENATE("          ", "4185", " - ", "NON-TAXABLE SALES-SOFTWARE")</f>
        <v xml:space="preserve">          4185 - NON-TAXABLE SALES-SOFTWARE</v>
      </c>
      <c r="C77" s="11"/>
      <c r="D77" s="2">
        <f>--3770</f>
        <v>3770</v>
      </c>
      <c r="E77" s="2"/>
      <c r="F77" s="21"/>
      <c r="G77" s="2"/>
      <c r="H77" s="2"/>
      <c r="I77" s="2"/>
      <c r="J77" s="21"/>
      <c r="K77" s="2"/>
      <c r="L77" s="2">
        <f t="shared" si="0"/>
        <v>3770</v>
      </c>
      <c r="M77" s="2"/>
      <c r="N77" s="21">
        <f t="shared" si="1"/>
        <v>0</v>
      </c>
      <c r="O77" s="11"/>
      <c r="P77" s="2">
        <f>--4522</f>
        <v>4522</v>
      </c>
      <c r="Q77" s="2"/>
      <c r="R77" s="21"/>
      <c r="S77" s="2"/>
      <c r="T77" s="2"/>
      <c r="U77" s="2"/>
      <c r="V77" s="21"/>
      <c r="W77" s="2"/>
      <c r="X77" s="2">
        <f t="shared" si="2"/>
        <v>4522</v>
      </c>
      <c r="Y77" s="2"/>
      <c r="Z77" s="21">
        <f t="shared" si="3"/>
        <v>0</v>
      </c>
    </row>
    <row r="78" spans="1:26" s="24" customFormat="1" hidden="1" outlineLevel="1" x14ac:dyDescent="0.25">
      <c r="A78" s="46"/>
      <c r="B78" s="11" t="str">
        <f>CONCATENATE("          ", "4186", " - ", "NON-TAXABLE SALES-COMPUTER SUP")</f>
        <v xml:space="preserve">          4186 - NON-TAXABLE SALES-COMPUTER SUP</v>
      </c>
      <c r="C78" s="11"/>
      <c r="D78" s="2">
        <f>--194.93</f>
        <v>194.93</v>
      </c>
      <c r="E78" s="2"/>
      <c r="F78" s="21"/>
      <c r="G78" s="2"/>
      <c r="H78" s="2"/>
      <c r="I78" s="2"/>
      <c r="J78" s="21"/>
      <c r="K78" s="2"/>
      <c r="L78" s="2">
        <f t="shared" si="0"/>
        <v>194.93</v>
      </c>
      <c r="M78" s="2"/>
      <c r="N78" s="21">
        <f t="shared" si="1"/>
        <v>0</v>
      </c>
      <c r="O78" s="11"/>
      <c r="P78" s="2">
        <f>--274.9</f>
        <v>274.89999999999998</v>
      </c>
      <c r="Q78" s="2"/>
      <c r="R78" s="21"/>
      <c r="S78" s="2"/>
      <c r="T78" s="2"/>
      <c r="U78" s="2"/>
      <c r="V78" s="21"/>
      <c r="W78" s="2"/>
      <c r="X78" s="2">
        <f t="shared" si="2"/>
        <v>274.89999999999998</v>
      </c>
      <c r="Y78" s="2"/>
      <c r="Z78" s="21">
        <f t="shared" si="3"/>
        <v>0</v>
      </c>
    </row>
    <row r="79" spans="1:26" s="24" customFormat="1" hidden="1" outlineLevel="1" x14ac:dyDescent="0.25">
      <c r="A79" s="46"/>
      <c r="B79" s="11" t="str">
        <f>CONCATENATE("          ", "4188", " - ", "NON-TAXABLE SALES-MUSIC")</f>
        <v xml:space="preserve">          4188 - NON-TAXABLE SALES-MUSIC</v>
      </c>
      <c r="C79" s="11"/>
      <c r="D79" s="2">
        <f>0</f>
        <v>0</v>
      </c>
      <c r="E79" s="2"/>
      <c r="F79" s="21"/>
      <c r="G79" s="2"/>
      <c r="H79" s="2"/>
      <c r="I79" s="2"/>
      <c r="J79" s="21"/>
      <c r="K79" s="2"/>
      <c r="L79" s="2">
        <f t="shared" si="0"/>
        <v>0</v>
      </c>
      <c r="M79" s="2"/>
      <c r="N79" s="21">
        <f t="shared" si="1"/>
        <v>0</v>
      </c>
      <c r="O79" s="11"/>
      <c r="P79" s="2">
        <f>--99.98</f>
        <v>99.98</v>
      </c>
      <c r="Q79" s="2"/>
      <c r="R79" s="21"/>
      <c r="S79" s="2"/>
      <c r="T79" s="2"/>
      <c r="U79" s="2"/>
      <c r="V79" s="21"/>
      <c r="W79" s="2"/>
      <c r="X79" s="2">
        <f t="shared" si="2"/>
        <v>99.98</v>
      </c>
      <c r="Y79" s="2"/>
      <c r="Z79" s="21">
        <f t="shared" si="3"/>
        <v>0</v>
      </c>
    </row>
    <row r="80" spans="1:26" s="24" customFormat="1" hidden="1" outlineLevel="1" x14ac:dyDescent="0.25">
      <c r="A80" s="46"/>
      <c r="B80" s="11" t="str">
        <f>CONCATENATE("          ", "4201", " - ", "SALES RETURN TAXABLE-NEW TEXT")</f>
        <v xml:space="preserve">          4201 - SALES RETURN TAXABLE-NEW TEXT</v>
      </c>
      <c r="C80" s="11"/>
      <c r="D80" s="2">
        <f>-58563.26</f>
        <v>-58563.26</v>
      </c>
      <c r="E80" s="2"/>
      <c r="F80" s="21"/>
      <c r="G80" s="2"/>
      <c r="H80" s="2"/>
      <c r="I80" s="2"/>
      <c r="J80" s="21"/>
      <c r="K80" s="2"/>
      <c r="L80" s="2">
        <f t="shared" si="0"/>
        <v>-58563.26</v>
      </c>
      <c r="M80" s="2"/>
      <c r="N80" s="21">
        <f t="shared" si="1"/>
        <v>0</v>
      </c>
      <c r="O80" s="11"/>
      <c r="P80" s="2">
        <f>-59170.41</f>
        <v>-59170.41</v>
      </c>
      <c r="Q80" s="2"/>
      <c r="R80" s="21"/>
      <c r="S80" s="2"/>
      <c r="T80" s="2"/>
      <c r="U80" s="2"/>
      <c r="V80" s="21"/>
      <c r="W80" s="2"/>
      <c r="X80" s="2">
        <f t="shared" si="2"/>
        <v>-59170.41</v>
      </c>
      <c r="Y80" s="2"/>
      <c r="Z80" s="21">
        <f t="shared" si="3"/>
        <v>0</v>
      </c>
    </row>
    <row r="81" spans="1:26" s="24" customFormat="1" hidden="1" outlineLevel="1" x14ac:dyDescent="0.25">
      <c r="A81" s="46"/>
      <c r="B81" s="11" t="str">
        <f>CONCATENATE("          ", "4202", " - ", "SALES RETURN TAXABLE-USED TEXT")</f>
        <v xml:space="preserve">          4202 - SALES RETURN TAXABLE-USED TEXT</v>
      </c>
      <c r="C81" s="11"/>
      <c r="D81" s="2">
        <f>-20533</f>
        <v>-20533</v>
      </c>
      <c r="E81" s="2"/>
      <c r="F81" s="21"/>
      <c r="G81" s="2"/>
      <c r="H81" s="2"/>
      <c r="I81" s="2"/>
      <c r="J81" s="21"/>
      <c r="K81" s="2"/>
      <c r="L81" s="2">
        <f t="shared" si="0"/>
        <v>-20533</v>
      </c>
      <c r="M81" s="2"/>
      <c r="N81" s="21">
        <f t="shared" si="1"/>
        <v>0</v>
      </c>
      <c r="O81" s="11"/>
      <c r="P81" s="2">
        <f>-21254.45</f>
        <v>-21254.45</v>
      </c>
      <c r="Q81" s="2"/>
      <c r="R81" s="21"/>
      <c r="S81" s="2"/>
      <c r="T81" s="2"/>
      <c r="U81" s="2"/>
      <c r="V81" s="21"/>
      <c r="W81" s="2"/>
      <c r="X81" s="2">
        <f t="shared" si="2"/>
        <v>-21254.45</v>
      </c>
      <c r="Y81" s="2"/>
      <c r="Z81" s="21">
        <f t="shared" si="3"/>
        <v>0</v>
      </c>
    </row>
    <row r="82" spans="1:26" s="24" customFormat="1" hidden="1" outlineLevel="1" x14ac:dyDescent="0.25">
      <c r="A82" s="46"/>
      <c r="B82" s="11" t="str">
        <f>CONCATENATE("          ", "4204", " - ", "SALES RETURN TAXABLE-DIGITAL T")</f>
        <v xml:space="preserve">          4204 - SALES RETURN TAXABLE-DIGITAL T</v>
      </c>
      <c r="C82" s="11"/>
      <c r="D82" s="2">
        <f>-6848.37</f>
        <v>-6848.37</v>
      </c>
      <c r="E82" s="2"/>
      <c r="F82" s="21"/>
      <c r="G82" s="2"/>
      <c r="H82" s="2"/>
      <c r="I82" s="2"/>
      <c r="J82" s="21"/>
      <c r="K82" s="2"/>
      <c r="L82" s="2">
        <f t="shared" si="0"/>
        <v>-6848.37</v>
      </c>
      <c r="M82" s="2"/>
      <c r="N82" s="21">
        <f t="shared" si="1"/>
        <v>0</v>
      </c>
      <c r="O82" s="11"/>
      <c r="P82" s="2">
        <f>-6848.37</f>
        <v>-6848.37</v>
      </c>
      <c r="Q82" s="2"/>
      <c r="R82" s="21"/>
      <c r="S82" s="2"/>
      <c r="T82" s="2"/>
      <c r="U82" s="2"/>
      <c r="V82" s="21"/>
      <c r="W82" s="2"/>
      <c r="X82" s="2">
        <f t="shared" si="2"/>
        <v>-6848.37</v>
      </c>
      <c r="Y82" s="2"/>
      <c r="Z82" s="21">
        <f t="shared" si="3"/>
        <v>0</v>
      </c>
    </row>
    <row r="83" spans="1:26" s="24" customFormat="1" hidden="1" outlineLevel="1" x14ac:dyDescent="0.25">
      <c r="A83" s="46"/>
      <c r="B83" s="11" t="str">
        <f>CONCATENATE("          ", "4218", " - ", "SALES RETURN TAXABLE-STUDY GUI")</f>
        <v xml:space="preserve">          4218 - SALES RETURN TAXABLE-STUDY GUI</v>
      </c>
      <c r="C83" s="11"/>
      <c r="D83" s="2">
        <f>-26.8</f>
        <v>-26.8</v>
      </c>
      <c r="E83" s="2"/>
      <c r="F83" s="21"/>
      <c r="G83" s="2"/>
      <c r="H83" s="2"/>
      <c r="I83" s="2"/>
      <c r="J83" s="21"/>
      <c r="K83" s="2"/>
      <c r="L83" s="2">
        <f t="shared" si="0"/>
        <v>-26.8</v>
      </c>
      <c r="M83" s="2"/>
      <c r="N83" s="21">
        <f t="shared" si="1"/>
        <v>0</v>
      </c>
      <c r="O83" s="11"/>
      <c r="P83" s="2">
        <f>-26.8</f>
        <v>-26.8</v>
      </c>
      <c r="Q83" s="2"/>
      <c r="R83" s="21"/>
      <c r="S83" s="2"/>
      <c r="T83" s="2"/>
      <c r="U83" s="2"/>
      <c r="V83" s="21"/>
      <c r="W83" s="2"/>
      <c r="X83" s="2">
        <f t="shared" si="2"/>
        <v>-26.8</v>
      </c>
      <c r="Y83" s="2"/>
      <c r="Z83" s="21">
        <f t="shared" si="3"/>
        <v>0</v>
      </c>
    </row>
    <row r="84" spans="1:26" s="24" customFormat="1" hidden="1" outlineLevel="1" x14ac:dyDescent="0.25">
      <c r="A84" s="46"/>
      <c r="B84" s="11" t="str">
        <f>CONCATENATE("          ", "4225", " - ", "SALES RETURN TAXABLE-TEST FORM")</f>
        <v xml:space="preserve">          4225 - SALES RETURN TAXABLE-TEST FORM</v>
      </c>
      <c r="C84" s="11"/>
      <c r="D84" s="2">
        <f>-8.61</f>
        <v>-8.61</v>
      </c>
      <c r="E84" s="2"/>
      <c r="F84" s="21"/>
      <c r="G84" s="2"/>
      <c r="H84" s="2"/>
      <c r="I84" s="2"/>
      <c r="J84" s="21"/>
      <c r="K84" s="2"/>
      <c r="L84" s="2">
        <f t="shared" si="0"/>
        <v>-8.61</v>
      </c>
      <c r="M84" s="2"/>
      <c r="N84" s="21">
        <f t="shared" si="1"/>
        <v>0</v>
      </c>
      <c r="O84" s="11"/>
      <c r="P84" s="2">
        <f>-12.69</f>
        <v>-12.69</v>
      </c>
      <c r="Q84" s="2"/>
      <c r="R84" s="21"/>
      <c r="S84" s="2"/>
      <c r="T84" s="2"/>
      <c r="U84" s="2"/>
      <c r="V84" s="21"/>
      <c r="W84" s="2"/>
      <c r="X84" s="2">
        <f t="shared" si="2"/>
        <v>-12.69</v>
      </c>
      <c r="Y84" s="2"/>
      <c r="Z84" s="21">
        <f t="shared" si="3"/>
        <v>0</v>
      </c>
    </row>
    <row r="85" spans="1:26" s="24" customFormat="1" hidden="1" outlineLevel="1" x14ac:dyDescent="0.25">
      <c r="A85" s="46"/>
      <c r="B85" s="11" t="str">
        <f>CONCATENATE("          ", "4226", " - ", "SALES RETURN TAXABLE-WRITING I")</f>
        <v xml:space="preserve">          4226 - SALES RETURN TAXABLE-WRITING I</v>
      </c>
      <c r="C85" s="11"/>
      <c r="D85" s="2">
        <f>-60.28</f>
        <v>-60.28</v>
      </c>
      <c r="E85" s="2"/>
      <c r="F85" s="21"/>
      <c r="G85" s="2"/>
      <c r="H85" s="2"/>
      <c r="I85" s="2"/>
      <c r="J85" s="21"/>
      <c r="K85" s="2"/>
      <c r="L85" s="2">
        <f t="shared" si="0"/>
        <v>-60.28</v>
      </c>
      <c r="M85" s="2"/>
      <c r="N85" s="21">
        <f t="shared" si="1"/>
        <v>0</v>
      </c>
      <c r="O85" s="11"/>
      <c r="P85" s="2">
        <f>-124.21</f>
        <v>-124.21</v>
      </c>
      <c r="Q85" s="2"/>
      <c r="R85" s="21"/>
      <c r="S85" s="2"/>
      <c r="T85" s="2"/>
      <c r="U85" s="2"/>
      <c r="V85" s="21"/>
      <c r="W85" s="2"/>
      <c r="X85" s="2">
        <f t="shared" si="2"/>
        <v>-124.21</v>
      </c>
      <c r="Y85" s="2"/>
      <c r="Z85" s="21">
        <f t="shared" si="3"/>
        <v>0</v>
      </c>
    </row>
    <row r="86" spans="1:26" s="24" customFormat="1" hidden="1" outlineLevel="1" x14ac:dyDescent="0.25">
      <c r="A86" s="46"/>
      <c r="B86" s="11" t="str">
        <f>CONCATENATE("          ", "4227", " - ", "SALES RETURN TAXABLE-SCHOOL SU")</f>
        <v xml:space="preserve">          4227 - SALES RETURN TAXABLE-SCHOOL SU</v>
      </c>
      <c r="C86" s="11"/>
      <c r="D86" s="2">
        <f>-1531.15</f>
        <v>-1531.15</v>
      </c>
      <c r="E86" s="2"/>
      <c r="F86" s="21"/>
      <c r="G86" s="2"/>
      <c r="H86" s="2"/>
      <c r="I86" s="2"/>
      <c r="J86" s="21"/>
      <c r="K86" s="2"/>
      <c r="L86" s="2">
        <f t="shared" si="0"/>
        <v>-1531.15</v>
      </c>
      <c r="M86" s="2"/>
      <c r="N86" s="21">
        <f t="shared" si="1"/>
        <v>0</v>
      </c>
      <c r="O86" s="11"/>
      <c r="P86" s="2">
        <f>-1696.59</f>
        <v>-1696.59</v>
      </c>
      <c r="Q86" s="2"/>
      <c r="R86" s="21"/>
      <c r="S86" s="2"/>
      <c r="T86" s="2"/>
      <c r="U86" s="2"/>
      <c r="V86" s="21"/>
      <c r="W86" s="2"/>
      <c r="X86" s="2">
        <f t="shared" si="2"/>
        <v>-1696.59</v>
      </c>
      <c r="Y86" s="2"/>
      <c r="Z86" s="21">
        <f t="shared" si="3"/>
        <v>0</v>
      </c>
    </row>
    <row r="87" spans="1:26" s="24" customFormat="1" hidden="1" outlineLevel="1" x14ac:dyDescent="0.25">
      <c r="A87" s="46"/>
      <c r="B87" s="11" t="str">
        <f>CONCATENATE("          ", "4228", " - ", "SALES RETURN TAXABLE-ART/TECH")</f>
        <v xml:space="preserve">          4228 - SALES RETURN TAXABLE-ART/TECH</v>
      </c>
      <c r="C87" s="11"/>
      <c r="D87" s="2">
        <f>-858.36</f>
        <v>-858.36</v>
      </c>
      <c r="E87" s="2"/>
      <c r="F87" s="21"/>
      <c r="G87" s="2"/>
      <c r="H87" s="2"/>
      <c r="I87" s="2"/>
      <c r="J87" s="21"/>
      <c r="K87" s="2"/>
      <c r="L87" s="2">
        <f t="shared" si="0"/>
        <v>-858.36</v>
      </c>
      <c r="M87" s="2"/>
      <c r="N87" s="21">
        <f t="shared" si="1"/>
        <v>0</v>
      </c>
      <c r="O87" s="11"/>
      <c r="P87" s="2">
        <f>-868.73</f>
        <v>-868.73</v>
      </c>
      <c r="Q87" s="2"/>
      <c r="R87" s="21"/>
      <c r="S87" s="2"/>
      <c r="T87" s="2"/>
      <c r="U87" s="2"/>
      <c r="V87" s="21"/>
      <c r="W87" s="2"/>
      <c r="X87" s="2">
        <f t="shared" si="2"/>
        <v>-868.73</v>
      </c>
      <c r="Y87" s="2"/>
      <c r="Z87" s="21">
        <f t="shared" si="3"/>
        <v>0</v>
      </c>
    </row>
    <row r="88" spans="1:26" s="24" customFormat="1" hidden="1" outlineLevel="1" x14ac:dyDescent="0.25">
      <c r="A88" s="46"/>
      <c r="B88" s="11" t="str">
        <f>CONCATENATE("          ", "4240", " - ", "SALES RETURN TAXABLE-LOGO CLOT")</f>
        <v xml:space="preserve">          4240 - SALES RETURN TAXABLE-LOGO CLOT</v>
      </c>
      <c r="C88" s="11"/>
      <c r="D88" s="2">
        <f>-6807.65</f>
        <v>-6807.65</v>
      </c>
      <c r="E88" s="2"/>
      <c r="F88" s="21"/>
      <c r="G88" s="2"/>
      <c r="H88" s="2"/>
      <c r="I88" s="2"/>
      <c r="J88" s="21"/>
      <c r="K88" s="2"/>
      <c r="L88" s="2">
        <f t="shared" si="0"/>
        <v>-6807.65</v>
      </c>
      <c r="M88" s="2"/>
      <c r="N88" s="21">
        <f t="shared" si="1"/>
        <v>0</v>
      </c>
      <c r="O88" s="11"/>
      <c r="P88" s="2">
        <f>-11254.49</f>
        <v>-11254.49</v>
      </c>
      <c r="Q88" s="2"/>
      <c r="R88" s="21"/>
      <c r="S88" s="2"/>
      <c r="T88" s="2"/>
      <c r="U88" s="2"/>
      <c r="V88" s="21"/>
      <c r="W88" s="2"/>
      <c r="X88" s="2">
        <f t="shared" si="2"/>
        <v>-11254.49</v>
      </c>
      <c r="Y88" s="2"/>
      <c r="Z88" s="21">
        <f t="shared" si="3"/>
        <v>0</v>
      </c>
    </row>
    <row r="89" spans="1:26" s="24" customFormat="1" hidden="1" outlineLevel="1" x14ac:dyDescent="0.25">
      <c r="A89" s="46"/>
      <c r="B89" s="11" t="str">
        <f>CONCATENATE("          ", "4241", " - ", "SALES RETURN TAXABLE-LOGO GIFT")</f>
        <v xml:space="preserve">          4241 - SALES RETURN TAXABLE-LOGO GIFT</v>
      </c>
      <c r="C89" s="11"/>
      <c r="D89" s="2">
        <f>-971.11</f>
        <v>-971.11</v>
      </c>
      <c r="E89" s="2"/>
      <c r="F89" s="21"/>
      <c r="G89" s="2"/>
      <c r="H89" s="2"/>
      <c r="I89" s="2"/>
      <c r="J89" s="21"/>
      <c r="K89" s="2"/>
      <c r="L89" s="2">
        <f t="shared" si="0"/>
        <v>-971.11</v>
      </c>
      <c r="M89" s="2"/>
      <c r="N89" s="21">
        <f t="shared" si="1"/>
        <v>0</v>
      </c>
      <c r="O89" s="11"/>
      <c r="P89" s="2">
        <f>-1690.01</f>
        <v>-1690.01</v>
      </c>
      <c r="Q89" s="2"/>
      <c r="R89" s="21"/>
      <c r="S89" s="2"/>
      <c r="T89" s="2"/>
      <c r="U89" s="2"/>
      <c r="V89" s="21"/>
      <c r="W89" s="2"/>
      <c r="X89" s="2">
        <f t="shared" si="2"/>
        <v>-1690.01</v>
      </c>
      <c r="Y89" s="2"/>
      <c r="Z89" s="21">
        <f t="shared" si="3"/>
        <v>0</v>
      </c>
    </row>
    <row r="90" spans="1:26" s="24" customFormat="1" hidden="1" outlineLevel="1" x14ac:dyDescent="0.25">
      <c r="A90" s="46"/>
      <c r="B90" s="11" t="str">
        <f>CONCATENATE("          ", "4242", " - ", "SALES RETURN TAXABLE-EVERYDAY")</f>
        <v xml:space="preserve">          4242 - SALES RETURN TAXABLE-EVERYDAY</v>
      </c>
      <c r="C90" s="11"/>
      <c r="D90" s="2">
        <f>-450.83</f>
        <v>-450.83</v>
      </c>
      <c r="E90" s="2"/>
      <c r="F90" s="21"/>
      <c r="G90" s="2"/>
      <c r="H90" s="2"/>
      <c r="I90" s="2"/>
      <c r="J90" s="21"/>
      <c r="K90" s="2"/>
      <c r="L90" s="2">
        <f t="shared" si="0"/>
        <v>-450.83</v>
      </c>
      <c r="M90" s="2"/>
      <c r="N90" s="21">
        <f t="shared" si="1"/>
        <v>0</v>
      </c>
      <c r="O90" s="11"/>
      <c r="P90" s="2">
        <f>-824.81</f>
        <v>-824.81</v>
      </c>
      <c r="Q90" s="2"/>
      <c r="R90" s="21"/>
      <c r="S90" s="2"/>
      <c r="T90" s="2"/>
      <c r="U90" s="2"/>
      <c r="V90" s="21"/>
      <c r="W90" s="2"/>
      <c r="X90" s="2">
        <f t="shared" si="2"/>
        <v>-824.81</v>
      </c>
      <c r="Y90" s="2"/>
      <c r="Z90" s="21">
        <f t="shared" si="3"/>
        <v>0</v>
      </c>
    </row>
    <row r="91" spans="1:26" s="24" customFormat="1" hidden="1" outlineLevel="1" x14ac:dyDescent="0.25">
      <c r="A91" s="46"/>
      <c r="B91" s="11" t="str">
        <f>CONCATENATE("          ", "4244", " - ", "SALES RETURN TAXABLE-ACCESSORI")</f>
        <v xml:space="preserve">          4244 - SALES RETURN TAXABLE-ACCESSORI</v>
      </c>
      <c r="C91" s="11"/>
      <c r="D91" s="2">
        <f>-443.68</f>
        <v>-443.68</v>
      </c>
      <c r="E91" s="2"/>
      <c r="F91" s="21"/>
      <c r="G91" s="2"/>
      <c r="H91" s="2"/>
      <c r="I91" s="2"/>
      <c r="J91" s="21"/>
      <c r="K91" s="2"/>
      <c r="L91" s="2">
        <f t="shared" si="0"/>
        <v>-443.68</v>
      </c>
      <c r="M91" s="2"/>
      <c r="N91" s="21">
        <f t="shared" si="1"/>
        <v>0</v>
      </c>
      <c r="O91" s="11"/>
      <c r="P91" s="2">
        <f>-550.47</f>
        <v>-550.47</v>
      </c>
      <c r="Q91" s="2"/>
      <c r="R91" s="21"/>
      <c r="S91" s="2"/>
      <c r="T91" s="2"/>
      <c r="U91" s="2"/>
      <c r="V91" s="21"/>
      <c r="W91" s="2"/>
      <c r="X91" s="2">
        <f t="shared" si="2"/>
        <v>-550.47</v>
      </c>
      <c r="Y91" s="2"/>
      <c r="Z91" s="21">
        <f t="shared" si="3"/>
        <v>0</v>
      </c>
    </row>
    <row r="92" spans="1:26" s="24" customFormat="1" hidden="1" outlineLevel="1" x14ac:dyDescent="0.25">
      <c r="A92" s="46"/>
      <c r="B92" s="11" t="str">
        <f>CONCATENATE("          ", "4245", " - ", "SALES RETURN TAXABLE-SPECIAL O")</f>
        <v xml:space="preserve">          4245 - SALES RETURN TAXABLE-SPECIAL O</v>
      </c>
      <c r="C92" s="11"/>
      <c r="D92" s="2">
        <f>-19.98</f>
        <v>-19.98</v>
      </c>
      <c r="E92" s="2"/>
      <c r="F92" s="21"/>
      <c r="G92" s="2"/>
      <c r="H92" s="2"/>
      <c r="I92" s="2"/>
      <c r="J92" s="21"/>
      <c r="K92" s="2"/>
      <c r="L92" s="2">
        <f t="shared" si="0"/>
        <v>-19.98</v>
      </c>
      <c r="M92" s="2"/>
      <c r="N92" s="21">
        <f t="shared" si="1"/>
        <v>0</v>
      </c>
      <c r="O92" s="11"/>
      <c r="P92" s="2">
        <f>-19.98</f>
        <v>-19.98</v>
      </c>
      <c r="Q92" s="2"/>
      <c r="R92" s="21"/>
      <c r="S92" s="2"/>
      <c r="T92" s="2"/>
      <c r="U92" s="2"/>
      <c r="V92" s="21"/>
      <c r="W92" s="2"/>
      <c r="X92" s="2">
        <f t="shared" si="2"/>
        <v>-19.98</v>
      </c>
      <c r="Y92" s="2"/>
      <c r="Z92" s="21">
        <f t="shared" si="3"/>
        <v>0</v>
      </c>
    </row>
    <row r="93" spans="1:26" s="24" customFormat="1" hidden="1" outlineLevel="1" x14ac:dyDescent="0.25">
      <c r="A93" s="46"/>
      <c r="B93" s="11" t="str">
        <f>CONCATENATE("          ", "4281", " - ", "SALES RETURN TAXABLE-ELECTRONI")</f>
        <v xml:space="preserve">          4281 - SALES RETURN TAXABLE-ELECTRONI</v>
      </c>
      <c r="C93" s="11"/>
      <c r="D93" s="2">
        <f>-575.76</f>
        <v>-575.76</v>
      </c>
      <c r="E93" s="2"/>
      <c r="F93" s="21"/>
      <c r="G93" s="2"/>
      <c r="H93" s="2"/>
      <c r="I93" s="2"/>
      <c r="J93" s="21"/>
      <c r="K93" s="2"/>
      <c r="L93" s="2">
        <f t="shared" si="0"/>
        <v>-575.76</v>
      </c>
      <c r="M93" s="2"/>
      <c r="N93" s="21">
        <f t="shared" si="1"/>
        <v>0</v>
      </c>
      <c r="O93" s="11"/>
      <c r="P93" s="2">
        <f>-2234.75</f>
        <v>-2234.75</v>
      </c>
      <c r="Q93" s="2"/>
      <c r="R93" s="21"/>
      <c r="S93" s="2"/>
      <c r="T93" s="2"/>
      <c r="U93" s="2"/>
      <c r="V93" s="21"/>
      <c r="W93" s="2"/>
      <c r="X93" s="2">
        <f t="shared" si="2"/>
        <v>-2234.75</v>
      </c>
      <c r="Y93" s="2"/>
      <c r="Z93" s="21">
        <f t="shared" si="3"/>
        <v>0</v>
      </c>
    </row>
    <row r="94" spans="1:26" s="24" customFormat="1" hidden="1" outlineLevel="1" x14ac:dyDescent="0.25">
      <c r="A94" s="46"/>
      <c r="B94" s="11" t="str">
        <f>CONCATENATE("          ", "4282", " - ", "SALES RETURN TAXABLE-COMPUTER")</f>
        <v xml:space="preserve">          4282 - SALES RETURN TAXABLE-COMPUTER</v>
      </c>
      <c r="C94" s="11"/>
      <c r="D94" s="2">
        <f>-49848.66</f>
        <v>-49848.66</v>
      </c>
      <c r="E94" s="2"/>
      <c r="F94" s="21"/>
      <c r="G94" s="2"/>
      <c r="H94" s="2"/>
      <c r="I94" s="2"/>
      <c r="J94" s="21"/>
      <c r="K94" s="2"/>
      <c r="L94" s="2">
        <f t="shared" si="0"/>
        <v>-49848.66</v>
      </c>
      <c r="M94" s="2"/>
      <c r="N94" s="21">
        <f t="shared" si="1"/>
        <v>0</v>
      </c>
      <c r="O94" s="11"/>
      <c r="P94" s="2">
        <f>-120189.72</f>
        <v>-120189.72</v>
      </c>
      <c r="Q94" s="2"/>
      <c r="R94" s="21"/>
      <c r="S94" s="2"/>
      <c r="T94" s="2"/>
      <c r="U94" s="2"/>
      <c r="V94" s="21"/>
      <c r="W94" s="2"/>
      <c r="X94" s="2">
        <f t="shared" si="2"/>
        <v>-120189.72</v>
      </c>
      <c r="Y94" s="2"/>
      <c r="Z94" s="21">
        <f t="shared" si="3"/>
        <v>0</v>
      </c>
    </row>
    <row r="95" spans="1:26" s="24" customFormat="1" hidden="1" outlineLevel="1" x14ac:dyDescent="0.25">
      <c r="A95" s="46"/>
      <c r="B95" s="11" t="str">
        <f>CONCATENATE("          ", "4283", " - ", "SALES RETURN TAXABLE-COMPUTER")</f>
        <v xml:space="preserve">          4283 - SALES RETURN TAXABLE-COMPUTER</v>
      </c>
      <c r="C95" s="11"/>
      <c r="D95" s="2">
        <f>-503.89</f>
        <v>-503.89</v>
      </c>
      <c r="E95" s="2"/>
      <c r="F95" s="21"/>
      <c r="G95" s="2"/>
      <c r="H95" s="2"/>
      <c r="I95" s="2"/>
      <c r="J95" s="21"/>
      <c r="K95" s="2"/>
      <c r="L95" s="2">
        <f t="shared" si="0"/>
        <v>-503.89</v>
      </c>
      <c r="M95" s="2"/>
      <c r="N95" s="21">
        <f t="shared" si="1"/>
        <v>0</v>
      </c>
      <c r="O95" s="11"/>
      <c r="P95" s="2">
        <f>-730.69</f>
        <v>-730.69</v>
      </c>
      <c r="Q95" s="2"/>
      <c r="R95" s="21"/>
      <c r="S95" s="2"/>
      <c r="T95" s="2"/>
      <c r="U95" s="2"/>
      <c r="V95" s="21"/>
      <c r="W95" s="2"/>
      <c r="X95" s="2">
        <f t="shared" si="2"/>
        <v>-730.69</v>
      </c>
      <c r="Y95" s="2"/>
      <c r="Z95" s="21">
        <f t="shared" si="3"/>
        <v>0</v>
      </c>
    </row>
    <row r="96" spans="1:26" s="24" customFormat="1" hidden="1" outlineLevel="1" x14ac:dyDescent="0.25">
      <c r="A96" s="46"/>
      <c r="B96" s="11" t="str">
        <f>CONCATENATE("          ", "4284", " - ", "SALES RETURN TAXABLE-SOFTWARE")</f>
        <v xml:space="preserve">          4284 - SALES RETURN TAXABLE-SOFTWARE</v>
      </c>
      <c r="C96" s="11"/>
      <c r="D96" s="2">
        <f>-129</f>
        <v>-129</v>
      </c>
      <c r="E96" s="2"/>
      <c r="F96" s="21"/>
      <c r="G96" s="2"/>
      <c r="H96" s="2"/>
      <c r="I96" s="2"/>
      <c r="J96" s="21"/>
      <c r="K96" s="2"/>
      <c r="L96" s="2">
        <f t="shared" si="0"/>
        <v>-129</v>
      </c>
      <c r="M96" s="2"/>
      <c r="N96" s="21">
        <f t="shared" si="1"/>
        <v>0</v>
      </c>
      <c r="O96" s="11"/>
      <c r="P96" s="2">
        <f>-129</f>
        <v>-129</v>
      </c>
      <c r="Q96" s="2"/>
      <c r="R96" s="21"/>
      <c r="S96" s="2"/>
      <c r="T96" s="2"/>
      <c r="U96" s="2"/>
      <c r="V96" s="21"/>
      <c r="W96" s="2"/>
      <c r="X96" s="2">
        <f t="shared" si="2"/>
        <v>-129</v>
      </c>
      <c r="Y96" s="2"/>
      <c r="Z96" s="21">
        <f t="shared" si="3"/>
        <v>0</v>
      </c>
    </row>
    <row r="97" spans="1:26" s="24" customFormat="1" hidden="1" outlineLevel="1" x14ac:dyDescent="0.25">
      <c r="A97" s="46"/>
      <c r="B97" s="11" t="str">
        <f>CONCATENATE("          ", "4285", " - ", "SALES RETURN TAXABLE-SOFTWARE")</f>
        <v xml:space="preserve">          4285 - SALES RETURN TAXABLE-SOFTWARE</v>
      </c>
      <c r="C97" s="11"/>
      <c r="D97" s="2">
        <f>0</f>
        <v>0</v>
      </c>
      <c r="E97" s="2"/>
      <c r="F97" s="21"/>
      <c r="G97" s="2"/>
      <c r="H97" s="2"/>
      <c r="I97" s="2"/>
      <c r="J97" s="21"/>
      <c r="K97" s="2"/>
      <c r="L97" s="2">
        <f t="shared" si="0"/>
        <v>0</v>
      </c>
      <c r="M97" s="2"/>
      <c r="N97" s="21">
        <f t="shared" si="1"/>
        <v>0</v>
      </c>
      <c r="O97" s="11"/>
      <c r="P97" s="2">
        <f>-406.99</f>
        <v>-406.99</v>
      </c>
      <c r="Q97" s="2"/>
      <c r="R97" s="21"/>
      <c r="S97" s="2"/>
      <c r="T97" s="2"/>
      <c r="U97" s="2"/>
      <c r="V97" s="21"/>
      <c r="W97" s="2"/>
      <c r="X97" s="2">
        <f t="shared" si="2"/>
        <v>-406.99</v>
      </c>
      <c r="Y97" s="2"/>
      <c r="Z97" s="21">
        <f t="shared" si="3"/>
        <v>0</v>
      </c>
    </row>
    <row r="98" spans="1:26" s="24" customFormat="1" hidden="1" outlineLevel="1" x14ac:dyDescent="0.25">
      <c r="A98" s="46"/>
      <c r="B98" s="11" t="str">
        <f>CONCATENATE("          ", "4286", " - ", "SALES RETURN TAXABLE-COMPUTER")</f>
        <v xml:space="preserve">          4286 - SALES RETURN TAXABLE-COMPUTER</v>
      </c>
      <c r="C98" s="11"/>
      <c r="D98" s="2">
        <f>-635.2</f>
        <v>-635.20000000000005</v>
      </c>
      <c r="E98" s="2"/>
      <c r="F98" s="21"/>
      <c r="G98" s="2"/>
      <c r="H98" s="2"/>
      <c r="I98" s="2"/>
      <c r="J98" s="21"/>
      <c r="K98" s="2"/>
      <c r="L98" s="2">
        <f t="shared" si="0"/>
        <v>-635.20000000000005</v>
      </c>
      <c r="M98" s="2"/>
      <c r="N98" s="21">
        <f t="shared" si="1"/>
        <v>0</v>
      </c>
      <c r="O98" s="11"/>
      <c r="P98" s="2">
        <f>-1181.15</f>
        <v>-1181.1500000000001</v>
      </c>
      <c r="Q98" s="2"/>
      <c r="R98" s="21"/>
      <c r="S98" s="2"/>
      <c r="T98" s="2"/>
      <c r="U98" s="2"/>
      <c r="V98" s="21"/>
      <c r="W98" s="2"/>
      <c r="X98" s="2">
        <f t="shared" si="2"/>
        <v>-1181.1500000000001</v>
      </c>
      <c r="Y98" s="2"/>
      <c r="Z98" s="21">
        <f t="shared" si="3"/>
        <v>0</v>
      </c>
    </row>
    <row r="99" spans="1:26" s="24" customFormat="1" hidden="1" outlineLevel="1" x14ac:dyDescent="0.25">
      <c r="A99" s="46"/>
      <c r="B99" s="11" t="str">
        <f>CONCATENATE("          ", "4292", " - ", "SALES RETURN TAXABLE-GRAD MERC")</f>
        <v xml:space="preserve">          4292 - SALES RETURN TAXABLE-GRAD MERC</v>
      </c>
      <c r="C99" s="11"/>
      <c r="D99" s="2">
        <f>-359.2</f>
        <v>-359.2</v>
      </c>
      <c r="E99" s="2"/>
      <c r="F99" s="21"/>
      <c r="G99" s="2"/>
      <c r="H99" s="2"/>
      <c r="I99" s="2"/>
      <c r="J99" s="21"/>
      <c r="K99" s="2"/>
      <c r="L99" s="2">
        <f t="shared" si="0"/>
        <v>-359.2</v>
      </c>
      <c r="M99" s="2"/>
      <c r="N99" s="21">
        <f t="shared" si="1"/>
        <v>0</v>
      </c>
      <c r="O99" s="11"/>
      <c r="P99" s="2">
        <f>-369.15</f>
        <v>-369.15</v>
      </c>
      <c r="Q99" s="2"/>
      <c r="R99" s="21"/>
      <c r="S99" s="2"/>
      <c r="T99" s="2"/>
      <c r="U99" s="2"/>
      <c r="V99" s="21"/>
      <c r="W99" s="2"/>
      <c r="X99" s="2">
        <f t="shared" si="2"/>
        <v>-369.15</v>
      </c>
      <c r="Y99" s="2"/>
      <c r="Z99" s="21">
        <f t="shared" si="3"/>
        <v>0</v>
      </c>
    </row>
    <row r="100" spans="1:26" s="24" customFormat="1" hidden="1" outlineLevel="1" x14ac:dyDescent="0.25">
      <c r="A100" s="46"/>
      <c r="B100" s="11" t="str">
        <f>CONCATENATE("          ", "4295", " - ", "SALES RETURN TAXABLE-CUSTOMER")</f>
        <v xml:space="preserve">          4295 - SALES RETURN TAXABLE-CUSTOMER</v>
      </c>
      <c r="C100" s="11"/>
      <c r="D100" s="2">
        <f>--0.99</f>
        <v>0.99</v>
      </c>
      <c r="E100" s="2"/>
      <c r="F100" s="21"/>
      <c r="G100" s="2"/>
      <c r="H100" s="2"/>
      <c r="I100" s="2"/>
      <c r="J100" s="21"/>
      <c r="K100" s="2"/>
      <c r="L100" s="2">
        <f t="shared" si="0"/>
        <v>0.99</v>
      </c>
      <c r="M100" s="2"/>
      <c r="N100" s="21">
        <f t="shared" si="1"/>
        <v>0</v>
      </c>
      <c r="O100" s="11"/>
      <c r="P100" s="2">
        <f>--0.99</f>
        <v>0.99</v>
      </c>
      <c r="Q100" s="2"/>
      <c r="R100" s="21"/>
      <c r="S100" s="2"/>
      <c r="T100" s="2"/>
      <c r="U100" s="2"/>
      <c r="V100" s="21"/>
      <c r="W100" s="2"/>
      <c r="X100" s="2">
        <f t="shared" si="2"/>
        <v>0.99</v>
      </c>
      <c r="Y100" s="2"/>
      <c r="Z100" s="21">
        <f t="shared" si="3"/>
        <v>0</v>
      </c>
    </row>
    <row r="101" spans="1:26" s="24" customFormat="1" hidden="1" outlineLevel="1" x14ac:dyDescent="0.25">
      <c r="A101" s="46"/>
      <c r="B101" s="11" t="str">
        <f>CONCATENATE("          ", "4301", " - ", "SALES RETURN NON TAXABLE-NEW T")</f>
        <v xml:space="preserve">          4301 - SALES RETURN NON TAXABLE-NEW T</v>
      </c>
      <c r="C101" s="11"/>
      <c r="D101" s="2">
        <f>-2665.19</f>
        <v>-2665.19</v>
      </c>
      <c r="E101" s="2"/>
      <c r="F101" s="21"/>
      <c r="G101" s="2"/>
      <c r="H101" s="2"/>
      <c r="I101" s="2"/>
      <c r="J101" s="21"/>
      <c r="K101" s="2"/>
      <c r="L101" s="2">
        <f t="shared" si="0"/>
        <v>-2665.19</v>
      </c>
      <c r="M101" s="2"/>
      <c r="N101" s="21">
        <f t="shared" si="1"/>
        <v>0</v>
      </c>
      <c r="O101" s="11"/>
      <c r="P101" s="2">
        <f>-2919.78</f>
        <v>-2919.78</v>
      </c>
      <c r="Q101" s="2"/>
      <c r="R101" s="21"/>
      <c r="S101" s="2"/>
      <c r="T101" s="2"/>
      <c r="U101" s="2"/>
      <c r="V101" s="21"/>
      <c r="W101" s="2"/>
      <c r="X101" s="2">
        <f t="shared" si="2"/>
        <v>-2919.78</v>
      </c>
      <c r="Y101" s="2"/>
      <c r="Z101" s="21">
        <f t="shared" si="3"/>
        <v>0</v>
      </c>
    </row>
    <row r="102" spans="1:26" s="24" customFormat="1" hidden="1" outlineLevel="1" x14ac:dyDescent="0.25">
      <c r="A102" s="46"/>
      <c r="B102" s="11" t="str">
        <f>CONCATENATE("          ", "4302", " - ", "SALES RETURN NON TAXABLE-TEXT")</f>
        <v xml:space="preserve">          4302 - SALES RETURN NON TAXABLE-TEXT</v>
      </c>
      <c r="C102" s="11"/>
      <c r="D102" s="2">
        <f>-250.25</f>
        <v>-250.25</v>
      </c>
      <c r="E102" s="2"/>
      <c r="F102" s="21"/>
      <c r="G102" s="2"/>
      <c r="H102" s="2"/>
      <c r="I102" s="2"/>
      <c r="J102" s="21"/>
      <c r="K102" s="2"/>
      <c r="L102" s="2">
        <f t="shared" si="0"/>
        <v>-250.25</v>
      </c>
      <c r="M102" s="2"/>
      <c r="N102" s="21">
        <f t="shared" si="1"/>
        <v>0</v>
      </c>
      <c r="O102" s="11"/>
      <c r="P102" s="2">
        <f>-250.25</f>
        <v>-250.25</v>
      </c>
      <c r="Q102" s="2"/>
      <c r="R102" s="21"/>
      <c r="S102" s="2"/>
      <c r="T102" s="2"/>
      <c r="U102" s="2"/>
      <c r="V102" s="21"/>
      <c r="W102" s="2"/>
      <c r="X102" s="2">
        <f t="shared" si="2"/>
        <v>-250.25</v>
      </c>
      <c r="Y102" s="2"/>
      <c r="Z102" s="21">
        <f t="shared" si="3"/>
        <v>0</v>
      </c>
    </row>
    <row r="103" spans="1:26" s="24" customFormat="1" hidden="1" outlineLevel="1" x14ac:dyDescent="0.25">
      <c r="A103" s="46"/>
      <c r="B103" s="11" t="str">
        <f>CONCATENATE("          ", "4304", " - ", "SALES RETURN NON TAXABLE-DIGIT")</f>
        <v xml:space="preserve">          4304 - SALES RETURN NON TAXABLE-DIGIT</v>
      </c>
      <c r="C103" s="11"/>
      <c r="D103" s="2">
        <f>-8466.55</f>
        <v>-8466.5499999999993</v>
      </c>
      <c r="E103" s="2"/>
      <c r="F103" s="21"/>
      <c r="G103" s="2"/>
      <c r="H103" s="2"/>
      <c r="I103" s="2"/>
      <c r="J103" s="21"/>
      <c r="K103" s="2"/>
      <c r="L103" s="2">
        <f t="shared" si="0"/>
        <v>-8466.5499999999993</v>
      </c>
      <c r="M103" s="2"/>
      <c r="N103" s="21">
        <f t="shared" si="1"/>
        <v>0</v>
      </c>
      <c r="O103" s="11"/>
      <c r="P103" s="2">
        <f>-8466.55</f>
        <v>-8466.5499999999993</v>
      </c>
      <c r="Q103" s="2"/>
      <c r="R103" s="21"/>
      <c r="S103" s="2"/>
      <c r="T103" s="2"/>
      <c r="U103" s="2"/>
      <c r="V103" s="21"/>
      <c r="W103" s="2"/>
      <c r="X103" s="2">
        <f t="shared" si="2"/>
        <v>-8466.5499999999993</v>
      </c>
      <c r="Y103" s="2"/>
      <c r="Z103" s="21">
        <f t="shared" si="3"/>
        <v>0</v>
      </c>
    </row>
    <row r="104" spans="1:26" s="24" customFormat="1" hidden="1" outlineLevel="1" x14ac:dyDescent="0.25">
      <c r="A104" s="46"/>
      <c r="B104" s="11" t="str">
        <f>CONCATENATE("          ", "4311", " - ", "SALES RETURN NON TAXABLE-NO VA")</f>
        <v xml:space="preserve">          4311 - SALES RETURN NON TAXABLE-NO VA</v>
      </c>
      <c r="C104" s="11"/>
      <c r="D104" s="2">
        <f>-79.06</f>
        <v>-79.06</v>
      </c>
      <c r="E104" s="2"/>
      <c r="F104" s="21"/>
      <c r="G104" s="2"/>
      <c r="H104" s="2"/>
      <c r="I104" s="2"/>
      <c r="J104" s="21"/>
      <c r="K104" s="2"/>
      <c r="L104" s="2">
        <f t="shared" si="0"/>
        <v>-79.06</v>
      </c>
      <c r="M104" s="2"/>
      <c r="N104" s="21">
        <f t="shared" si="1"/>
        <v>0</v>
      </c>
      <c r="O104" s="11"/>
      <c r="P104" s="2">
        <f>-111.04</f>
        <v>-111.04</v>
      </c>
      <c r="Q104" s="2"/>
      <c r="R104" s="21"/>
      <c r="S104" s="2"/>
      <c r="T104" s="2"/>
      <c r="U104" s="2"/>
      <c r="V104" s="21"/>
      <c r="W104" s="2"/>
      <c r="X104" s="2">
        <f t="shared" si="2"/>
        <v>-111.04</v>
      </c>
      <c r="Y104" s="2"/>
      <c r="Z104" s="21">
        <f t="shared" si="3"/>
        <v>0</v>
      </c>
    </row>
    <row r="105" spans="1:26" s="24" customFormat="1" hidden="1" outlineLevel="1" x14ac:dyDescent="0.25">
      <c r="A105" s="46"/>
      <c r="B105" s="11" t="str">
        <f>CONCATENATE("          ", "4327", " - ", "SALES RETURN NON TAXABLE-SCHOO")</f>
        <v xml:space="preserve">          4327 - SALES RETURN NON TAXABLE-SCHOO</v>
      </c>
      <c r="C105" s="11"/>
      <c r="D105" s="2">
        <f>-13.58</f>
        <v>-13.58</v>
      </c>
      <c r="E105" s="2"/>
      <c r="F105" s="21"/>
      <c r="G105" s="2"/>
      <c r="H105" s="2"/>
      <c r="I105" s="2"/>
      <c r="J105" s="21"/>
      <c r="K105" s="2"/>
      <c r="L105" s="2">
        <f t="shared" si="0"/>
        <v>-13.58</v>
      </c>
      <c r="M105" s="2"/>
      <c r="N105" s="21">
        <f t="shared" si="1"/>
        <v>0</v>
      </c>
      <c r="O105" s="11"/>
      <c r="P105" s="2">
        <f>-13.58</f>
        <v>-13.58</v>
      </c>
      <c r="Q105" s="2"/>
      <c r="R105" s="21"/>
      <c r="S105" s="2"/>
      <c r="T105" s="2"/>
      <c r="U105" s="2"/>
      <c r="V105" s="21"/>
      <c r="W105" s="2"/>
      <c r="X105" s="2">
        <f t="shared" si="2"/>
        <v>-13.58</v>
      </c>
      <c r="Y105" s="2"/>
      <c r="Z105" s="21">
        <f t="shared" si="3"/>
        <v>0</v>
      </c>
    </row>
    <row r="106" spans="1:26" s="24" customFormat="1" hidden="1" outlineLevel="1" x14ac:dyDescent="0.25">
      <c r="A106" s="46"/>
      <c r="B106" s="11" t="str">
        <f>CONCATENATE("          ", "4340", " - ", "SALES RETURN NON TAXABLE-LOGO")</f>
        <v xml:space="preserve">          4340 - SALES RETURN NON TAXABLE-LOGO</v>
      </c>
      <c r="C106" s="11"/>
      <c r="D106" s="2">
        <f>-44.95</f>
        <v>-44.95</v>
      </c>
      <c r="E106" s="2"/>
      <c r="F106" s="21"/>
      <c r="G106" s="2"/>
      <c r="H106" s="2"/>
      <c r="I106" s="2"/>
      <c r="J106" s="21"/>
      <c r="K106" s="2"/>
      <c r="L106" s="2">
        <f t="shared" si="0"/>
        <v>-44.95</v>
      </c>
      <c r="M106" s="2"/>
      <c r="N106" s="21">
        <f t="shared" si="1"/>
        <v>0</v>
      </c>
      <c r="O106" s="11"/>
      <c r="P106" s="2">
        <f>-268.5</f>
        <v>-268.5</v>
      </c>
      <c r="Q106" s="2"/>
      <c r="R106" s="21"/>
      <c r="S106" s="2"/>
      <c r="T106" s="2"/>
      <c r="U106" s="2"/>
      <c r="V106" s="21"/>
      <c r="W106" s="2"/>
      <c r="X106" s="2">
        <f t="shared" si="2"/>
        <v>-268.5</v>
      </c>
      <c r="Y106" s="2"/>
      <c r="Z106" s="21">
        <f t="shared" si="3"/>
        <v>0</v>
      </c>
    </row>
    <row r="107" spans="1:26" s="24" customFormat="1" hidden="1" outlineLevel="1" x14ac:dyDescent="0.25">
      <c r="A107" s="46"/>
      <c r="B107" s="11" t="str">
        <f>CONCATENATE("          ", "4341", " - ", "SALES RETURN NON TAXABLE-LOGO")</f>
        <v xml:space="preserve">          4341 - SALES RETURN NON TAXABLE-LOGO</v>
      </c>
      <c r="C107" s="11"/>
      <c r="D107" s="2">
        <f>-3.95</f>
        <v>-3.95</v>
      </c>
      <c r="E107" s="2"/>
      <c r="F107" s="21"/>
      <c r="G107" s="2"/>
      <c r="H107" s="2"/>
      <c r="I107" s="2"/>
      <c r="J107" s="21"/>
      <c r="K107" s="2"/>
      <c r="L107" s="2">
        <f t="shared" si="0"/>
        <v>-3.95</v>
      </c>
      <c r="M107" s="2"/>
      <c r="N107" s="21">
        <f t="shared" si="1"/>
        <v>0</v>
      </c>
      <c r="O107" s="11"/>
      <c r="P107" s="2">
        <f>-3.95</f>
        <v>-3.95</v>
      </c>
      <c r="Q107" s="2"/>
      <c r="R107" s="21"/>
      <c r="S107" s="2"/>
      <c r="T107" s="2"/>
      <c r="U107" s="2"/>
      <c r="V107" s="21"/>
      <c r="W107" s="2"/>
      <c r="X107" s="2">
        <f t="shared" si="2"/>
        <v>-3.95</v>
      </c>
      <c r="Y107" s="2"/>
      <c r="Z107" s="21">
        <f t="shared" si="3"/>
        <v>0</v>
      </c>
    </row>
    <row r="108" spans="1:26" s="24" customFormat="1" hidden="1" outlineLevel="1" x14ac:dyDescent="0.25">
      <c r="A108" s="46"/>
      <c r="B108" s="11" t="str">
        <f>CONCATENATE("          ", "4346", " - ", "SALES RETURN NON TAXABLE-COIN-")</f>
        <v xml:space="preserve">          4346 - SALES RETURN NON TAXABLE-COIN-</v>
      </c>
      <c r="C108" s="11"/>
      <c r="D108" s="2">
        <f>-8.15</f>
        <v>-8.15</v>
      </c>
      <c r="E108" s="2"/>
      <c r="F108" s="21"/>
      <c r="G108" s="2"/>
      <c r="H108" s="2"/>
      <c r="I108" s="2"/>
      <c r="J108" s="21"/>
      <c r="K108" s="2"/>
      <c r="L108" s="2">
        <f t="shared" si="0"/>
        <v>-8.15</v>
      </c>
      <c r="M108" s="2"/>
      <c r="N108" s="21">
        <f t="shared" si="1"/>
        <v>0</v>
      </c>
      <c r="O108" s="11"/>
      <c r="P108" s="2">
        <f>-8.15</f>
        <v>-8.15</v>
      </c>
      <c r="Q108" s="2"/>
      <c r="R108" s="21"/>
      <c r="S108" s="2"/>
      <c r="T108" s="2"/>
      <c r="U108" s="2"/>
      <c r="V108" s="21"/>
      <c r="W108" s="2"/>
      <c r="X108" s="2">
        <f t="shared" si="2"/>
        <v>-8.15</v>
      </c>
      <c r="Y108" s="2"/>
      <c r="Z108" s="21">
        <f t="shared" si="3"/>
        <v>0</v>
      </c>
    </row>
    <row r="109" spans="1:26" s="24" customFormat="1" hidden="1" outlineLevel="1" x14ac:dyDescent="0.25">
      <c r="A109" s="46"/>
      <c r="B109" s="11" t="str">
        <f>CONCATENATE("          ", "4383", " - ", "SALES RETURN NON TAXABLE-COMPU")</f>
        <v xml:space="preserve">          4383 - SALES RETURN NON TAXABLE-COMPU</v>
      </c>
      <c r="C109" s="11"/>
      <c r="D109" s="2">
        <f>-24.99</f>
        <v>-24.99</v>
      </c>
      <c r="E109" s="2"/>
      <c r="F109" s="21"/>
      <c r="G109" s="2"/>
      <c r="H109" s="2"/>
      <c r="I109" s="2"/>
      <c r="J109" s="21"/>
      <c r="K109" s="2"/>
      <c r="L109" s="2">
        <f t="shared" si="0"/>
        <v>-24.99</v>
      </c>
      <c r="M109" s="2"/>
      <c r="N109" s="21">
        <f t="shared" si="1"/>
        <v>0</v>
      </c>
      <c r="O109" s="11"/>
      <c r="P109" s="2">
        <f>-24.99</f>
        <v>-24.99</v>
      </c>
      <c r="Q109" s="2"/>
      <c r="R109" s="21"/>
      <c r="S109" s="2"/>
      <c r="T109" s="2"/>
      <c r="U109" s="2"/>
      <c r="V109" s="21"/>
      <c r="W109" s="2"/>
      <c r="X109" s="2">
        <f t="shared" si="2"/>
        <v>-24.99</v>
      </c>
      <c r="Y109" s="2"/>
      <c r="Z109" s="21">
        <f t="shared" si="3"/>
        <v>0</v>
      </c>
    </row>
    <row r="110" spans="1:26" s="24" customFormat="1" hidden="1" outlineLevel="1" x14ac:dyDescent="0.25">
      <c r="A110" s="46"/>
      <c r="B110" s="11" t="str">
        <f>CONCATENATE("          ", "4386", " - ", "SALES RETURN NON TAXABLE-COMPU")</f>
        <v xml:space="preserve">          4386 - SALES RETURN NON TAXABLE-COMPU</v>
      </c>
      <c r="C110" s="11"/>
      <c r="D110" s="2">
        <f>-19.99</f>
        <v>-19.989999999999998</v>
      </c>
      <c r="E110" s="2"/>
      <c r="F110" s="21"/>
      <c r="G110" s="2"/>
      <c r="H110" s="2"/>
      <c r="I110" s="2"/>
      <c r="J110" s="21"/>
      <c r="K110" s="2"/>
      <c r="L110" s="2">
        <f t="shared" si="0"/>
        <v>-19.989999999999998</v>
      </c>
      <c r="M110" s="2"/>
      <c r="N110" s="21">
        <f t="shared" si="1"/>
        <v>0</v>
      </c>
      <c r="O110" s="11"/>
      <c r="P110" s="2">
        <f>-19.99</f>
        <v>-19.989999999999998</v>
      </c>
      <c r="Q110" s="2"/>
      <c r="R110" s="21"/>
      <c r="S110" s="2"/>
      <c r="T110" s="2"/>
      <c r="U110" s="2"/>
      <c r="V110" s="21"/>
      <c r="W110" s="2"/>
      <c r="X110" s="2">
        <f t="shared" si="2"/>
        <v>-19.989999999999998</v>
      </c>
      <c r="Y110" s="2"/>
      <c r="Z110" s="21">
        <f t="shared" si="3"/>
        <v>0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collapsed="1" x14ac:dyDescent="0.25">
      <c r="A112" s="10"/>
      <c r="B112" s="28" t="s">
        <v>8</v>
      </c>
      <c r="C112" s="10"/>
      <c r="D112" s="4">
        <f>SUM(OSRRefD16x_0)</f>
        <v>2225352.7100000004</v>
      </c>
      <c r="E112" s="4"/>
      <c r="F112" s="12">
        <f t="shared" ref="F112:F165" si="5">IF(D$12=0,0,D112/D$12)</f>
        <v>0.69444165160182969</v>
      </c>
      <c r="G112" s="4"/>
      <c r="H112" s="4">
        <f>SUM(OSRRefH16x_0)</f>
        <v>2135864.8266400001</v>
      </c>
      <c r="I112" s="4"/>
      <c r="J112" s="12">
        <f t="shared" ref="J112:J165" si="6">IF(H$12=0,0,H112/H$12)</f>
        <v>0.66590515454302257</v>
      </c>
      <c r="K112" s="4"/>
      <c r="L112" s="4">
        <f t="shared" ref="L112:L165" si="7">+D112-H112</f>
        <v>89487.883360000327</v>
      </c>
      <c r="M112" s="4"/>
      <c r="N112" s="12">
        <f t="shared" ref="N112:N165" si="8">IF(H112=0,0,L112/H112)</f>
        <v>4.1897727910420568E-2</v>
      </c>
      <c r="O112" s="10"/>
      <c r="P112" s="4">
        <f>SUM(OSRRefP16x_0)</f>
        <v>2761595.33</v>
      </c>
      <c r="Q112" s="4"/>
      <c r="R112" s="12">
        <f t="shared" ref="R112:R165" si="9">IF(P$12=0,0,P112/P$12)</f>
        <v>0.70326926844037596</v>
      </c>
      <c r="S112" s="4"/>
      <c r="T112" s="4">
        <f>SUM(OSRRefT16x_0)</f>
        <v>2666681.39096</v>
      </c>
      <c r="U112" s="4"/>
      <c r="V112" s="12">
        <f t="shared" ref="V112:V165" si="10">IF(T$12=0,0,T112/T$12)</f>
        <v>0.66568123920470745</v>
      </c>
      <c r="W112" s="4"/>
      <c r="X112" s="4">
        <f t="shared" ref="X112:X165" si="11">+P112-T112</f>
        <v>94913.939040000085</v>
      </c>
      <c r="Y112" s="4"/>
      <c r="Z112" s="12">
        <f t="shared" ref="Z112:Z165" si="12">IF(T112=0,0,X112/T112)</f>
        <v>3.5592530611927083E-2</v>
      </c>
    </row>
    <row r="113" spans="1:26" s="24" customFormat="1" hidden="1" outlineLevel="1" x14ac:dyDescent="0.25">
      <c r="A113" s="46"/>
      <c r="B113" s="11" t="str">
        <f>CONCATENATE("          ", "5000", " - ", "PURCHASES @ COST")</f>
        <v xml:space="preserve">          5000 - PURCHASES @ COST</v>
      </c>
      <c r="C113" s="11"/>
      <c r="D113" s="2"/>
      <c r="E113" s="2"/>
      <c r="F113" s="21">
        <f t="shared" si="5"/>
        <v>0</v>
      </c>
      <c r="G113" s="2"/>
      <c r="H113" s="2">
        <v>2135864.8266400001</v>
      </c>
      <c r="I113" s="2"/>
      <c r="J113" s="21">
        <f t="shared" si="6"/>
        <v>0.66590515454302257</v>
      </c>
      <c r="K113" s="2"/>
      <c r="L113" s="2">
        <f t="shared" si="7"/>
        <v>-2135864.8266400001</v>
      </c>
      <c r="M113" s="2"/>
      <c r="N113" s="21">
        <f t="shared" si="8"/>
        <v>-1</v>
      </c>
      <c r="O113" s="11"/>
      <c r="P113" s="2"/>
      <c r="Q113" s="2"/>
      <c r="R113" s="21">
        <f t="shared" si="9"/>
        <v>0</v>
      </c>
      <c r="S113" s="2"/>
      <c r="T113" s="2">
        <v>2666681.39096</v>
      </c>
      <c r="U113" s="2"/>
      <c r="V113" s="21">
        <f t="shared" si="10"/>
        <v>0.66568123920470745</v>
      </c>
      <c r="W113" s="2"/>
      <c r="X113" s="2">
        <f t="shared" si="11"/>
        <v>-2666681.39096</v>
      </c>
      <c r="Y113" s="2"/>
      <c r="Z113" s="21">
        <f t="shared" si="12"/>
        <v>-1</v>
      </c>
    </row>
    <row r="114" spans="1:26" s="24" customFormat="1" hidden="1" outlineLevel="1" x14ac:dyDescent="0.25">
      <c r="A114" s="46"/>
      <c r="B114" s="11" t="str">
        <f>CONCATENATE("          ", "5001", " - ", "PURCHASES @ COST-NEW TEXT")</f>
        <v xml:space="preserve">          5001 - PURCHASES @ COST-NEW TEXT</v>
      </c>
      <c r="C114" s="11"/>
      <c r="D114" s="2">
        <v>1483764.14</v>
      </c>
      <c r="E114" s="2"/>
      <c r="F114" s="21">
        <f t="shared" si="5"/>
        <v>0.46302216063950069</v>
      </c>
      <c r="G114" s="2"/>
      <c r="H114" s="2"/>
      <c r="I114" s="2"/>
      <c r="J114" s="21">
        <f t="shared" si="6"/>
        <v>0</v>
      </c>
      <c r="K114" s="2"/>
      <c r="L114" s="2">
        <f t="shared" si="7"/>
        <v>1483764.14</v>
      </c>
      <c r="M114" s="2"/>
      <c r="N114" s="21">
        <f t="shared" si="8"/>
        <v>0</v>
      </c>
      <c r="O114" s="11"/>
      <c r="P114" s="2">
        <v>1827758.7</v>
      </c>
      <c r="Q114" s="2"/>
      <c r="R114" s="21">
        <f t="shared" si="9"/>
        <v>0.46545795825724129</v>
      </c>
      <c r="S114" s="2"/>
      <c r="T114" s="2"/>
      <c r="U114" s="2"/>
      <c r="V114" s="21">
        <f t="shared" si="10"/>
        <v>0</v>
      </c>
      <c r="W114" s="2"/>
      <c r="X114" s="2">
        <f t="shared" si="11"/>
        <v>1827758.7</v>
      </c>
      <c r="Y114" s="2"/>
      <c r="Z114" s="21">
        <f t="shared" si="12"/>
        <v>0</v>
      </c>
    </row>
    <row r="115" spans="1:26" s="24" customFormat="1" hidden="1" outlineLevel="1" x14ac:dyDescent="0.25">
      <c r="A115" s="46"/>
      <c r="B115" s="11" t="str">
        <f>CONCATENATE("          ", "5002", " - ", "PURCHASES @ COST-USED TEXT")</f>
        <v xml:space="preserve">          5002 - PURCHASES @ COST-USED TEXT</v>
      </c>
      <c r="C115" s="11"/>
      <c r="D115" s="2">
        <v>224687.41999999998</v>
      </c>
      <c r="E115" s="2"/>
      <c r="F115" s="21">
        <f t="shared" si="5"/>
        <v>7.011576292503939E-2</v>
      </c>
      <c r="G115" s="2"/>
      <c r="H115" s="2"/>
      <c r="I115" s="2"/>
      <c r="J115" s="21">
        <f t="shared" si="6"/>
        <v>0</v>
      </c>
      <c r="K115" s="2"/>
      <c r="L115" s="2">
        <f t="shared" si="7"/>
        <v>224687.41999999998</v>
      </c>
      <c r="M115" s="2"/>
      <c r="N115" s="21">
        <f t="shared" si="8"/>
        <v>0</v>
      </c>
      <c r="O115" s="11"/>
      <c r="P115" s="2">
        <v>334980.67</v>
      </c>
      <c r="Q115" s="2"/>
      <c r="R115" s="21">
        <f t="shared" si="9"/>
        <v>8.5306347448294309E-2</v>
      </c>
      <c r="S115" s="2"/>
      <c r="T115" s="2"/>
      <c r="U115" s="2"/>
      <c r="V115" s="21">
        <f t="shared" si="10"/>
        <v>0</v>
      </c>
      <c r="W115" s="2"/>
      <c r="X115" s="2">
        <f t="shared" si="11"/>
        <v>334980.67</v>
      </c>
      <c r="Y115" s="2"/>
      <c r="Z115" s="21">
        <f t="shared" si="12"/>
        <v>0</v>
      </c>
    </row>
    <row r="116" spans="1:26" s="24" customFormat="1" hidden="1" outlineLevel="1" x14ac:dyDescent="0.25">
      <c r="A116" s="46"/>
      <c r="B116" s="11" t="str">
        <f>CONCATENATE("          ", "5003", " - ", "PURCHASES @ COST-RENTAL TEXT")</f>
        <v xml:space="preserve">          5003 - PURCHASES @ COST-RENTAL TEXT</v>
      </c>
      <c r="C116" s="11"/>
      <c r="D116" s="2">
        <v>-38374.199999999997</v>
      </c>
      <c r="E116" s="2"/>
      <c r="F116" s="21">
        <f t="shared" si="5"/>
        <v>-1.1975019828159702E-2</v>
      </c>
      <c r="G116" s="2"/>
      <c r="H116" s="2"/>
      <c r="I116" s="2"/>
      <c r="J116" s="21">
        <f t="shared" si="6"/>
        <v>0</v>
      </c>
      <c r="K116" s="2"/>
      <c r="L116" s="2">
        <f t="shared" si="7"/>
        <v>-38374.199999999997</v>
      </c>
      <c r="M116" s="2"/>
      <c r="N116" s="21">
        <f t="shared" si="8"/>
        <v>0</v>
      </c>
      <c r="O116" s="11"/>
      <c r="P116" s="2">
        <v>-78.400000000000006</v>
      </c>
      <c r="Q116" s="2"/>
      <c r="R116" s="21">
        <f t="shared" si="9"/>
        <v>-1.9965383793477619E-5</v>
      </c>
      <c r="S116" s="2"/>
      <c r="T116" s="2"/>
      <c r="U116" s="2"/>
      <c r="V116" s="21">
        <f t="shared" si="10"/>
        <v>0</v>
      </c>
      <c r="W116" s="2"/>
      <c r="X116" s="2">
        <f t="shared" si="11"/>
        <v>-78.400000000000006</v>
      </c>
      <c r="Y116" s="2"/>
      <c r="Z116" s="21">
        <f t="shared" si="12"/>
        <v>0</v>
      </c>
    </row>
    <row r="117" spans="1:26" s="24" customFormat="1" hidden="1" outlineLevel="1" x14ac:dyDescent="0.25">
      <c r="A117" s="46"/>
      <c r="B117" s="11" t="str">
        <f>CONCATENATE("          ", "5004", " - ", "PURCHASES @ COST-DIGITAL TEXT")</f>
        <v xml:space="preserve">          5004 - PURCHASES @ COST-DIGITAL TEXT</v>
      </c>
      <c r="C117" s="11"/>
      <c r="D117" s="2">
        <v>169007.92</v>
      </c>
      <c r="E117" s="2"/>
      <c r="F117" s="21">
        <f t="shared" si="5"/>
        <v>5.2740466071371624E-2</v>
      </c>
      <c r="G117" s="2"/>
      <c r="H117" s="2"/>
      <c r="I117" s="2"/>
      <c r="J117" s="21">
        <f t="shared" si="6"/>
        <v>0</v>
      </c>
      <c r="K117" s="2"/>
      <c r="L117" s="2">
        <f t="shared" si="7"/>
        <v>169007.92</v>
      </c>
      <c r="M117" s="2"/>
      <c r="N117" s="21">
        <f t="shared" si="8"/>
        <v>0</v>
      </c>
      <c r="O117" s="11"/>
      <c r="P117" s="2">
        <v>302966.49000000005</v>
      </c>
      <c r="Q117" s="2"/>
      <c r="R117" s="21">
        <f t="shared" si="9"/>
        <v>7.7153600120061214E-2</v>
      </c>
      <c r="S117" s="2"/>
      <c r="T117" s="2"/>
      <c r="U117" s="2"/>
      <c r="V117" s="21">
        <f t="shared" si="10"/>
        <v>0</v>
      </c>
      <c r="W117" s="2"/>
      <c r="X117" s="2">
        <f t="shared" si="11"/>
        <v>302966.49000000005</v>
      </c>
      <c r="Y117" s="2"/>
      <c r="Z117" s="21">
        <f t="shared" si="12"/>
        <v>0</v>
      </c>
    </row>
    <row r="118" spans="1:26" s="24" customFormat="1" hidden="1" outlineLevel="1" x14ac:dyDescent="0.25">
      <c r="A118" s="46"/>
      <c r="B118" s="11" t="str">
        <f>CONCATENATE("          ", "5011", " - ", "PURCHASES @ COST-NO VALUE TEXT")</f>
        <v xml:space="preserve">          5011 - PURCHASES @ COST-NO VALUE TEXT</v>
      </c>
      <c r="C118" s="11"/>
      <c r="D118" s="2">
        <v>369</v>
      </c>
      <c r="E118" s="2"/>
      <c r="F118" s="21">
        <f t="shared" si="5"/>
        <v>1.1514982244817951E-4</v>
      </c>
      <c r="G118" s="2"/>
      <c r="H118" s="2"/>
      <c r="I118" s="2"/>
      <c r="J118" s="21">
        <f t="shared" si="6"/>
        <v>0</v>
      </c>
      <c r="K118" s="2"/>
      <c r="L118" s="2">
        <f t="shared" si="7"/>
        <v>369</v>
      </c>
      <c r="M118" s="2"/>
      <c r="N118" s="21">
        <f t="shared" si="8"/>
        <v>0</v>
      </c>
      <c r="O118" s="11"/>
      <c r="P118" s="2">
        <v>657</v>
      </c>
      <c r="Q118" s="2"/>
      <c r="R118" s="21">
        <f t="shared" si="9"/>
        <v>1.67311953473403E-4</v>
      </c>
      <c r="S118" s="2"/>
      <c r="T118" s="2"/>
      <c r="U118" s="2"/>
      <c r="V118" s="21">
        <f t="shared" si="10"/>
        <v>0</v>
      </c>
      <c r="W118" s="2"/>
      <c r="X118" s="2">
        <f t="shared" si="11"/>
        <v>657</v>
      </c>
      <c r="Y118" s="2"/>
      <c r="Z118" s="21">
        <f t="shared" si="12"/>
        <v>0</v>
      </c>
    </row>
    <row r="119" spans="1:26" s="24" customFormat="1" hidden="1" outlineLevel="1" x14ac:dyDescent="0.25">
      <c r="A119" s="46"/>
      <c r="B119" s="11" t="str">
        <f>CONCATENATE("          ", "5013", " - ", "PURCHASES @ COST-TRADE BOOKS")</f>
        <v xml:space="preserve">          5013 - PURCHASES @ COST-TRADE BOOKS</v>
      </c>
      <c r="C119" s="11"/>
      <c r="D119" s="2"/>
      <c r="E119" s="2"/>
      <c r="F119" s="21">
        <f t="shared" si="5"/>
        <v>0</v>
      </c>
      <c r="G119" s="2"/>
      <c r="H119" s="2"/>
      <c r="I119" s="2"/>
      <c r="J119" s="21">
        <f t="shared" si="6"/>
        <v>0</v>
      </c>
      <c r="K119" s="2"/>
      <c r="L119" s="2">
        <f t="shared" si="7"/>
        <v>0</v>
      </c>
      <c r="M119" s="2"/>
      <c r="N119" s="21">
        <f t="shared" si="8"/>
        <v>0</v>
      </c>
      <c r="O119" s="11"/>
      <c r="P119" s="2">
        <v>204.9</v>
      </c>
      <c r="Q119" s="2"/>
      <c r="R119" s="21">
        <f t="shared" si="9"/>
        <v>5.2179938001065868E-5</v>
      </c>
      <c r="S119" s="2"/>
      <c r="T119" s="2"/>
      <c r="U119" s="2"/>
      <c r="V119" s="21">
        <f t="shared" si="10"/>
        <v>0</v>
      </c>
      <c r="W119" s="2"/>
      <c r="X119" s="2">
        <f t="shared" si="11"/>
        <v>204.9</v>
      </c>
      <c r="Y119" s="2"/>
      <c r="Z119" s="21">
        <f t="shared" si="12"/>
        <v>0</v>
      </c>
    </row>
    <row r="120" spans="1:26" s="24" customFormat="1" hidden="1" outlineLevel="1" x14ac:dyDescent="0.25">
      <c r="A120" s="46"/>
      <c r="B120" s="11" t="str">
        <f>CONCATENATE("          ", "5014", " - ", "PURCHASES @ COST-REMAINDERS")</f>
        <v xml:space="preserve">          5014 - PURCHASES @ COST-REMAINDERS</v>
      </c>
      <c r="C120" s="11"/>
      <c r="D120" s="2">
        <v>133.84</v>
      </c>
      <c r="E120" s="2"/>
      <c r="F120" s="21">
        <f t="shared" si="5"/>
        <v>4.1765995220770585E-5</v>
      </c>
      <c r="G120" s="2"/>
      <c r="H120" s="2"/>
      <c r="I120" s="2"/>
      <c r="J120" s="21">
        <f t="shared" si="6"/>
        <v>0</v>
      </c>
      <c r="K120" s="2"/>
      <c r="L120" s="2">
        <f t="shared" si="7"/>
        <v>133.84</v>
      </c>
      <c r="M120" s="2"/>
      <c r="N120" s="21">
        <f t="shared" si="8"/>
        <v>0</v>
      </c>
      <c r="O120" s="11"/>
      <c r="P120" s="2">
        <v>234.32</v>
      </c>
      <c r="Q120" s="2"/>
      <c r="R120" s="21">
        <f t="shared" si="9"/>
        <v>5.9672050133771369E-5</v>
      </c>
      <c r="S120" s="2"/>
      <c r="T120" s="2"/>
      <c r="U120" s="2"/>
      <c r="V120" s="21">
        <f t="shared" si="10"/>
        <v>0</v>
      </c>
      <c r="W120" s="2"/>
      <c r="X120" s="2">
        <f t="shared" si="11"/>
        <v>234.32</v>
      </c>
      <c r="Y120" s="2"/>
      <c r="Z120" s="21">
        <f t="shared" si="12"/>
        <v>0</v>
      </c>
    </row>
    <row r="121" spans="1:26" s="24" customFormat="1" hidden="1" outlineLevel="1" x14ac:dyDescent="0.25">
      <c r="A121" s="46"/>
      <c r="B121" s="11" t="str">
        <f>CONCATENATE("          ", "5017", " - ", "PURCHASES @ COST-DORM/HOUSEWAR")</f>
        <v xml:space="preserve">          5017 - PURCHASES @ COST-DORM/HOUSEWAR</v>
      </c>
      <c r="C121" s="11"/>
      <c r="D121" s="2">
        <v>139.86000000000001</v>
      </c>
      <c r="E121" s="2"/>
      <c r="F121" s="21">
        <f t="shared" si="5"/>
        <v>4.3644591240114875E-5</v>
      </c>
      <c r="G121" s="2"/>
      <c r="H121" s="2"/>
      <c r="I121" s="2"/>
      <c r="J121" s="21">
        <f t="shared" si="6"/>
        <v>0</v>
      </c>
      <c r="K121" s="2"/>
      <c r="L121" s="2">
        <f t="shared" si="7"/>
        <v>139.86000000000001</v>
      </c>
      <c r="M121" s="2"/>
      <c r="N121" s="21">
        <f t="shared" si="8"/>
        <v>0</v>
      </c>
      <c r="O121" s="11"/>
      <c r="P121" s="2">
        <v>139.86000000000001</v>
      </c>
      <c r="Q121" s="2"/>
      <c r="R121" s="21">
        <f t="shared" si="9"/>
        <v>3.5616818588721682E-5</v>
      </c>
      <c r="S121" s="2"/>
      <c r="T121" s="2"/>
      <c r="U121" s="2"/>
      <c r="V121" s="21">
        <f t="shared" si="10"/>
        <v>0</v>
      </c>
      <c r="W121" s="2"/>
      <c r="X121" s="2">
        <f t="shared" si="11"/>
        <v>139.86000000000001</v>
      </c>
      <c r="Y121" s="2"/>
      <c r="Z121" s="21">
        <f t="shared" si="12"/>
        <v>0</v>
      </c>
    </row>
    <row r="122" spans="1:26" s="24" customFormat="1" hidden="1" outlineLevel="1" x14ac:dyDescent="0.25">
      <c r="A122" s="46"/>
      <c r="B122" s="11" t="str">
        <f>CONCATENATE("          ", "5018", " - ", "PURCHASES @ COST-STUDY GUIDES")</f>
        <v xml:space="preserve">          5018 - PURCHASES @ COST-STUDY GUIDES</v>
      </c>
      <c r="C122" s="11"/>
      <c r="D122" s="2"/>
      <c r="E122" s="2"/>
      <c r="F122" s="21">
        <f t="shared" si="5"/>
        <v>0</v>
      </c>
      <c r="G122" s="2"/>
      <c r="H122" s="2"/>
      <c r="I122" s="2"/>
      <c r="J122" s="21">
        <f t="shared" si="6"/>
        <v>0</v>
      </c>
      <c r="K122" s="2"/>
      <c r="L122" s="2">
        <f t="shared" si="7"/>
        <v>0</v>
      </c>
      <c r="M122" s="2"/>
      <c r="N122" s="21">
        <f t="shared" si="8"/>
        <v>0</v>
      </c>
      <c r="O122" s="11"/>
      <c r="P122" s="2">
        <v>503.93</v>
      </c>
      <c r="Q122" s="2"/>
      <c r="R122" s="21">
        <f t="shared" si="9"/>
        <v>1.2833106957968335E-4</v>
      </c>
      <c r="S122" s="2"/>
      <c r="T122" s="2"/>
      <c r="U122" s="2"/>
      <c r="V122" s="21">
        <f t="shared" si="10"/>
        <v>0</v>
      </c>
      <c r="W122" s="2"/>
      <c r="X122" s="2">
        <f t="shared" si="11"/>
        <v>503.93</v>
      </c>
      <c r="Y122" s="2"/>
      <c r="Z122" s="21">
        <f t="shared" si="12"/>
        <v>0</v>
      </c>
    </row>
    <row r="123" spans="1:26" s="24" customFormat="1" hidden="1" outlineLevel="1" x14ac:dyDescent="0.25">
      <c r="A123" s="46"/>
      <c r="B123" s="11" t="str">
        <f>CONCATENATE("          ", "5025", " - ", "PURCHASES @ COST-TEST FORMS")</f>
        <v xml:space="preserve">          5025 - PURCHASES @ COST-TEST FORMS</v>
      </c>
      <c r="C123" s="11"/>
      <c r="D123" s="2">
        <v>878.02</v>
      </c>
      <c r="E123" s="2"/>
      <c r="F123" s="21">
        <f t="shared" si="5"/>
        <v>2.7399416559878203E-4</v>
      </c>
      <c r="G123" s="2"/>
      <c r="H123" s="2"/>
      <c r="I123" s="2"/>
      <c r="J123" s="21">
        <f t="shared" si="6"/>
        <v>0</v>
      </c>
      <c r="K123" s="2"/>
      <c r="L123" s="2">
        <f t="shared" si="7"/>
        <v>878.02</v>
      </c>
      <c r="M123" s="2"/>
      <c r="N123" s="21">
        <f t="shared" si="8"/>
        <v>0</v>
      </c>
      <c r="O123" s="11"/>
      <c r="P123" s="2">
        <v>1757.14</v>
      </c>
      <c r="Q123" s="2"/>
      <c r="R123" s="21">
        <f t="shared" si="9"/>
        <v>4.4747416427131709E-4</v>
      </c>
      <c r="S123" s="2"/>
      <c r="T123" s="2"/>
      <c r="U123" s="2"/>
      <c r="V123" s="21">
        <f t="shared" si="10"/>
        <v>0</v>
      </c>
      <c r="W123" s="2"/>
      <c r="X123" s="2">
        <f t="shared" si="11"/>
        <v>1757.14</v>
      </c>
      <c r="Y123" s="2"/>
      <c r="Z123" s="21">
        <f t="shared" si="12"/>
        <v>0</v>
      </c>
    </row>
    <row r="124" spans="1:26" s="24" customFormat="1" hidden="1" outlineLevel="1" x14ac:dyDescent="0.25">
      <c r="A124" s="46"/>
      <c r="B124" s="11" t="str">
        <f>CONCATENATE("          ", "5026", " - ", "PURCHASES @ COST-WRITING INSTR")</f>
        <v xml:space="preserve">          5026 - PURCHASES @ COST-WRITING INSTR</v>
      </c>
      <c r="C124" s="11"/>
      <c r="D124" s="2">
        <v>2205.4899999999998</v>
      </c>
      <c r="E124" s="2"/>
      <c r="F124" s="21">
        <f t="shared" si="5"/>
        <v>6.8824331141256203E-4</v>
      </c>
      <c r="G124" s="2"/>
      <c r="H124" s="2"/>
      <c r="I124" s="2"/>
      <c r="J124" s="21">
        <f t="shared" si="6"/>
        <v>0</v>
      </c>
      <c r="K124" s="2"/>
      <c r="L124" s="2">
        <f t="shared" si="7"/>
        <v>2205.4899999999998</v>
      </c>
      <c r="M124" s="2"/>
      <c r="N124" s="21">
        <f t="shared" si="8"/>
        <v>0</v>
      </c>
      <c r="O124" s="11"/>
      <c r="P124" s="2">
        <v>12536.53</v>
      </c>
      <c r="Q124" s="2"/>
      <c r="R124" s="21">
        <f t="shared" si="9"/>
        <v>3.1925590929648721E-3</v>
      </c>
      <c r="S124" s="2"/>
      <c r="T124" s="2"/>
      <c r="U124" s="2"/>
      <c r="V124" s="21">
        <f t="shared" si="10"/>
        <v>0</v>
      </c>
      <c r="W124" s="2"/>
      <c r="X124" s="2">
        <f t="shared" si="11"/>
        <v>12536.53</v>
      </c>
      <c r="Y124" s="2"/>
      <c r="Z124" s="21">
        <f t="shared" si="12"/>
        <v>0</v>
      </c>
    </row>
    <row r="125" spans="1:26" s="24" customFormat="1" hidden="1" outlineLevel="1" x14ac:dyDescent="0.25">
      <c r="A125" s="46"/>
      <c r="B125" s="11" t="str">
        <f>CONCATENATE("          ", "5027", " - ", "PURCHASES @ COST-SCHOOL SUPPLI")</f>
        <v xml:space="preserve">          5027 - PURCHASES @ COST-SCHOOL SUPPLI</v>
      </c>
      <c r="C125" s="11"/>
      <c r="D125" s="2">
        <v>-588.74</v>
      </c>
      <c r="E125" s="2"/>
      <c r="F125" s="21">
        <f t="shared" si="5"/>
        <v>-1.8372169774564013E-4</v>
      </c>
      <c r="G125" s="2"/>
      <c r="H125" s="2"/>
      <c r="I125" s="2"/>
      <c r="J125" s="21">
        <f t="shared" si="6"/>
        <v>0</v>
      </c>
      <c r="K125" s="2"/>
      <c r="L125" s="2">
        <f t="shared" si="7"/>
        <v>-588.74</v>
      </c>
      <c r="M125" s="2"/>
      <c r="N125" s="21">
        <f t="shared" si="8"/>
        <v>0</v>
      </c>
      <c r="O125" s="11"/>
      <c r="P125" s="2">
        <v>49526.729999999996</v>
      </c>
      <c r="Q125" s="2"/>
      <c r="R125" s="21">
        <f t="shared" si="9"/>
        <v>1.2612502200075785E-2</v>
      </c>
      <c r="S125" s="2"/>
      <c r="T125" s="2"/>
      <c r="U125" s="2"/>
      <c r="V125" s="21">
        <f t="shared" si="10"/>
        <v>0</v>
      </c>
      <c r="W125" s="2"/>
      <c r="X125" s="2">
        <f t="shared" si="11"/>
        <v>49526.729999999996</v>
      </c>
      <c r="Y125" s="2"/>
      <c r="Z125" s="21">
        <f t="shared" si="12"/>
        <v>0</v>
      </c>
    </row>
    <row r="126" spans="1:26" s="24" customFormat="1" hidden="1" outlineLevel="1" x14ac:dyDescent="0.25">
      <c r="A126" s="46"/>
      <c r="B126" s="11" t="str">
        <f>CONCATENATE("          ", "5028", " - ", "PURCHASES @ COST-ART/TECH")</f>
        <v xml:space="preserve">          5028 - PURCHASES @ COST-ART/TECH</v>
      </c>
      <c r="C126" s="11"/>
      <c r="D126" s="2">
        <v>27987.119999999999</v>
      </c>
      <c r="E126" s="2"/>
      <c r="F126" s="21">
        <f t="shared" si="5"/>
        <v>8.7336365822110931E-3</v>
      </c>
      <c r="G126" s="2"/>
      <c r="H126" s="2"/>
      <c r="I126" s="2"/>
      <c r="J126" s="21">
        <f t="shared" si="6"/>
        <v>0</v>
      </c>
      <c r="K126" s="2"/>
      <c r="L126" s="2">
        <f t="shared" si="7"/>
        <v>27987.119999999999</v>
      </c>
      <c r="M126" s="2"/>
      <c r="N126" s="21">
        <f t="shared" si="8"/>
        <v>0</v>
      </c>
      <c r="O126" s="11"/>
      <c r="P126" s="2">
        <v>56014.77</v>
      </c>
      <c r="Q126" s="2"/>
      <c r="R126" s="21">
        <f t="shared" si="9"/>
        <v>1.4264749759609389E-2</v>
      </c>
      <c r="S126" s="2"/>
      <c r="T126" s="2"/>
      <c r="U126" s="2"/>
      <c r="V126" s="21">
        <f t="shared" si="10"/>
        <v>0</v>
      </c>
      <c r="W126" s="2"/>
      <c r="X126" s="2">
        <f t="shared" si="11"/>
        <v>56014.77</v>
      </c>
      <c r="Y126" s="2"/>
      <c r="Z126" s="21">
        <f t="shared" si="12"/>
        <v>0</v>
      </c>
    </row>
    <row r="127" spans="1:26" s="24" customFormat="1" hidden="1" outlineLevel="1" x14ac:dyDescent="0.25">
      <c r="A127" s="46"/>
      <c r="B127" s="11" t="str">
        <f>CONCATENATE("          ", "5031", " - ", "PURCHASES @ COST-FOOD")</f>
        <v xml:space="preserve">          5031 - PURCHASES @ COST-FOOD</v>
      </c>
      <c r="C127" s="11"/>
      <c r="D127" s="2">
        <v>2679.04</v>
      </c>
      <c r="E127" s="2"/>
      <c r="F127" s="21">
        <f t="shared" si="5"/>
        <v>8.360189168877258E-4</v>
      </c>
      <c r="G127" s="2"/>
      <c r="H127" s="2"/>
      <c r="I127" s="2"/>
      <c r="J127" s="21">
        <f t="shared" si="6"/>
        <v>0</v>
      </c>
      <c r="K127" s="2"/>
      <c r="L127" s="2">
        <f t="shared" si="7"/>
        <v>2679.04</v>
      </c>
      <c r="M127" s="2"/>
      <c r="N127" s="21">
        <f t="shared" si="8"/>
        <v>0</v>
      </c>
      <c r="O127" s="11"/>
      <c r="P127" s="2">
        <v>2679.04</v>
      </c>
      <c r="Q127" s="2"/>
      <c r="R127" s="21">
        <f t="shared" si="9"/>
        <v>6.8224568619997797E-4</v>
      </c>
      <c r="S127" s="2"/>
      <c r="T127" s="2"/>
      <c r="U127" s="2"/>
      <c r="V127" s="21">
        <f t="shared" si="10"/>
        <v>0</v>
      </c>
      <c r="W127" s="2"/>
      <c r="X127" s="2">
        <f t="shared" si="11"/>
        <v>2679.04</v>
      </c>
      <c r="Y127" s="2"/>
      <c r="Z127" s="21">
        <f t="shared" si="12"/>
        <v>0</v>
      </c>
    </row>
    <row r="128" spans="1:26" s="24" customFormat="1" hidden="1" outlineLevel="1" x14ac:dyDescent="0.25">
      <c r="A128" s="46"/>
      <c r="B128" s="11" t="str">
        <f>CONCATENATE("          ", "5032", " - ", "PURCHASES @ COST-JUICE")</f>
        <v xml:space="preserve">          5032 - PURCHASES @ COST-JUICE</v>
      </c>
      <c r="C128" s="11"/>
      <c r="D128" s="2">
        <v>227.18</v>
      </c>
      <c r="E128" s="2"/>
      <c r="F128" s="21">
        <f t="shared" si="5"/>
        <v>7.0893595294789768E-5</v>
      </c>
      <c r="G128" s="2"/>
      <c r="H128" s="2"/>
      <c r="I128" s="2"/>
      <c r="J128" s="21">
        <f t="shared" si="6"/>
        <v>0</v>
      </c>
      <c r="K128" s="2"/>
      <c r="L128" s="2">
        <f t="shared" si="7"/>
        <v>227.18</v>
      </c>
      <c r="M128" s="2"/>
      <c r="N128" s="21">
        <f t="shared" si="8"/>
        <v>0</v>
      </c>
      <c r="O128" s="11"/>
      <c r="P128" s="2">
        <v>341.6</v>
      </c>
      <c r="Q128" s="2"/>
      <c r="R128" s="21">
        <f t="shared" si="9"/>
        <v>8.699202938586677E-5</v>
      </c>
      <c r="S128" s="2"/>
      <c r="T128" s="2"/>
      <c r="U128" s="2"/>
      <c r="V128" s="21">
        <f t="shared" si="10"/>
        <v>0</v>
      </c>
      <c r="W128" s="2"/>
      <c r="X128" s="2">
        <f t="shared" si="11"/>
        <v>341.6</v>
      </c>
      <c r="Y128" s="2"/>
      <c r="Z128" s="21">
        <f t="shared" si="12"/>
        <v>0</v>
      </c>
    </row>
    <row r="129" spans="1:26" s="24" customFormat="1" hidden="1" outlineLevel="1" x14ac:dyDescent="0.25">
      <c r="A129" s="46"/>
      <c r="B129" s="11" t="str">
        <f>CONCATENATE("          ", "5033", " - ", "PURCHASES @ COST-CANDY")</f>
        <v xml:space="preserve">          5033 - PURCHASES @ COST-CANDY</v>
      </c>
      <c r="C129" s="11"/>
      <c r="D129" s="2">
        <v>986.46</v>
      </c>
      <c r="E129" s="2"/>
      <c r="F129" s="21">
        <f t="shared" si="5"/>
        <v>3.0783385867813324E-4</v>
      </c>
      <c r="G129" s="2"/>
      <c r="H129" s="2"/>
      <c r="I129" s="2"/>
      <c r="J129" s="21">
        <f t="shared" si="6"/>
        <v>0</v>
      </c>
      <c r="K129" s="2"/>
      <c r="L129" s="2">
        <f t="shared" si="7"/>
        <v>986.46</v>
      </c>
      <c r="M129" s="2"/>
      <c r="N129" s="21">
        <f t="shared" si="8"/>
        <v>0</v>
      </c>
      <c r="O129" s="11"/>
      <c r="P129" s="2">
        <v>986.46</v>
      </c>
      <c r="Q129" s="2"/>
      <c r="R129" s="21">
        <f t="shared" si="9"/>
        <v>2.5121240429737158E-4</v>
      </c>
      <c r="S129" s="2"/>
      <c r="T129" s="2"/>
      <c r="U129" s="2"/>
      <c r="V129" s="21">
        <f t="shared" si="10"/>
        <v>0</v>
      </c>
      <c r="W129" s="2"/>
      <c r="X129" s="2">
        <f t="shared" si="11"/>
        <v>986.46</v>
      </c>
      <c r="Y129" s="2"/>
      <c r="Z129" s="21">
        <f t="shared" si="12"/>
        <v>0</v>
      </c>
    </row>
    <row r="130" spans="1:26" s="24" customFormat="1" hidden="1" outlineLevel="1" x14ac:dyDescent="0.25">
      <c r="A130" s="46"/>
      <c r="B130" s="11" t="str">
        <f>CONCATENATE("          ", "5034", " - ", "PURCHASES @ COST-SODA")</f>
        <v xml:space="preserve">          5034 - PURCHASES @ COST-SODA</v>
      </c>
      <c r="C130" s="11"/>
      <c r="D130" s="2">
        <v>350.04</v>
      </c>
      <c r="E130" s="2"/>
      <c r="F130" s="21">
        <f t="shared" si="5"/>
        <v>1.092331811646633E-4</v>
      </c>
      <c r="G130" s="2"/>
      <c r="H130" s="2"/>
      <c r="I130" s="2"/>
      <c r="J130" s="21">
        <f t="shared" si="6"/>
        <v>0</v>
      </c>
      <c r="K130" s="2"/>
      <c r="L130" s="2">
        <f t="shared" si="7"/>
        <v>350.04</v>
      </c>
      <c r="M130" s="2"/>
      <c r="N130" s="21">
        <f t="shared" si="8"/>
        <v>0</v>
      </c>
      <c r="O130" s="11"/>
      <c r="P130" s="2">
        <v>288.5</v>
      </c>
      <c r="Q130" s="2"/>
      <c r="R130" s="21">
        <f t="shared" si="9"/>
        <v>7.3469556433906788E-5</v>
      </c>
      <c r="S130" s="2"/>
      <c r="T130" s="2"/>
      <c r="U130" s="2"/>
      <c r="V130" s="21">
        <f t="shared" si="10"/>
        <v>0</v>
      </c>
      <c r="W130" s="2"/>
      <c r="X130" s="2">
        <f t="shared" si="11"/>
        <v>288.5</v>
      </c>
      <c r="Y130" s="2"/>
      <c r="Z130" s="21">
        <f t="shared" si="12"/>
        <v>0</v>
      </c>
    </row>
    <row r="131" spans="1:26" s="24" customFormat="1" hidden="1" outlineLevel="1" x14ac:dyDescent="0.25">
      <c r="A131" s="46"/>
      <c r="B131" s="11" t="str">
        <f>CONCATENATE("          ", "5035", " - ", "PURCHASES @ COST-HEALTH &amp; BEAU")</f>
        <v xml:space="preserve">          5035 - PURCHASES @ COST-HEALTH &amp; BEAU</v>
      </c>
      <c r="C131" s="11"/>
      <c r="D131" s="2">
        <v>76.73</v>
      </c>
      <c r="E131" s="2"/>
      <c r="F131" s="21">
        <f t="shared" si="5"/>
        <v>2.3944297768153969E-5</v>
      </c>
      <c r="G131" s="2"/>
      <c r="H131" s="2"/>
      <c r="I131" s="2"/>
      <c r="J131" s="21">
        <f t="shared" si="6"/>
        <v>0</v>
      </c>
      <c r="K131" s="2"/>
      <c r="L131" s="2">
        <f t="shared" si="7"/>
        <v>76.73</v>
      </c>
      <c r="M131" s="2"/>
      <c r="N131" s="21">
        <f t="shared" si="8"/>
        <v>0</v>
      </c>
      <c r="O131" s="11"/>
      <c r="P131" s="2">
        <v>76.73</v>
      </c>
      <c r="Q131" s="2"/>
      <c r="R131" s="21">
        <f t="shared" si="9"/>
        <v>1.9540100745835938E-5</v>
      </c>
      <c r="S131" s="2"/>
      <c r="T131" s="2"/>
      <c r="U131" s="2"/>
      <c r="V131" s="21">
        <f t="shared" si="10"/>
        <v>0</v>
      </c>
      <c r="W131" s="2"/>
      <c r="X131" s="2">
        <f t="shared" si="11"/>
        <v>76.73</v>
      </c>
      <c r="Y131" s="2"/>
      <c r="Z131" s="21">
        <f t="shared" si="12"/>
        <v>0</v>
      </c>
    </row>
    <row r="132" spans="1:26" s="24" customFormat="1" hidden="1" outlineLevel="1" x14ac:dyDescent="0.25">
      <c r="A132" s="46"/>
      <c r="B132" s="11" t="str">
        <f>CONCATENATE("          ", "5037", " - ", "PURCHASES @ COST-WATER")</f>
        <v xml:space="preserve">          5037 - PURCHASES @ COST-WATER</v>
      </c>
      <c r="C132" s="11"/>
      <c r="D132" s="2">
        <v>462.36</v>
      </c>
      <c r="E132" s="2"/>
      <c r="F132" s="21">
        <f t="shared" si="5"/>
        <v>1.442836637049872E-4</v>
      </c>
      <c r="G132" s="2"/>
      <c r="H132" s="2"/>
      <c r="I132" s="2"/>
      <c r="J132" s="21">
        <f t="shared" si="6"/>
        <v>0</v>
      </c>
      <c r="K132" s="2"/>
      <c r="L132" s="2">
        <f t="shared" si="7"/>
        <v>462.36</v>
      </c>
      <c r="M132" s="2"/>
      <c r="N132" s="21">
        <f t="shared" si="8"/>
        <v>0</v>
      </c>
      <c r="O132" s="11"/>
      <c r="P132" s="2">
        <v>495.94</v>
      </c>
      <c r="Q132" s="2"/>
      <c r="R132" s="21">
        <f t="shared" si="9"/>
        <v>1.2629633212420013E-4</v>
      </c>
      <c r="S132" s="2"/>
      <c r="T132" s="2"/>
      <c r="U132" s="2"/>
      <c r="V132" s="21">
        <f t="shared" si="10"/>
        <v>0</v>
      </c>
      <c r="W132" s="2"/>
      <c r="X132" s="2">
        <f t="shared" si="11"/>
        <v>495.94</v>
      </c>
      <c r="Y132" s="2"/>
      <c r="Z132" s="21">
        <f t="shared" si="12"/>
        <v>0</v>
      </c>
    </row>
    <row r="133" spans="1:26" s="24" customFormat="1" hidden="1" outlineLevel="1" x14ac:dyDescent="0.25">
      <c r="A133" s="46"/>
      <c r="B133" s="11" t="str">
        <f>CONCATENATE("          ", "5040", " - ", "PURCHASES @ COST-LOGO CLOTHING")</f>
        <v xml:space="preserve">          5040 - PURCHASES @ COST-LOGO CLOTHING</v>
      </c>
      <c r="C133" s="11"/>
      <c r="D133" s="2">
        <v>106647.4</v>
      </c>
      <c r="E133" s="2"/>
      <c r="F133" s="21">
        <f t="shared" si="5"/>
        <v>3.3280295866016205E-2</v>
      </c>
      <c r="G133" s="2"/>
      <c r="H133" s="2"/>
      <c r="I133" s="2"/>
      <c r="J133" s="21">
        <f t="shared" si="6"/>
        <v>0</v>
      </c>
      <c r="K133" s="2"/>
      <c r="L133" s="2">
        <f t="shared" si="7"/>
        <v>106647.4</v>
      </c>
      <c r="M133" s="2"/>
      <c r="N133" s="21">
        <f t="shared" si="8"/>
        <v>0</v>
      </c>
      <c r="O133" s="11"/>
      <c r="P133" s="2">
        <v>185568.97</v>
      </c>
      <c r="Q133" s="2"/>
      <c r="R133" s="21">
        <f t="shared" si="9"/>
        <v>4.7257088089417525E-2</v>
      </c>
      <c r="S133" s="2"/>
      <c r="T133" s="2"/>
      <c r="U133" s="2"/>
      <c r="V133" s="21">
        <f t="shared" si="10"/>
        <v>0</v>
      </c>
      <c r="W133" s="2"/>
      <c r="X133" s="2">
        <f t="shared" si="11"/>
        <v>185568.97</v>
      </c>
      <c r="Y133" s="2"/>
      <c r="Z133" s="21">
        <f t="shared" si="12"/>
        <v>0</v>
      </c>
    </row>
    <row r="134" spans="1:26" s="24" customFormat="1" hidden="1" outlineLevel="1" x14ac:dyDescent="0.25">
      <c r="A134" s="46"/>
      <c r="B134" s="11" t="str">
        <f>CONCATENATE("          ", "5041", " - ", "PURCHASES @ COST-LOGO GIFTS")</f>
        <v xml:space="preserve">          5041 - PURCHASES @ COST-LOGO GIFTS</v>
      </c>
      <c r="C134" s="11"/>
      <c r="D134" s="2">
        <v>16578.89</v>
      </c>
      <c r="E134" s="2"/>
      <c r="F134" s="21">
        <f t="shared" si="5"/>
        <v>5.1735941460376656E-3</v>
      </c>
      <c r="G134" s="2"/>
      <c r="H134" s="2"/>
      <c r="I134" s="2"/>
      <c r="J134" s="21">
        <f t="shared" si="6"/>
        <v>0</v>
      </c>
      <c r="K134" s="2"/>
      <c r="L134" s="2">
        <f t="shared" si="7"/>
        <v>16578.89</v>
      </c>
      <c r="M134" s="2"/>
      <c r="N134" s="21">
        <f t="shared" si="8"/>
        <v>0</v>
      </c>
      <c r="O134" s="11"/>
      <c r="P134" s="2">
        <v>28529.16</v>
      </c>
      <c r="Q134" s="2"/>
      <c r="R134" s="21">
        <f t="shared" si="9"/>
        <v>7.2652503661419631E-3</v>
      </c>
      <c r="S134" s="2"/>
      <c r="T134" s="2"/>
      <c r="U134" s="2"/>
      <c r="V134" s="21">
        <f t="shared" si="10"/>
        <v>0</v>
      </c>
      <c r="W134" s="2"/>
      <c r="X134" s="2">
        <f t="shared" si="11"/>
        <v>28529.16</v>
      </c>
      <c r="Y134" s="2"/>
      <c r="Z134" s="21">
        <f t="shared" si="12"/>
        <v>0</v>
      </c>
    </row>
    <row r="135" spans="1:26" s="24" customFormat="1" hidden="1" outlineLevel="1" x14ac:dyDescent="0.25">
      <c r="A135" s="46"/>
      <c r="B135" s="11" t="str">
        <f>CONCATENATE("          ", "5042", " - ", "PURCHASES @ COST-EVERYDAY GIFT")</f>
        <v xml:space="preserve">          5042 - PURCHASES @ COST-EVERYDAY GIFT</v>
      </c>
      <c r="C135" s="11"/>
      <c r="D135" s="2">
        <v>15979.86</v>
      </c>
      <c r="E135" s="2"/>
      <c r="F135" s="21">
        <f t="shared" si="5"/>
        <v>4.9866613597473334E-3</v>
      </c>
      <c r="G135" s="2"/>
      <c r="H135" s="2"/>
      <c r="I135" s="2"/>
      <c r="J135" s="21">
        <f t="shared" si="6"/>
        <v>0</v>
      </c>
      <c r="K135" s="2"/>
      <c r="L135" s="2">
        <f t="shared" si="7"/>
        <v>15979.86</v>
      </c>
      <c r="M135" s="2"/>
      <c r="N135" s="21">
        <f t="shared" si="8"/>
        <v>0</v>
      </c>
      <c r="O135" s="11"/>
      <c r="P135" s="2">
        <v>23732.22</v>
      </c>
      <c r="Q135" s="2"/>
      <c r="R135" s="21">
        <f t="shared" si="9"/>
        <v>6.0436591909597626E-3</v>
      </c>
      <c r="S135" s="2"/>
      <c r="T135" s="2"/>
      <c r="U135" s="2"/>
      <c r="V135" s="21">
        <f t="shared" si="10"/>
        <v>0</v>
      </c>
      <c r="W135" s="2"/>
      <c r="X135" s="2">
        <f t="shared" si="11"/>
        <v>23732.22</v>
      </c>
      <c r="Y135" s="2"/>
      <c r="Z135" s="21">
        <f t="shared" si="12"/>
        <v>0</v>
      </c>
    </row>
    <row r="136" spans="1:26" s="24" customFormat="1" hidden="1" outlineLevel="1" x14ac:dyDescent="0.25">
      <c r="A136" s="46"/>
      <c r="B136" s="11" t="str">
        <f>CONCATENATE("          ", "5043", " - ", "PURCHASES @ COST-CARDS")</f>
        <v xml:space="preserve">          5043 - PURCHASES @ COST-CARDS</v>
      </c>
      <c r="C136" s="11"/>
      <c r="D136" s="2">
        <v>15.24</v>
      </c>
      <c r="E136" s="2"/>
      <c r="F136" s="21">
        <f t="shared" si="5"/>
        <v>4.7557812848516414E-6</v>
      </c>
      <c r="G136" s="2"/>
      <c r="H136" s="2"/>
      <c r="I136" s="2"/>
      <c r="J136" s="21">
        <f t="shared" si="6"/>
        <v>0</v>
      </c>
      <c r="K136" s="2"/>
      <c r="L136" s="2">
        <f t="shared" si="7"/>
        <v>15.24</v>
      </c>
      <c r="M136" s="2"/>
      <c r="N136" s="21">
        <f t="shared" si="8"/>
        <v>0</v>
      </c>
      <c r="O136" s="11"/>
      <c r="P136" s="2">
        <v>513.5</v>
      </c>
      <c r="Q136" s="2"/>
      <c r="R136" s="21">
        <f t="shared" si="9"/>
        <v>1.3076817063712701E-4</v>
      </c>
      <c r="S136" s="2"/>
      <c r="T136" s="2"/>
      <c r="U136" s="2"/>
      <c r="V136" s="21">
        <f t="shared" si="10"/>
        <v>0</v>
      </c>
      <c r="W136" s="2"/>
      <c r="X136" s="2">
        <f t="shared" si="11"/>
        <v>513.5</v>
      </c>
      <c r="Y136" s="2"/>
      <c r="Z136" s="21">
        <f t="shared" si="12"/>
        <v>0</v>
      </c>
    </row>
    <row r="137" spans="1:26" s="24" customFormat="1" hidden="1" outlineLevel="1" x14ac:dyDescent="0.25">
      <c r="A137" s="46"/>
      <c r="B137" s="11" t="str">
        <f>CONCATENATE("          ", "5044", " - ", "PURCHASES @ COST-ACCESSORIES")</f>
        <v xml:space="preserve">          5044 - PURCHASES @ COST-ACCESSORIES</v>
      </c>
      <c r="C137" s="11"/>
      <c r="D137" s="2">
        <v>13249.12</v>
      </c>
      <c r="E137" s="2"/>
      <c r="F137" s="21">
        <f t="shared" si="5"/>
        <v>4.1345089853512852E-3</v>
      </c>
      <c r="G137" s="2"/>
      <c r="H137" s="2"/>
      <c r="I137" s="2"/>
      <c r="J137" s="21">
        <f t="shared" si="6"/>
        <v>0</v>
      </c>
      <c r="K137" s="2"/>
      <c r="L137" s="2">
        <f t="shared" si="7"/>
        <v>13249.12</v>
      </c>
      <c r="M137" s="2"/>
      <c r="N137" s="21">
        <f t="shared" si="8"/>
        <v>0</v>
      </c>
      <c r="O137" s="11"/>
      <c r="P137" s="2">
        <v>18088.12</v>
      </c>
      <c r="Q137" s="2"/>
      <c r="R137" s="21">
        <f t="shared" si="9"/>
        <v>4.6063298201846729E-3</v>
      </c>
      <c r="S137" s="2"/>
      <c r="T137" s="2"/>
      <c r="U137" s="2"/>
      <c r="V137" s="21">
        <f t="shared" si="10"/>
        <v>0</v>
      </c>
      <c r="W137" s="2"/>
      <c r="X137" s="2">
        <f t="shared" si="11"/>
        <v>18088.12</v>
      </c>
      <c r="Y137" s="2"/>
      <c r="Z137" s="21">
        <f t="shared" si="12"/>
        <v>0</v>
      </c>
    </row>
    <row r="138" spans="1:26" s="24" customFormat="1" hidden="1" outlineLevel="1" x14ac:dyDescent="0.25">
      <c r="A138" s="46"/>
      <c r="B138" s="11" t="str">
        <f>CONCATENATE("          ", "5045", " - ", "PURCHASES @ COST-SPECIAL ORDER")</f>
        <v xml:space="preserve">          5045 - PURCHASES @ COST-SPECIAL ORDER</v>
      </c>
      <c r="C138" s="11"/>
      <c r="D138" s="2">
        <v>4152.78</v>
      </c>
      <c r="E138" s="2"/>
      <c r="F138" s="21">
        <f t="shared" si="5"/>
        <v>1.2959129530253411E-3</v>
      </c>
      <c r="G138" s="2"/>
      <c r="H138" s="2"/>
      <c r="I138" s="2"/>
      <c r="J138" s="21">
        <f t="shared" si="6"/>
        <v>0</v>
      </c>
      <c r="K138" s="2"/>
      <c r="L138" s="2">
        <f t="shared" si="7"/>
        <v>4152.78</v>
      </c>
      <c r="M138" s="2"/>
      <c r="N138" s="21">
        <f t="shared" si="8"/>
        <v>0</v>
      </c>
      <c r="O138" s="11"/>
      <c r="P138" s="2">
        <v>20145.63</v>
      </c>
      <c r="Q138" s="2"/>
      <c r="R138" s="21">
        <f t="shared" si="9"/>
        <v>5.1302963611147513E-3</v>
      </c>
      <c r="S138" s="2"/>
      <c r="T138" s="2"/>
      <c r="U138" s="2"/>
      <c r="V138" s="21">
        <f t="shared" si="10"/>
        <v>0</v>
      </c>
      <c r="W138" s="2"/>
      <c r="X138" s="2">
        <f t="shared" si="11"/>
        <v>20145.63</v>
      </c>
      <c r="Y138" s="2"/>
      <c r="Z138" s="21">
        <f t="shared" si="12"/>
        <v>0</v>
      </c>
    </row>
    <row r="139" spans="1:26" s="24" customFormat="1" hidden="1" outlineLevel="1" x14ac:dyDescent="0.25">
      <c r="A139" s="46"/>
      <c r="B139" s="11" t="str">
        <f>CONCATENATE("          ", "5081", " - ", "PURCHASES @ COST-ELECTRONICS")</f>
        <v xml:space="preserve">          5081 - PURCHASES @ COST-ELECTRONICS</v>
      </c>
      <c r="C139" s="11"/>
      <c r="D139" s="2">
        <v>17704.489999999998</v>
      </c>
      <c r="E139" s="2"/>
      <c r="F139" s="21">
        <f t="shared" si="5"/>
        <v>5.5248479133755265E-3</v>
      </c>
      <c r="G139" s="2"/>
      <c r="H139" s="2"/>
      <c r="I139" s="2"/>
      <c r="J139" s="21">
        <f t="shared" si="6"/>
        <v>0</v>
      </c>
      <c r="K139" s="2"/>
      <c r="L139" s="2">
        <f t="shared" si="7"/>
        <v>17704.489999999998</v>
      </c>
      <c r="M139" s="2"/>
      <c r="N139" s="21">
        <f t="shared" si="8"/>
        <v>0</v>
      </c>
      <c r="O139" s="11"/>
      <c r="P139" s="2">
        <v>83762.840000000011</v>
      </c>
      <c r="Q139" s="2"/>
      <c r="R139" s="21">
        <f t="shared" si="9"/>
        <v>2.1331087349893609E-2</v>
      </c>
      <c r="S139" s="2"/>
      <c r="T139" s="2"/>
      <c r="U139" s="2"/>
      <c r="V139" s="21">
        <f t="shared" si="10"/>
        <v>0</v>
      </c>
      <c r="W139" s="2"/>
      <c r="X139" s="2">
        <f t="shared" si="11"/>
        <v>83762.840000000011</v>
      </c>
      <c r="Y139" s="2"/>
      <c r="Z139" s="21">
        <f t="shared" si="12"/>
        <v>0</v>
      </c>
    </row>
    <row r="140" spans="1:26" s="24" customFormat="1" hidden="1" outlineLevel="1" x14ac:dyDescent="0.25">
      <c r="A140" s="46"/>
      <c r="B140" s="11" t="str">
        <f>CONCATENATE("          ", "5082", " - ", "PURCHASES @ COST-COMPUTER HARD")</f>
        <v xml:space="preserve">          5082 - PURCHASES @ COST-COMPUTER HARD</v>
      </c>
      <c r="C140" s="11"/>
      <c r="D140" s="2">
        <v>317193.52999999997</v>
      </c>
      <c r="E140" s="2"/>
      <c r="F140" s="21">
        <f t="shared" si="5"/>
        <v>9.8983140003282649E-2</v>
      </c>
      <c r="G140" s="2"/>
      <c r="H140" s="2"/>
      <c r="I140" s="2"/>
      <c r="J140" s="21">
        <f t="shared" si="6"/>
        <v>0</v>
      </c>
      <c r="K140" s="2"/>
      <c r="L140" s="2">
        <f t="shared" si="7"/>
        <v>317193.52999999997</v>
      </c>
      <c r="M140" s="2"/>
      <c r="N140" s="21">
        <f t="shared" si="8"/>
        <v>0</v>
      </c>
      <c r="O140" s="11"/>
      <c r="P140" s="2">
        <v>673753.5</v>
      </c>
      <c r="Q140" s="2"/>
      <c r="R140" s="21">
        <f t="shared" si="9"/>
        <v>0.17157840828697477</v>
      </c>
      <c r="S140" s="2"/>
      <c r="T140" s="2"/>
      <c r="U140" s="2"/>
      <c r="V140" s="21">
        <f t="shared" si="10"/>
        <v>0</v>
      </c>
      <c r="W140" s="2"/>
      <c r="X140" s="2">
        <f t="shared" si="11"/>
        <v>673753.5</v>
      </c>
      <c r="Y140" s="2"/>
      <c r="Z140" s="21">
        <f t="shared" si="12"/>
        <v>0</v>
      </c>
    </row>
    <row r="141" spans="1:26" s="24" customFormat="1" hidden="1" outlineLevel="1" x14ac:dyDescent="0.25">
      <c r="A141" s="46"/>
      <c r="B141" s="11" t="str">
        <f>CONCATENATE("          ", "5083", " - ", "PURCHASES @ COST-COMPUTER EQUI")</f>
        <v xml:space="preserve">          5083 - PURCHASES @ COST-COMPUTER EQUI</v>
      </c>
      <c r="C141" s="11"/>
      <c r="D141" s="2">
        <v>9997.75</v>
      </c>
      <c r="E141" s="2"/>
      <c r="F141" s="21">
        <f t="shared" si="5"/>
        <v>3.1198892611958989E-3</v>
      </c>
      <c r="G141" s="2"/>
      <c r="H141" s="2"/>
      <c r="I141" s="2"/>
      <c r="J141" s="21">
        <f t="shared" si="6"/>
        <v>0</v>
      </c>
      <c r="K141" s="2"/>
      <c r="L141" s="2">
        <f t="shared" si="7"/>
        <v>9997.75</v>
      </c>
      <c r="M141" s="2"/>
      <c r="N141" s="21">
        <f t="shared" si="8"/>
        <v>0</v>
      </c>
      <c r="O141" s="11"/>
      <c r="P141" s="2">
        <v>17273.89</v>
      </c>
      <c r="Q141" s="2"/>
      <c r="R141" s="21">
        <f t="shared" si="9"/>
        <v>4.3989775951060591E-3</v>
      </c>
      <c r="S141" s="2"/>
      <c r="T141" s="2"/>
      <c r="U141" s="2"/>
      <c r="V141" s="21">
        <f t="shared" si="10"/>
        <v>0</v>
      </c>
      <c r="W141" s="2"/>
      <c r="X141" s="2">
        <f t="shared" si="11"/>
        <v>17273.89</v>
      </c>
      <c r="Y141" s="2"/>
      <c r="Z141" s="21">
        <f t="shared" si="12"/>
        <v>0</v>
      </c>
    </row>
    <row r="142" spans="1:26" s="24" customFormat="1" hidden="1" outlineLevel="1" x14ac:dyDescent="0.25">
      <c r="A142" s="46"/>
      <c r="B142" s="11" t="str">
        <f>CONCATENATE("          ", "5084", " - ", "PURCHASES @ COST-SOFTWARE LICE")</f>
        <v xml:space="preserve">          5084 - PURCHASES @ COST-SOFTWARE LICE</v>
      </c>
      <c r="C142" s="11"/>
      <c r="D142" s="2">
        <v>1522</v>
      </c>
      <c r="E142" s="2"/>
      <c r="F142" s="21">
        <f t="shared" si="5"/>
        <v>4.7495401020631223E-4</v>
      </c>
      <c r="G142" s="2"/>
      <c r="H142" s="2"/>
      <c r="I142" s="2"/>
      <c r="J142" s="21">
        <f t="shared" si="6"/>
        <v>0</v>
      </c>
      <c r="K142" s="2"/>
      <c r="L142" s="2">
        <f t="shared" si="7"/>
        <v>1522</v>
      </c>
      <c r="M142" s="2"/>
      <c r="N142" s="21">
        <f t="shared" si="8"/>
        <v>0</v>
      </c>
      <c r="O142" s="11"/>
      <c r="P142" s="2">
        <v>1522</v>
      </c>
      <c r="Q142" s="2"/>
      <c r="R142" s="21">
        <f t="shared" si="9"/>
        <v>3.8759329252133841E-4</v>
      </c>
      <c r="S142" s="2"/>
      <c r="T142" s="2"/>
      <c r="U142" s="2"/>
      <c r="V142" s="21">
        <f t="shared" si="10"/>
        <v>0</v>
      </c>
      <c r="W142" s="2"/>
      <c r="X142" s="2">
        <f t="shared" si="11"/>
        <v>1522</v>
      </c>
      <c r="Y142" s="2"/>
      <c r="Z142" s="21">
        <f t="shared" si="12"/>
        <v>0</v>
      </c>
    </row>
    <row r="143" spans="1:26" s="24" customFormat="1" hidden="1" outlineLevel="1" x14ac:dyDescent="0.25">
      <c r="A143" s="46"/>
      <c r="B143" s="11" t="str">
        <f>CONCATENATE("          ", "5085", " - ", "PURCHASES @ COST-SOFTWARE")</f>
        <v xml:space="preserve">          5085 - PURCHASES @ COST-SOFTWARE</v>
      </c>
      <c r="C143" s="11"/>
      <c r="D143" s="2">
        <v>3368</v>
      </c>
      <c r="E143" s="2"/>
      <c r="F143" s="21">
        <f t="shared" si="5"/>
        <v>1.0510151815866357E-3</v>
      </c>
      <c r="G143" s="2"/>
      <c r="H143" s="2"/>
      <c r="I143" s="2"/>
      <c r="J143" s="21">
        <f t="shared" si="6"/>
        <v>0</v>
      </c>
      <c r="K143" s="2"/>
      <c r="L143" s="2">
        <f t="shared" si="7"/>
        <v>3368</v>
      </c>
      <c r="M143" s="2"/>
      <c r="N143" s="21">
        <f t="shared" si="8"/>
        <v>0</v>
      </c>
      <c r="O143" s="11"/>
      <c r="P143" s="2">
        <v>3368</v>
      </c>
      <c r="Q143" s="2"/>
      <c r="R143" s="21">
        <f t="shared" si="9"/>
        <v>8.5769658949531391E-4</v>
      </c>
      <c r="S143" s="2"/>
      <c r="T143" s="2"/>
      <c r="U143" s="2"/>
      <c r="V143" s="21">
        <f t="shared" si="10"/>
        <v>0</v>
      </c>
      <c r="W143" s="2"/>
      <c r="X143" s="2">
        <f t="shared" si="11"/>
        <v>3368</v>
      </c>
      <c r="Y143" s="2"/>
      <c r="Z143" s="21">
        <f t="shared" si="12"/>
        <v>0</v>
      </c>
    </row>
    <row r="144" spans="1:26" s="24" customFormat="1" hidden="1" outlineLevel="1" x14ac:dyDescent="0.25">
      <c r="A144" s="46"/>
      <c r="B144" s="11" t="str">
        <f>CONCATENATE("          ", "5086", " - ", "PURCHASES @ COST-COMPUTER SUPP")</f>
        <v xml:space="preserve">          5086 - PURCHASES @ COST-COMPUTER SUPP</v>
      </c>
      <c r="C144" s="11"/>
      <c r="D144" s="2">
        <v>2837.81</v>
      </c>
      <c r="E144" s="2"/>
      <c r="F144" s="21">
        <f t="shared" si="5"/>
        <v>8.8556454645438557E-4</v>
      </c>
      <c r="G144" s="2"/>
      <c r="H144" s="2"/>
      <c r="I144" s="2"/>
      <c r="J144" s="21">
        <f t="shared" si="6"/>
        <v>0</v>
      </c>
      <c r="K144" s="2"/>
      <c r="L144" s="2">
        <f t="shared" si="7"/>
        <v>2837.81</v>
      </c>
      <c r="M144" s="2"/>
      <c r="N144" s="21">
        <f t="shared" si="8"/>
        <v>0</v>
      </c>
      <c r="O144" s="11"/>
      <c r="P144" s="2">
        <v>6264.88</v>
      </c>
      <c r="Q144" s="2"/>
      <c r="R144" s="21">
        <f t="shared" si="9"/>
        <v>1.595417520664312E-3</v>
      </c>
      <c r="S144" s="2"/>
      <c r="T144" s="2"/>
      <c r="U144" s="2"/>
      <c r="V144" s="21">
        <f t="shared" si="10"/>
        <v>0</v>
      </c>
      <c r="W144" s="2"/>
      <c r="X144" s="2">
        <f t="shared" si="11"/>
        <v>6264.88</v>
      </c>
      <c r="Y144" s="2"/>
      <c r="Z144" s="21">
        <f t="shared" si="12"/>
        <v>0</v>
      </c>
    </row>
    <row r="145" spans="1:26" s="24" customFormat="1" hidden="1" outlineLevel="1" x14ac:dyDescent="0.25">
      <c r="A145" s="46"/>
      <c r="B145" s="11" t="str">
        <f>CONCATENATE("          ", "5088", " - ", "PURCHASES @ COST-MUSIC")</f>
        <v xml:space="preserve">          5088 - PURCHASES @ COST-MUSIC</v>
      </c>
      <c r="C145" s="11"/>
      <c r="D145" s="2"/>
      <c r="E145" s="2"/>
      <c r="F145" s="21">
        <f t="shared" si="5"/>
        <v>0</v>
      </c>
      <c r="G145" s="2"/>
      <c r="H145" s="2"/>
      <c r="I145" s="2"/>
      <c r="J145" s="21">
        <f t="shared" si="6"/>
        <v>0</v>
      </c>
      <c r="K145" s="2"/>
      <c r="L145" s="2">
        <f t="shared" si="7"/>
        <v>0</v>
      </c>
      <c r="M145" s="2"/>
      <c r="N145" s="21">
        <f t="shared" si="8"/>
        <v>0</v>
      </c>
      <c r="O145" s="11"/>
      <c r="P145" s="2">
        <v>82</v>
      </c>
      <c r="Q145" s="2"/>
      <c r="R145" s="21">
        <f t="shared" si="9"/>
        <v>2.088216162072914E-5</v>
      </c>
      <c r="S145" s="2"/>
      <c r="T145" s="2"/>
      <c r="U145" s="2"/>
      <c r="V145" s="21">
        <f t="shared" si="10"/>
        <v>0</v>
      </c>
      <c r="W145" s="2"/>
      <c r="X145" s="2">
        <f t="shared" si="11"/>
        <v>82</v>
      </c>
      <c r="Y145" s="2"/>
      <c r="Z145" s="21">
        <f t="shared" si="12"/>
        <v>0</v>
      </c>
    </row>
    <row r="146" spans="1:26" s="24" customFormat="1" hidden="1" outlineLevel="1" x14ac:dyDescent="0.25">
      <c r="A146" s="46"/>
      <c r="B146" s="11" t="str">
        <f>CONCATENATE("          ", "5092", " - ", "PURCHASES @ COST-GRAD MERCH")</f>
        <v xml:space="preserve">          5092 - PURCHASES @ COST-GRAD MERCH</v>
      </c>
      <c r="C146" s="11"/>
      <c r="D146" s="2">
        <v>-600.6</v>
      </c>
      <c r="E146" s="2"/>
      <c r="F146" s="21">
        <f t="shared" si="5"/>
        <v>-1.8742271913923202E-4</v>
      </c>
      <c r="G146" s="2"/>
      <c r="H146" s="2"/>
      <c r="I146" s="2"/>
      <c r="J146" s="21">
        <f t="shared" si="6"/>
        <v>0</v>
      </c>
      <c r="K146" s="2"/>
      <c r="L146" s="2">
        <f t="shared" si="7"/>
        <v>-600.6</v>
      </c>
      <c r="M146" s="2"/>
      <c r="N146" s="21">
        <f t="shared" si="8"/>
        <v>0</v>
      </c>
      <c r="O146" s="11"/>
      <c r="P146" s="2">
        <v>628</v>
      </c>
      <c r="Q146" s="2"/>
      <c r="R146" s="21">
        <f t="shared" si="9"/>
        <v>1.5992679875387683E-4</v>
      </c>
      <c r="S146" s="2"/>
      <c r="T146" s="2"/>
      <c r="U146" s="2"/>
      <c r="V146" s="21">
        <f t="shared" si="10"/>
        <v>0</v>
      </c>
      <c r="W146" s="2"/>
      <c r="X146" s="2">
        <f t="shared" si="11"/>
        <v>628</v>
      </c>
      <c r="Y146" s="2"/>
      <c r="Z146" s="21">
        <f t="shared" si="12"/>
        <v>0</v>
      </c>
    </row>
    <row r="147" spans="1:26" s="24" customFormat="1" hidden="1" outlineLevel="1" x14ac:dyDescent="0.25">
      <c r="A147" s="46"/>
      <c r="B147" s="11" t="str">
        <f>CONCATENATE("          ", "5095", " - ", "PURCHASES @ COST-CUSTOMER SERV")</f>
        <v xml:space="preserve">          5095 - PURCHASES @ COST-CUSTOMER SERV</v>
      </c>
      <c r="C147" s="11"/>
      <c r="D147" s="2"/>
      <c r="E147" s="2"/>
      <c r="F147" s="21">
        <f t="shared" si="5"/>
        <v>0</v>
      </c>
      <c r="G147" s="2"/>
      <c r="H147" s="2"/>
      <c r="I147" s="2"/>
      <c r="J147" s="21">
        <f t="shared" si="6"/>
        <v>0</v>
      </c>
      <c r="K147" s="2"/>
      <c r="L147" s="2">
        <f t="shared" si="7"/>
        <v>0</v>
      </c>
      <c r="M147" s="2"/>
      <c r="N147" s="21">
        <f t="shared" si="8"/>
        <v>0</v>
      </c>
      <c r="O147" s="11"/>
      <c r="P147" s="2">
        <v>0</v>
      </c>
      <c r="Q147" s="2"/>
      <c r="R147" s="21">
        <f t="shared" si="9"/>
        <v>0</v>
      </c>
      <c r="S147" s="2"/>
      <c r="T147" s="2"/>
      <c r="U147" s="2"/>
      <c r="V147" s="21">
        <f t="shared" si="10"/>
        <v>0</v>
      </c>
      <c r="W147" s="2"/>
      <c r="X147" s="2">
        <f t="shared" si="11"/>
        <v>0</v>
      </c>
      <c r="Y147" s="2"/>
      <c r="Z147" s="21">
        <f t="shared" si="12"/>
        <v>0</v>
      </c>
    </row>
    <row r="148" spans="1:26" s="24" customFormat="1" hidden="1" outlineLevel="1" x14ac:dyDescent="0.25">
      <c r="A148" s="46"/>
      <c r="B148" s="11" t="str">
        <f>CONCATENATE("          ", "5200", " - ", "PURCHASES OFFSET")</f>
        <v xml:space="preserve">          5200 - PURCHASES OFFSET</v>
      </c>
      <c r="C148" s="11"/>
      <c r="D148" s="2">
        <v>-1879524</v>
      </c>
      <c r="E148" s="2"/>
      <c r="F148" s="21">
        <f t="shared" si="5"/>
        <v>-0.58652264197043946</v>
      </c>
      <c r="G148" s="2"/>
      <c r="H148" s="2"/>
      <c r="I148" s="2"/>
      <c r="J148" s="21">
        <f t="shared" si="6"/>
        <v>0</v>
      </c>
      <c r="K148" s="2"/>
      <c r="L148" s="2">
        <f t="shared" si="7"/>
        <v>-1879524</v>
      </c>
      <c r="M148" s="2"/>
      <c r="N148" s="21">
        <f t="shared" si="8"/>
        <v>0</v>
      </c>
      <c r="O148" s="11"/>
      <c r="P148" s="2">
        <v>-3141833</v>
      </c>
      <c r="Q148" s="2"/>
      <c r="R148" s="21">
        <f t="shared" si="9"/>
        <v>-0.80010078647975968</v>
      </c>
      <c r="S148" s="2"/>
      <c r="T148" s="2"/>
      <c r="U148" s="2"/>
      <c r="V148" s="21">
        <f t="shared" si="10"/>
        <v>0</v>
      </c>
      <c r="W148" s="2"/>
      <c r="X148" s="2">
        <f t="shared" si="11"/>
        <v>-3141833</v>
      </c>
      <c r="Y148" s="2"/>
      <c r="Z148" s="21">
        <f t="shared" si="12"/>
        <v>0</v>
      </c>
    </row>
    <row r="149" spans="1:26" s="24" customFormat="1" hidden="1" outlineLevel="1" x14ac:dyDescent="0.25">
      <c r="A149" s="46"/>
      <c r="B149" s="11" t="str">
        <f>CONCATENATE("          ", "5300", " - ", "COG$ OFFSET")</f>
        <v xml:space="preserve">          5300 - COG$ OFFSET</v>
      </c>
      <c r="C149" s="11"/>
      <c r="D149" s="2">
        <v>1703338</v>
      </c>
      <c r="E149" s="2"/>
      <c r="F149" s="21">
        <f t="shared" si="5"/>
        <v>0.53154219043153705</v>
      </c>
      <c r="G149" s="2"/>
      <c r="H149" s="2"/>
      <c r="I149" s="2"/>
      <c r="J149" s="21">
        <f t="shared" si="6"/>
        <v>0</v>
      </c>
      <c r="K149" s="2"/>
      <c r="L149" s="2">
        <f t="shared" si="7"/>
        <v>1703338</v>
      </c>
      <c r="M149" s="2"/>
      <c r="N149" s="21">
        <f t="shared" si="8"/>
        <v>0</v>
      </c>
      <c r="O149" s="11"/>
      <c r="P149" s="2">
        <v>2226828</v>
      </c>
      <c r="Q149" s="2"/>
      <c r="R149" s="21">
        <f t="shared" si="9"/>
        <v>0.56708514875079308</v>
      </c>
      <c r="S149" s="2"/>
      <c r="T149" s="2"/>
      <c r="U149" s="2"/>
      <c r="V149" s="21">
        <f t="shared" si="10"/>
        <v>0</v>
      </c>
      <c r="W149" s="2"/>
      <c r="X149" s="2">
        <f t="shared" si="11"/>
        <v>2226828</v>
      </c>
      <c r="Y149" s="2"/>
      <c r="Z149" s="21">
        <f t="shared" si="12"/>
        <v>0</v>
      </c>
    </row>
    <row r="150" spans="1:26" s="24" customFormat="1" hidden="1" outlineLevel="1" x14ac:dyDescent="0.25">
      <c r="A150" s="46"/>
      <c r="B150" s="11" t="str">
        <f>CONCATENATE("          ", "5500", " - ", "FREIGHT-IN")</f>
        <v xml:space="preserve">          5500 - FREIGHT-IN</v>
      </c>
      <c r="C150" s="11"/>
      <c r="D150" s="2"/>
      <c r="E150" s="2"/>
      <c r="F150" s="21">
        <f t="shared" si="5"/>
        <v>0</v>
      </c>
      <c r="G150" s="2"/>
      <c r="H150" s="2"/>
      <c r="I150" s="2"/>
      <c r="J150" s="21">
        <f t="shared" si="6"/>
        <v>0</v>
      </c>
      <c r="K150" s="2"/>
      <c r="L150" s="2">
        <f t="shared" si="7"/>
        <v>0</v>
      </c>
      <c r="M150" s="2"/>
      <c r="N150" s="21">
        <f t="shared" si="8"/>
        <v>0</v>
      </c>
      <c r="O150" s="11"/>
      <c r="P150" s="2">
        <v>49</v>
      </c>
      <c r="Q150" s="2"/>
      <c r="R150" s="21">
        <f t="shared" si="9"/>
        <v>1.247836487092351E-5</v>
      </c>
      <c r="S150" s="2"/>
      <c r="T150" s="2"/>
      <c r="U150" s="2"/>
      <c r="V150" s="21">
        <f t="shared" si="10"/>
        <v>0</v>
      </c>
      <c r="W150" s="2"/>
      <c r="X150" s="2">
        <f t="shared" si="11"/>
        <v>49</v>
      </c>
      <c r="Y150" s="2"/>
      <c r="Z150" s="21">
        <f t="shared" si="12"/>
        <v>0</v>
      </c>
    </row>
    <row r="151" spans="1:26" s="24" customFormat="1" hidden="1" outlineLevel="1" x14ac:dyDescent="0.25">
      <c r="A151" s="46"/>
      <c r="B151" s="11" t="str">
        <f>CONCATENATE("          ", "5501", " - ", "FREIGHT-IN-NEW TEXT")</f>
        <v xml:space="preserve">          5501 - FREIGHT-IN-NEW TEXT</v>
      </c>
      <c r="C151" s="11"/>
      <c r="D151" s="2">
        <v>11008.16</v>
      </c>
      <c r="E151" s="2"/>
      <c r="F151" s="21">
        <f t="shared" si="5"/>
        <v>3.4351969362632841E-3</v>
      </c>
      <c r="G151" s="2"/>
      <c r="H151" s="2"/>
      <c r="I151" s="2"/>
      <c r="J151" s="21">
        <f t="shared" si="6"/>
        <v>0</v>
      </c>
      <c r="K151" s="2"/>
      <c r="L151" s="2">
        <f t="shared" si="7"/>
        <v>11008.16</v>
      </c>
      <c r="M151" s="2"/>
      <c r="N151" s="21">
        <f t="shared" si="8"/>
        <v>0</v>
      </c>
      <c r="O151" s="11"/>
      <c r="P151" s="2">
        <v>12724.24</v>
      </c>
      <c r="Q151" s="2"/>
      <c r="R151" s="21">
        <f t="shared" si="9"/>
        <v>3.2403614168408116E-3</v>
      </c>
      <c r="S151" s="2"/>
      <c r="T151" s="2"/>
      <c r="U151" s="2"/>
      <c r="V151" s="21">
        <f t="shared" si="10"/>
        <v>0</v>
      </c>
      <c r="W151" s="2"/>
      <c r="X151" s="2">
        <f t="shared" si="11"/>
        <v>12724.24</v>
      </c>
      <c r="Y151" s="2"/>
      <c r="Z151" s="21">
        <f t="shared" si="12"/>
        <v>0</v>
      </c>
    </row>
    <row r="152" spans="1:26" s="24" customFormat="1" hidden="1" outlineLevel="1" x14ac:dyDescent="0.25">
      <c r="A152" s="46"/>
      <c r="B152" s="11" t="str">
        <f>CONCATENATE("          ", "5502", " - ", "FREIGHT-IN-USED TEXT")</f>
        <v xml:space="preserve">          5502 - FREIGHT-IN-USED TEXT</v>
      </c>
      <c r="C152" s="11"/>
      <c r="D152" s="2">
        <v>3985.02</v>
      </c>
      <c r="E152" s="2"/>
      <c r="F152" s="21">
        <f t="shared" si="5"/>
        <v>1.243561911795242E-3</v>
      </c>
      <c r="G152" s="2"/>
      <c r="H152" s="2"/>
      <c r="I152" s="2"/>
      <c r="J152" s="21">
        <f t="shared" si="6"/>
        <v>0</v>
      </c>
      <c r="K152" s="2"/>
      <c r="L152" s="2">
        <f t="shared" si="7"/>
        <v>3985.02</v>
      </c>
      <c r="M152" s="2"/>
      <c r="N152" s="21">
        <f t="shared" si="8"/>
        <v>0</v>
      </c>
      <c r="O152" s="11"/>
      <c r="P152" s="2">
        <v>4262.51</v>
      </c>
      <c r="Q152" s="2"/>
      <c r="R152" s="21">
        <f t="shared" si="9"/>
        <v>1.0854929601216362E-3</v>
      </c>
      <c r="S152" s="2"/>
      <c r="T152" s="2"/>
      <c r="U152" s="2"/>
      <c r="V152" s="21">
        <f t="shared" si="10"/>
        <v>0</v>
      </c>
      <c r="W152" s="2"/>
      <c r="X152" s="2">
        <f t="shared" si="11"/>
        <v>4262.51</v>
      </c>
      <c r="Y152" s="2"/>
      <c r="Z152" s="21">
        <f t="shared" si="12"/>
        <v>0</v>
      </c>
    </row>
    <row r="153" spans="1:26" s="24" customFormat="1" hidden="1" outlineLevel="1" x14ac:dyDescent="0.25">
      <c r="A153" s="46"/>
      <c r="B153" s="11" t="str">
        <f>CONCATENATE("          ", "5504", " - ", "FREIGHT-IN-DIGITAL TEXT")</f>
        <v xml:space="preserve">          5504 - FREIGHT-IN-DIGITAL TEXT</v>
      </c>
      <c r="C153" s="11"/>
      <c r="D153" s="2">
        <v>7.03</v>
      </c>
      <c r="E153" s="2"/>
      <c r="F153" s="21">
        <f t="shared" si="5"/>
        <v>2.1937757501645039E-6</v>
      </c>
      <c r="G153" s="2"/>
      <c r="H153" s="2"/>
      <c r="I153" s="2"/>
      <c r="J153" s="21">
        <f t="shared" si="6"/>
        <v>0</v>
      </c>
      <c r="K153" s="2"/>
      <c r="L153" s="2">
        <f t="shared" si="7"/>
        <v>7.03</v>
      </c>
      <c r="M153" s="2"/>
      <c r="N153" s="21">
        <f t="shared" si="8"/>
        <v>0</v>
      </c>
      <c r="O153" s="11"/>
      <c r="P153" s="2">
        <v>7.03</v>
      </c>
      <c r="Q153" s="2"/>
      <c r="R153" s="21">
        <f t="shared" si="9"/>
        <v>1.7902633682161691E-6</v>
      </c>
      <c r="S153" s="2"/>
      <c r="T153" s="2"/>
      <c r="U153" s="2"/>
      <c r="V153" s="21">
        <f t="shared" si="10"/>
        <v>0</v>
      </c>
      <c r="W153" s="2"/>
      <c r="X153" s="2">
        <f t="shared" si="11"/>
        <v>7.03</v>
      </c>
      <c r="Y153" s="2"/>
      <c r="Z153" s="21">
        <f t="shared" si="12"/>
        <v>0</v>
      </c>
    </row>
    <row r="154" spans="1:26" s="24" customFormat="1" hidden="1" outlineLevel="1" x14ac:dyDescent="0.25">
      <c r="A154" s="46"/>
      <c r="B154" s="11" t="str">
        <f>CONCATENATE("          ", "5526", " - ", "FREIGHT-IN-WRITING INSTRUMENTS")</f>
        <v xml:space="preserve">          5526 - FREIGHT-IN-WRITING INSTRUMENTS</v>
      </c>
      <c r="C154" s="11"/>
      <c r="D154" s="2">
        <v>17.46</v>
      </c>
      <c r="E154" s="2"/>
      <c r="F154" s="21">
        <f t="shared" si="5"/>
        <v>5.4485525743772743E-6</v>
      </c>
      <c r="G154" s="2"/>
      <c r="H154" s="2"/>
      <c r="I154" s="2"/>
      <c r="J154" s="21">
        <f t="shared" si="6"/>
        <v>0</v>
      </c>
      <c r="K154" s="2"/>
      <c r="L154" s="2">
        <f t="shared" si="7"/>
        <v>17.46</v>
      </c>
      <c r="M154" s="2"/>
      <c r="N154" s="21">
        <f t="shared" si="8"/>
        <v>0</v>
      </c>
      <c r="O154" s="11"/>
      <c r="P154" s="2">
        <v>56.57</v>
      </c>
      <c r="Q154" s="2"/>
      <c r="R154" s="21">
        <f t="shared" si="9"/>
        <v>1.4406144913227408E-5</v>
      </c>
      <c r="S154" s="2"/>
      <c r="T154" s="2"/>
      <c r="U154" s="2"/>
      <c r="V154" s="21">
        <f t="shared" si="10"/>
        <v>0</v>
      </c>
      <c r="W154" s="2"/>
      <c r="X154" s="2">
        <f t="shared" si="11"/>
        <v>56.57</v>
      </c>
      <c r="Y154" s="2"/>
      <c r="Z154" s="21">
        <f t="shared" si="12"/>
        <v>0</v>
      </c>
    </row>
    <row r="155" spans="1:26" s="24" customFormat="1" hidden="1" outlineLevel="1" x14ac:dyDescent="0.25">
      <c r="A155" s="46"/>
      <c r="B155" s="11" t="str">
        <f>CONCATENATE("          ", "5527", " - ", "FREIGHT-IN-SCHOOL SUPPLIES")</f>
        <v xml:space="preserve">          5527 - FREIGHT-IN-SCHOOL SUPPLIES</v>
      </c>
      <c r="C155" s="11"/>
      <c r="D155" s="2">
        <v>10.49</v>
      </c>
      <c r="E155" s="2"/>
      <c r="F155" s="21">
        <f t="shared" si="5"/>
        <v>3.273500372578328E-6</v>
      </c>
      <c r="G155" s="2"/>
      <c r="H155" s="2"/>
      <c r="I155" s="2"/>
      <c r="J155" s="21">
        <f t="shared" si="6"/>
        <v>0</v>
      </c>
      <c r="K155" s="2"/>
      <c r="L155" s="2">
        <f t="shared" si="7"/>
        <v>10.49</v>
      </c>
      <c r="M155" s="2"/>
      <c r="N155" s="21">
        <f t="shared" si="8"/>
        <v>0</v>
      </c>
      <c r="O155" s="11"/>
      <c r="P155" s="2">
        <v>260.51</v>
      </c>
      <c r="Q155" s="2"/>
      <c r="R155" s="21">
        <f t="shared" si="9"/>
        <v>6.6341608827026196E-5</v>
      </c>
      <c r="S155" s="2"/>
      <c r="T155" s="2"/>
      <c r="U155" s="2"/>
      <c r="V155" s="21">
        <f t="shared" si="10"/>
        <v>0</v>
      </c>
      <c r="W155" s="2"/>
      <c r="X155" s="2">
        <f t="shared" si="11"/>
        <v>260.51</v>
      </c>
      <c r="Y155" s="2"/>
      <c r="Z155" s="21">
        <f t="shared" si="12"/>
        <v>0</v>
      </c>
    </row>
    <row r="156" spans="1:26" s="24" customFormat="1" hidden="1" outlineLevel="1" x14ac:dyDescent="0.25">
      <c r="A156" s="46"/>
      <c r="B156" s="11" t="str">
        <f>CONCATENATE("          ", "5528", " - ", "FREIGHT-IN-ART/TECH")</f>
        <v xml:space="preserve">          5528 - FREIGHT-IN-ART/TECH</v>
      </c>
      <c r="C156" s="11"/>
      <c r="D156" s="2">
        <v>255.45</v>
      </c>
      <c r="E156" s="2"/>
      <c r="F156" s="21">
        <f t="shared" si="5"/>
        <v>7.971550716636166E-5</v>
      </c>
      <c r="G156" s="2"/>
      <c r="H156" s="2"/>
      <c r="I156" s="2"/>
      <c r="J156" s="21">
        <f t="shared" si="6"/>
        <v>0</v>
      </c>
      <c r="K156" s="2"/>
      <c r="L156" s="2">
        <f t="shared" si="7"/>
        <v>255.45</v>
      </c>
      <c r="M156" s="2"/>
      <c r="N156" s="21">
        <f t="shared" si="8"/>
        <v>0</v>
      </c>
      <c r="O156" s="11"/>
      <c r="P156" s="2">
        <v>299.8</v>
      </c>
      <c r="Q156" s="2"/>
      <c r="R156" s="21">
        <f t="shared" si="9"/>
        <v>7.6347220169446293E-5</v>
      </c>
      <c r="S156" s="2"/>
      <c r="T156" s="2"/>
      <c r="U156" s="2"/>
      <c r="V156" s="21">
        <f t="shared" si="10"/>
        <v>0</v>
      </c>
      <c r="W156" s="2"/>
      <c r="X156" s="2">
        <f t="shared" si="11"/>
        <v>299.8</v>
      </c>
      <c r="Y156" s="2"/>
      <c r="Z156" s="21">
        <f t="shared" si="12"/>
        <v>0</v>
      </c>
    </row>
    <row r="157" spans="1:26" s="24" customFormat="1" hidden="1" outlineLevel="1" x14ac:dyDescent="0.25">
      <c r="A157" s="46"/>
      <c r="B157" s="11" t="str">
        <f>CONCATENATE("          ", "5540", " - ", "FREIGHT-IN-LOGO CLOTHING")</f>
        <v xml:space="preserve">          5540 - FREIGHT-IN-LOGO CLOTHING</v>
      </c>
      <c r="C157" s="11"/>
      <c r="D157" s="2">
        <v>1936.72</v>
      </c>
      <c r="E157" s="2"/>
      <c r="F157" s="21">
        <f t="shared" si="5"/>
        <v>6.0437117650904667E-4</v>
      </c>
      <c r="G157" s="2"/>
      <c r="H157" s="2"/>
      <c r="I157" s="2"/>
      <c r="J157" s="21">
        <f t="shared" si="6"/>
        <v>0</v>
      </c>
      <c r="K157" s="2"/>
      <c r="L157" s="2">
        <f t="shared" si="7"/>
        <v>1936.72</v>
      </c>
      <c r="M157" s="2"/>
      <c r="N157" s="21">
        <f t="shared" si="8"/>
        <v>0</v>
      </c>
      <c r="O157" s="11"/>
      <c r="P157" s="2">
        <v>2331.94</v>
      </c>
      <c r="Q157" s="2"/>
      <c r="R157" s="21">
        <f t="shared" si="9"/>
        <v>5.9385302402247702E-4</v>
      </c>
      <c r="S157" s="2"/>
      <c r="T157" s="2"/>
      <c r="U157" s="2"/>
      <c r="V157" s="21">
        <f t="shared" si="10"/>
        <v>0</v>
      </c>
      <c r="W157" s="2"/>
      <c r="X157" s="2">
        <f t="shared" si="11"/>
        <v>2331.94</v>
      </c>
      <c r="Y157" s="2"/>
      <c r="Z157" s="21">
        <f t="shared" si="12"/>
        <v>0</v>
      </c>
    </row>
    <row r="158" spans="1:26" s="24" customFormat="1" hidden="1" outlineLevel="1" x14ac:dyDescent="0.25">
      <c r="A158" s="46"/>
      <c r="B158" s="11" t="str">
        <f>CONCATENATE("          ", "5541", " - ", "FREIGHT-IN-LOGO GIFTS")</f>
        <v xml:space="preserve">          5541 - FREIGHT-IN-LOGO GIFTS</v>
      </c>
      <c r="C158" s="11"/>
      <c r="D158" s="2">
        <v>405.92</v>
      </c>
      <c r="E158" s="2"/>
      <c r="F158" s="21">
        <f t="shared" si="5"/>
        <v>1.2667104587578599E-4</v>
      </c>
      <c r="G158" s="2"/>
      <c r="H158" s="2"/>
      <c r="I158" s="2"/>
      <c r="J158" s="21">
        <f t="shared" si="6"/>
        <v>0</v>
      </c>
      <c r="K158" s="2"/>
      <c r="L158" s="2">
        <f t="shared" si="7"/>
        <v>405.92</v>
      </c>
      <c r="M158" s="2"/>
      <c r="N158" s="21">
        <f t="shared" si="8"/>
        <v>0</v>
      </c>
      <c r="O158" s="11"/>
      <c r="P158" s="2">
        <v>720.41</v>
      </c>
      <c r="Q158" s="2"/>
      <c r="R158" s="21">
        <f t="shared" si="9"/>
        <v>1.8345997625840828E-4</v>
      </c>
      <c r="S158" s="2"/>
      <c r="T158" s="2"/>
      <c r="U158" s="2"/>
      <c r="V158" s="21">
        <f t="shared" si="10"/>
        <v>0</v>
      </c>
      <c r="W158" s="2"/>
      <c r="X158" s="2">
        <f t="shared" si="11"/>
        <v>720.41</v>
      </c>
      <c r="Y158" s="2"/>
      <c r="Z158" s="21">
        <f t="shared" si="12"/>
        <v>0</v>
      </c>
    </row>
    <row r="159" spans="1:26" s="24" customFormat="1" hidden="1" outlineLevel="1" x14ac:dyDescent="0.25">
      <c r="A159" s="46"/>
      <c r="B159" s="11" t="str">
        <f>CONCATENATE("          ", "5542", " - ", "FREIGHT-IN-EVERYDAY GIFTS")</f>
        <v xml:space="preserve">          5542 - FREIGHT-IN-EVERYDAY GIFTS</v>
      </c>
      <c r="C159" s="11"/>
      <c r="D159" s="2">
        <v>83.05</v>
      </c>
      <c r="E159" s="2"/>
      <c r="F159" s="21">
        <f t="shared" si="5"/>
        <v>2.5916511529326039E-5</v>
      </c>
      <c r="G159" s="2"/>
      <c r="H159" s="2"/>
      <c r="I159" s="2"/>
      <c r="J159" s="21">
        <f t="shared" si="6"/>
        <v>0</v>
      </c>
      <c r="K159" s="2"/>
      <c r="L159" s="2">
        <f t="shared" si="7"/>
        <v>83.05</v>
      </c>
      <c r="M159" s="2"/>
      <c r="N159" s="21">
        <f t="shared" si="8"/>
        <v>0</v>
      </c>
      <c r="O159" s="11"/>
      <c r="P159" s="2">
        <v>112.77</v>
      </c>
      <c r="Q159" s="2"/>
      <c r="R159" s="21">
        <f t="shared" si="9"/>
        <v>2.8718065438653965E-5</v>
      </c>
      <c r="S159" s="2"/>
      <c r="T159" s="2"/>
      <c r="U159" s="2"/>
      <c r="V159" s="21">
        <f t="shared" si="10"/>
        <v>0</v>
      </c>
      <c r="W159" s="2"/>
      <c r="X159" s="2">
        <f t="shared" si="11"/>
        <v>112.77</v>
      </c>
      <c r="Y159" s="2"/>
      <c r="Z159" s="21">
        <f t="shared" si="12"/>
        <v>0</v>
      </c>
    </row>
    <row r="160" spans="1:26" s="24" customFormat="1" hidden="1" outlineLevel="1" x14ac:dyDescent="0.25">
      <c r="A160" s="46"/>
      <c r="B160" s="11" t="str">
        <f>CONCATENATE("          ", "5543", " - ", "FREIGHT-IN-CARDS")</f>
        <v xml:space="preserve">          5543 - FREIGHT-IN-CARDS</v>
      </c>
      <c r="C160" s="11"/>
      <c r="D160" s="2">
        <v>4.58</v>
      </c>
      <c r="E160" s="2"/>
      <c r="F160" s="21">
        <f t="shared" si="5"/>
        <v>1.4292308585709001E-6</v>
      </c>
      <c r="G160" s="2"/>
      <c r="H160" s="2"/>
      <c r="I160" s="2"/>
      <c r="J160" s="21">
        <f t="shared" si="6"/>
        <v>0</v>
      </c>
      <c r="K160" s="2"/>
      <c r="L160" s="2">
        <f t="shared" si="7"/>
        <v>4.58</v>
      </c>
      <c r="M160" s="2"/>
      <c r="N160" s="21">
        <f t="shared" si="8"/>
        <v>0</v>
      </c>
      <c r="O160" s="11"/>
      <c r="P160" s="2">
        <v>4.58</v>
      </c>
      <c r="Q160" s="2"/>
      <c r="R160" s="21">
        <f t="shared" si="9"/>
        <v>1.1663451246699935E-6</v>
      </c>
      <c r="S160" s="2"/>
      <c r="T160" s="2"/>
      <c r="U160" s="2"/>
      <c r="V160" s="21">
        <f t="shared" si="10"/>
        <v>0</v>
      </c>
      <c r="W160" s="2"/>
      <c r="X160" s="2">
        <f t="shared" si="11"/>
        <v>4.58</v>
      </c>
      <c r="Y160" s="2"/>
      <c r="Z160" s="21">
        <f t="shared" si="12"/>
        <v>0</v>
      </c>
    </row>
    <row r="161" spans="1:26" s="24" customFormat="1" hidden="1" outlineLevel="1" x14ac:dyDescent="0.25">
      <c r="A161" s="46"/>
      <c r="B161" s="11" t="str">
        <f>CONCATENATE("          ", "5544", " - ", "FREIGHT-IN-ACCESSORIES")</f>
        <v xml:space="preserve">          5544 - FREIGHT-IN-ACCESSORIES</v>
      </c>
      <c r="C161" s="11"/>
      <c r="D161" s="2">
        <v>84.93</v>
      </c>
      <c r="E161" s="2"/>
      <c r="F161" s="21">
        <f t="shared" si="5"/>
        <v>2.6503182711446847E-5</v>
      </c>
      <c r="G161" s="2"/>
      <c r="H161" s="2"/>
      <c r="I161" s="2"/>
      <c r="J161" s="21">
        <f t="shared" si="6"/>
        <v>0</v>
      </c>
      <c r="K161" s="2"/>
      <c r="L161" s="2">
        <f t="shared" si="7"/>
        <v>84.93</v>
      </c>
      <c r="M161" s="2"/>
      <c r="N161" s="21">
        <f t="shared" si="8"/>
        <v>0</v>
      </c>
      <c r="O161" s="11"/>
      <c r="P161" s="2">
        <v>101.66</v>
      </c>
      <c r="Q161" s="2"/>
      <c r="R161" s="21">
        <f t="shared" si="9"/>
        <v>2.5888787199552736E-5</v>
      </c>
      <c r="S161" s="2"/>
      <c r="T161" s="2"/>
      <c r="U161" s="2"/>
      <c r="V161" s="21">
        <f t="shared" si="10"/>
        <v>0</v>
      </c>
      <c r="W161" s="2"/>
      <c r="X161" s="2">
        <f t="shared" si="11"/>
        <v>101.66</v>
      </c>
      <c r="Y161" s="2"/>
      <c r="Z161" s="21">
        <f t="shared" si="12"/>
        <v>0</v>
      </c>
    </row>
    <row r="162" spans="1:26" s="24" customFormat="1" hidden="1" outlineLevel="1" x14ac:dyDescent="0.25">
      <c r="A162" s="46"/>
      <c r="B162" s="11" t="str">
        <f>CONCATENATE("          ", "5545", " - ", "FREIGHT-IN-SPECIAL ORDERS")</f>
        <v xml:space="preserve">          5545 - FREIGHT-IN-SPECIAL ORDERS</v>
      </c>
      <c r="C162" s="11"/>
      <c r="D162" s="2">
        <v>8.8699999999999992</v>
      </c>
      <c r="E162" s="2"/>
      <c r="F162" s="21">
        <f t="shared" si="5"/>
        <v>2.7679645667082716E-6</v>
      </c>
      <c r="G162" s="2"/>
      <c r="H162" s="2"/>
      <c r="I162" s="2"/>
      <c r="J162" s="21">
        <f t="shared" si="6"/>
        <v>0</v>
      </c>
      <c r="K162" s="2"/>
      <c r="L162" s="2">
        <f t="shared" si="7"/>
        <v>8.8699999999999992</v>
      </c>
      <c r="M162" s="2"/>
      <c r="N162" s="21">
        <f t="shared" si="8"/>
        <v>0</v>
      </c>
      <c r="O162" s="11"/>
      <c r="P162" s="2">
        <v>235.95</v>
      </c>
      <c r="Q162" s="2"/>
      <c r="R162" s="21">
        <f t="shared" si="9"/>
        <v>6.0087146761110245E-5</v>
      </c>
      <c r="S162" s="2"/>
      <c r="T162" s="2"/>
      <c r="U162" s="2"/>
      <c r="V162" s="21">
        <f t="shared" si="10"/>
        <v>0</v>
      </c>
      <c r="W162" s="2"/>
      <c r="X162" s="2">
        <f t="shared" si="11"/>
        <v>235.95</v>
      </c>
      <c r="Y162" s="2"/>
      <c r="Z162" s="21">
        <f t="shared" si="12"/>
        <v>0</v>
      </c>
    </row>
    <row r="163" spans="1:26" s="24" customFormat="1" hidden="1" outlineLevel="1" x14ac:dyDescent="0.25">
      <c r="A163" s="46"/>
      <c r="B163" s="11" t="str">
        <f>CONCATENATE("          ", "5583", " - ", "FREIGHT-IN-COMPUTER EQUIPMENT")</f>
        <v xml:space="preserve">          5583 - FREIGHT-IN-COMPUTER EQUIPMENT</v>
      </c>
      <c r="C163" s="11"/>
      <c r="D163" s="2">
        <v>26.15</v>
      </c>
      <c r="E163" s="2"/>
      <c r="F163" s="21">
        <f t="shared" si="5"/>
        <v>8.1603464959888731E-6</v>
      </c>
      <c r="G163" s="2"/>
      <c r="H163" s="2"/>
      <c r="I163" s="2"/>
      <c r="J163" s="21">
        <f t="shared" si="6"/>
        <v>0</v>
      </c>
      <c r="K163" s="2"/>
      <c r="L163" s="2">
        <f t="shared" si="7"/>
        <v>26.15</v>
      </c>
      <c r="M163" s="2"/>
      <c r="N163" s="21">
        <f t="shared" si="8"/>
        <v>0</v>
      </c>
      <c r="O163" s="11"/>
      <c r="P163" s="2">
        <v>33.14</v>
      </c>
      <c r="Q163" s="2"/>
      <c r="R163" s="21">
        <f t="shared" si="9"/>
        <v>8.4394492208654113E-6</v>
      </c>
      <c r="S163" s="2"/>
      <c r="T163" s="2"/>
      <c r="U163" s="2"/>
      <c r="V163" s="21">
        <f t="shared" si="10"/>
        <v>0</v>
      </c>
      <c r="W163" s="2"/>
      <c r="X163" s="2">
        <f t="shared" si="11"/>
        <v>33.14</v>
      </c>
      <c r="Y163" s="2"/>
      <c r="Z163" s="21">
        <f t="shared" si="12"/>
        <v>0</v>
      </c>
    </row>
    <row r="164" spans="1:26" s="24" customFormat="1" hidden="1" outlineLevel="1" x14ac:dyDescent="0.25">
      <c r="A164" s="46"/>
      <c r="B164" s="11" t="str">
        <f>CONCATENATE("          ", "5586", " - ", "FREIGHT-IN-COMPUTER SUPPLIES")</f>
        <v xml:space="preserve">          5586 - FREIGHT-IN-COMPUTER SUPPLIES</v>
      </c>
      <c r="C164" s="11"/>
      <c r="D164" s="2">
        <v>7.36</v>
      </c>
      <c r="E164" s="2"/>
      <c r="F164" s="21">
        <f t="shared" si="5"/>
        <v>2.296755266175071E-6</v>
      </c>
      <c r="G164" s="2"/>
      <c r="H164" s="2"/>
      <c r="I164" s="2"/>
      <c r="J164" s="21">
        <f t="shared" si="6"/>
        <v>0</v>
      </c>
      <c r="K164" s="2"/>
      <c r="L164" s="2">
        <f t="shared" si="7"/>
        <v>7.36</v>
      </c>
      <c r="M164" s="2"/>
      <c r="N164" s="21">
        <f t="shared" si="8"/>
        <v>0</v>
      </c>
      <c r="O164" s="11"/>
      <c r="P164" s="2">
        <v>37.03</v>
      </c>
      <c r="Q164" s="2"/>
      <c r="R164" s="21">
        <f t="shared" si="9"/>
        <v>9.430078595312197E-6</v>
      </c>
      <c r="S164" s="2"/>
      <c r="T164" s="2"/>
      <c r="U164" s="2"/>
      <c r="V164" s="21">
        <f t="shared" si="10"/>
        <v>0</v>
      </c>
      <c r="W164" s="2"/>
      <c r="X164" s="2">
        <f t="shared" si="11"/>
        <v>37.03</v>
      </c>
      <c r="Y164" s="2"/>
      <c r="Z164" s="21">
        <f t="shared" si="12"/>
        <v>0</v>
      </c>
    </row>
    <row r="165" spans="1:26" s="24" customFormat="1" hidden="1" outlineLevel="1" x14ac:dyDescent="0.25">
      <c r="A165" s="46"/>
      <c r="B165" s="11" t="str">
        <f>CONCATENATE("          ", "5592", " - ", "FREIGHT-IN-GRAD MERCH")</f>
        <v xml:space="preserve">          5592 - FREIGHT-IN-GRAD MERCH</v>
      </c>
      <c r="C165" s="11"/>
      <c r="D165" s="2">
        <v>59.57</v>
      </c>
      <c r="E165" s="2"/>
      <c r="F165" s="21">
        <f t="shared" si="5"/>
        <v>1.858936293560448E-5</v>
      </c>
      <c r="G165" s="2"/>
      <c r="H165" s="2"/>
      <c r="I165" s="2"/>
      <c r="J165" s="21">
        <f t="shared" si="6"/>
        <v>0</v>
      </c>
      <c r="K165" s="2"/>
      <c r="L165" s="2">
        <f t="shared" si="7"/>
        <v>59.57</v>
      </c>
      <c r="M165" s="2"/>
      <c r="N165" s="21">
        <f t="shared" si="8"/>
        <v>0</v>
      </c>
      <c r="O165" s="11"/>
      <c r="P165" s="2">
        <v>59.57</v>
      </c>
      <c r="Q165" s="2"/>
      <c r="R165" s="21">
        <f t="shared" si="9"/>
        <v>1.5170126435937011E-5</v>
      </c>
      <c r="S165" s="2"/>
      <c r="T165" s="2"/>
      <c r="U165" s="2"/>
      <c r="V165" s="21">
        <f t="shared" si="10"/>
        <v>0</v>
      </c>
      <c r="W165" s="2"/>
      <c r="X165" s="2">
        <f t="shared" si="11"/>
        <v>59.57</v>
      </c>
      <c r="Y165" s="2"/>
      <c r="Z165" s="21">
        <f t="shared" si="12"/>
        <v>0</v>
      </c>
    </row>
    <row r="166" spans="1:26" x14ac:dyDescent="0.25">
      <c r="A166" s="9"/>
      <c r="B166" s="10"/>
      <c r="C166" s="10"/>
      <c r="D166" s="3"/>
      <c r="E166" s="3"/>
      <c r="F166" s="8"/>
      <c r="G166" s="3"/>
      <c r="H166" s="3"/>
      <c r="I166" s="3"/>
      <c r="J166" s="8"/>
      <c r="K166" s="3"/>
      <c r="L166" s="3"/>
      <c r="M166" s="3"/>
      <c r="N166" s="8"/>
      <c r="O166" s="10"/>
      <c r="P166" s="3"/>
      <c r="Q166" s="3"/>
      <c r="R166" s="8"/>
      <c r="S166" s="3"/>
      <c r="T166" s="3"/>
      <c r="U166" s="3"/>
      <c r="V166" s="8"/>
      <c r="W166" s="3"/>
      <c r="X166" s="3"/>
      <c r="Y166" s="3"/>
      <c r="Z166" s="8"/>
    </row>
    <row r="167" spans="1:26" s="23" customFormat="1" x14ac:dyDescent="0.25">
      <c r="A167" s="10"/>
      <c r="B167" s="29" t="s">
        <v>6</v>
      </c>
      <c r="C167" s="29"/>
      <c r="D167" s="22">
        <f>D12-D112</f>
        <v>979168.08000000007</v>
      </c>
      <c r="E167" s="14"/>
      <c r="F167" s="20">
        <f>IF(D$12=0,0,D167/D$12)</f>
        <v>0.30555834839817031</v>
      </c>
      <c r="G167" s="14"/>
      <c r="H167" s="22">
        <f>H12-H112</f>
        <v>1071596.1939999997</v>
      </c>
      <c r="I167" s="14"/>
      <c r="J167" s="20">
        <f>IF(H$12=0,0,H167/H$12)</f>
        <v>0.33409484545697737</v>
      </c>
      <c r="K167" s="15"/>
      <c r="L167" s="22">
        <f>+D167-H167</f>
        <v>-92428.113999999594</v>
      </c>
      <c r="M167" s="15"/>
      <c r="N167" s="20">
        <f>IF(H167=0,0,L167/H167)</f>
        <v>-8.6252745686776502E-2</v>
      </c>
      <c r="O167" s="28"/>
      <c r="P167" s="22">
        <f>P12-P112</f>
        <v>1165201.2100000009</v>
      </c>
      <c r="Q167" s="14"/>
      <c r="R167" s="20">
        <f>IF(P$12=0,0,P167/P$12)</f>
        <v>0.29673073155962409</v>
      </c>
      <c r="S167" s="14"/>
      <c r="T167" s="22">
        <f>T12-T112</f>
        <v>1339262.0454899999</v>
      </c>
      <c r="U167" s="14"/>
      <c r="V167" s="20">
        <f>IF(T$12=0,0,T167/T$12)</f>
        <v>0.3343187607952926</v>
      </c>
      <c r="W167" s="15"/>
      <c r="X167" s="22">
        <f>+P167-T167</f>
        <v>-174060.83548999904</v>
      </c>
      <c r="Y167" s="15"/>
      <c r="Z167" s="20">
        <f>IF(T167=0,0,X167/T167)</f>
        <v>-0.12996772071317444</v>
      </c>
    </row>
    <row r="168" spans="1:26" x14ac:dyDescent="0.25">
      <c r="A168" s="9"/>
      <c r="B168" s="10"/>
      <c r="C168" s="9"/>
      <c r="D168" s="1"/>
      <c r="E168" s="1"/>
      <c r="F168" s="5"/>
      <c r="G168" s="1"/>
      <c r="H168" s="1"/>
      <c r="I168" s="1"/>
      <c r="J168" s="5"/>
      <c r="K168" s="1"/>
      <c r="L168" s="1"/>
      <c r="M168" s="1"/>
      <c r="N168" s="5"/>
      <c r="O168" s="36"/>
      <c r="P168" s="1"/>
      <c r="Q168" s="1"/>
      <c r="R168" s="5"/>
      <c r="S168" s="1"/>
      <c r="T168" s="1"/>
      <c r="U168" s="1"/>
      <c r="V168" s="5"/>
      <c r="W168" s="1"/>
      <c r="X168" s="1"/>
      <c r="Y168" s="1"/>
      <c r="Z168" s="5"/>
    </row>
    <row r="169" spans="1:26" s="23" customFormat="1" x14ac:dyDescent="0.25">
      <c r="A169" s="10"/>
      <c r="B169" s="28" t="s">
        <v>9</v>
      </c>
      <c r="C169" s="10"/>
      <c r="D169" s="19">
        <f>SUM(OSRRefD22x_0)</f>
        <v>475210.08999999997</v>
      </c>
      <c r="E169" s="19"/>
      <c r="F169" s="34">
        <f t="shared" ref="F169:F180" si="13">IF(D$12=0,0,D169/D$12)</f>
        <v>0.14829365173193335</v>
      </c>
      <c r="G169" s="19"/>
      <c r="H169" s="19">
        <f>SUM(OSRRefH22x_0)</f>
        <v>452720.49999834766</v>
      </c>
      <c r="I169" s="19"/>
      <c r="J169" s="34">
        <f t="shared" ref="J169:J180" si="14">IF(H$12=0,0,H169/H$12)</f>
        <v>0.141146064468155</v>
      </c>
      <c r="K169" s="4"/>
      <c r="L169" s="19">
        <f t="shared" ref="L169:L180" si="15">+D169-H169</f>
        <v>22489.590001652308</v>
      </c>
      <c r="M169" s="4"/>
      <c r="N169" s="34">
        <f t="shared" ref="N169:N180" si="16">IF(H169=0,0,L169/H169)</f>
        <v>4.9676544361773746E-2</v>
      </c>
      <c r="O169" s="10"/>
      <c r="P169" s="19">
        <f>SUM(OSRRefP22x_0)</f>
        <v>856004.31000000017</v>
      </c>
      <c r="Q169" s="19"/>
      <c r="R169" s="34">
        <f t="shared" ref="R169:R180" si="17">IF(P$12=0,0,P169/P$12)</f>
        <v>0.21799049206659429</v>
      </c>
      <c r="S169" s="19"/>
      <c r="T169" s="19">
        <f>SUM(OSRRefT22x_0)</f>
        <v>896952.47889348282</v>
      </c>
      <c r="U169" s="19"/>
      <c r="V169" s="34">
        <f t="shared" ref="V169:V180" si="18">IF(T$12=0,0,T169/T$12)</f>
        <v>0.22390542780313122</v>
      </c>
      <c r="W169" s="4"/>
      <c r="X169" s="19">
        <f t="shared" ref="X169:X180" si="19">+P169-T169</f>
        <v>-40948.168893482652</v>
      </c>
      <c r="Y169" s="4"/>
      <c r="Z169" s="34">
        <f t="shared" ref="Z169:Z180" si="20">IF(T169=0,0,X169/T169)</f>
        <v>-4.5652551118424894E-2</v>
      </c>
    </row>
    <row r="170" spans="1:26" s="26" customFormat="1" outlineLevel="1" collapsed="1" x14ac:dyDescent="0.25">
      <c r="A170" s="25"/>
      <c r="B170" s="13" t="str">
        <f>CONCATENATE("     ","*Benefits                                         ")</f>
        <v xml:space="preserve">     *Benefits                                         </v>
      </c>
      <c r="C170" s="13"/>
      <c r="D170" s="1">
        <f>SUM(OSRRefD22_0x_0)</f>
        <v>55205.07</v>
      </c>
      <c r="E170" s="1"/>
      <c r="F170" s="5">
        <f t="shared" si="13"/>
        <v>1.7227246636149923E-2</v>
      </c>
      <c r="G170" s="1"/>
      <c r="H170" s="1">
        <f>SUM(OSRRefH22_0x_0)</f>
        <v>52889.5795819661</v>
      </c>
      <c r="I170" s="1"/>
      <c r="J170" s="5">
        <f t="shared" si="14"/>
        <v>1.6489547103338699E-2</v>
      </c>
      <c r="K170" s="1"/>
      <c r="L170" s="1">
        <f t="shared" si="15"/>
        <v>2315.4904180338999</v>
      </c>
      <c r="M170" s="1"/>
      <c r="N170" s="5">
        <f t="shared" si="16"/>
        <v>4.3779709279886558E-2</v>
      </c>
      <c r="O170" s="13"/>
      <c r="P170" s="1">
        <f>SUM(OSRRefP22_0x_0)</f>
        <v>113075.18000000001</v>
      </c>
      <c r="Q170" s="1"/>
      <c r="R170" s="5">
        <f t="shared" si="17"/>
        <v>2.8795782732354138E-2</v>
      </c>
      <c r="S170" s="1"/>
      <c r="T170" s="1">
        <f>SUM(OSRRefT22_0x_0)</f>
        <v>112511.95152607436</v>
      </c>
      <c r="U170" s="1"/>
      <c r="V170" s="5">
        <f t="shared" si="18"/>
        <v>2.8086255662606304E-2</v>
      </c>
      <c r="W170" s="1"/>
      <c r="X170" s="1">
        <f t="shared" si="19"/>
        <v>563.2284739256429</v>
      </c>
      <c r="Y170" s="1"/>
      <c r="Z170" s="5">
        <f t="shared" si="20"/>
        <v>5.0059435134330249E-3</v>
      </c>
    </row>
    <row r="171" spans="1:26" s="24" customFormat="1" hidden="1" outlineLevel="2" x14ac:dyDescent="0.25">
      <c r="A171" s="27"/>
      <c r="B171" s="11" t="str">
        <f>CONCATENATE("          ", "6111", " - ", "F.I.C.A.")</f>
        <v xml:space="preserve">          6111 - F.I.C.A.</v>
      </c>
      <c r="C171" s="11"/>
      <c r="D171" s="6">
        <v>14741.15</v>
      </c>
      <c r="E171" s="2"/>
      <c r="F171" s="7">
        <f t="shared" si="13"/>
        <v>4.6001105831490006E-3</v>
      </c>
      <c r="G171" s="2"/>
      <c r="H171" s="6">
        <v>11614.977935987312</v>
      </c>
      <c r="I171" s="2"/>
      <c r="J171" s="7">
        <f t="shared" si="14"/>
        <v>3.6212374402198413E-3</v>
      </c>
      <c r="K171" s="2"/>
      <c r="L171" s="6">
        <f t="shared" si="15"/>
        <v>3126.1720640126878</v>
      </c>
      <c r="M171" s="2"/>
      <c r="N171" s="7">
        <f t="shared" si="16"/>
        <v>0.26915006479062697</v>
      </c>
      <c r="O171" s="11"/>
      <c r="P171" s="6">
        <v>26075.64</v>
      </c>
      <c r="Q171" s="2"/>
      <c r="R171" s="7">
        <f t="shared" si="17"/>
        <v>6.6404357176091415E-3</v>
      </c>
      <c r="S171" s="2"/>
      <c r="T171" s="6">
        <v>26905.668423534637</v>
      </c>
      <c r="U171" s="2"/>
      <c r="V171" s="7">
        <f t="shared" si="18"/>
        <v>6.7164374261305072E-3</v>
      </c>
      <c r="W171" s="2"/>
      <c r="X171" s="6">
        <f t="shared" si="19"/>
        <v>-830.02842353463711</v>
      </c>
      <c r="Y171" s="2"/>
      <c r="Z171" s="7">
        <f t="shared" si="20"/>
        <v>-3.084957453830077E-2</v>
      </c>
    </row>
    <row r="172" spans="1:26" s="24" customFormat="1" hidden="1" outlineLevel="2" x14ac:dyDescent="0.25">
      <c r="A172" s="27"/>
      <c r="B172" s="11" t="str">
        <f>CONCATENATE("          ", "6112", " - ", "COMPENSATION INSURANCE")</f>
        <v xml:space="preserve">          6112 - COMPENSATION INSURANCE</v>
      </c>
      <c r="C172" s="11"/>
      <c r="D172" s="6">
        <v>3044.49</v>
      </c>
      <c r="E172" s="2"/>
      <c r="F172" s="7">
        <f t="shared" si="13"/>
        <v>9.5006092939094308E-4</v>
      </c>
      <c r="G172" s="2"/>
      <c r="H172" s="6">
        <v>4133.8666546538443</v>
      </c>
      <c r="I172" s="2"/>
      <c r="J172" s="7">
        <f t="shared" si="14"/>
        <v>1.2888283374458576E-3</v>
      </c>
      <c r="K172" s="2"/>
      <c r="L172" s="6">
        <f t="shared" si="15"/>
        <v>-1089.3766546538445</v>
      </c>
      <c r="M172" s="2"/>
      <c r="N172" s="7">
        <f t="shared" si="16"/>
        <v>-0.26352486561883676</v>
      </c>
      <c r="O172" s="11"/>
      <c r="P172" s="6">
        <v>5134.4799999999996</v>
      </c>
      <c r="Q172" s="2"/>
      <c r="R172" s="7">
        <f t="shared" si="17"/>
        <v>1.3075492829073335E-3</v>
      </c>
      <c r="S172" s="2"/>
      <c r="T172" s="6">
        <v>7895.1727317211516</v>
      </c>
      <c r="U172" s="2"/>
      <c r="V172" s="7">
        <f t="shared" si="18"/>
        <v>1.9708647555737135E-3</v>
      </c>
      <c r="W172" s="2"/>
      <c r="X172" s="6">
        <f t="shared" si="19"/>
        <v>-2760.6927317211521</v>
      </c>
      <c r="Y172" s="2"/>
      <c r="Z172" s="7">
        <f t="shared" si="20"/>
        <v>-0.34966843988469898</v>
      </c>
    </row>
    <row r="173" spans="1:26" s="24" customFormat="1" hidden="1" outlineLevel="2" x14ac:dyDescent="0.25">
      <c r="A173" s="27"/>
      <c r="B173" s="11" t="str">
        <f>CONCATENATE("          ", "6113", " - ", "GROUP INSURANCE")</f>
        <v xml:space="preserve">          6113 - GROUP INSURANCE</v>
      </c>
      <c r="C173" s="11"/>
      <c r="D173" s="6">
        <v>19962.98</v>
      </c>
      <c r="E173" s="2"/>
      <c r="F173" s="7">
        <f t="shared" si="13"/>
        <v>6.2296303591776658E-3</v>
      </c>
      <c r="G173" s="2"/>
      <c r="H173" s="6">
        <v>19697.01923076923</v>
      </c>
      <c r="I173" s="2"/>
      <c r="J173" s="7">
        <f t="shared" si="14"/>
        <v>6.1410003438916276E-3</v>
      </c>
      <c r="K173" s="2"/>
      <c r="L173" s="6">
        <f t="shared" si="15"/>
        <v>265.96076923076907</v>
      </c>
      <c r="M173" s="2"/>
      <c r="N173" s="7">
        <f t="shared" si="16"/>
        <v>1.3502589712422313E-2</v>
      </c>
      <c r="O173" s="11"/>
      <c r="P173" s="6">
        <v>39458.310000000005</v>
      </c>
      <c r="Q173" s="2"/>
      <c r="R173" s="7">
        <f t="shared" si="17"/>
        <v>1.0048473252449182E-2</v>
      </c>
      <c r="S173" s="2"/>
      <c r="T173" s="6">
        <v>39865.730769230773</v>
      </c>
      <c r="U173" s="2"/>
      <c r="V173" s="7">
        <f t="shared" si="18"/>
        <v>9.951645948490755E-3</v>
      </c>
      <c r="W173" s="2"/>
      <c r="X173" s="6">
        <f t="shared" si="19"/>
        <v>-407.4207692307682</v>
      </c>
      <c r="Y173" s="2"/>
      <c r="Z173" s="7">
        <f t="shared" si="20"/>
        <v>-1.0219824429889149E-2</v>
      </c>
    </row>
    <row r="174" spans="1:26" s="24" customFormat="1" hidden="1" outlineLevel="2" x14ac:dyDescent="0.25">
      <c r="A174" s="27"/>
      <c r="B174" s="11" t="str">
        <f>CONCATENATE("          ", "6114", " - ", "STATE UNEMPLOYMENT INSURANCE")</f>
        <v xml:space="preserve">          6114 - STATE UNEMPLOYMENT INSURANCE</v>
      </c>
      <c r="C174" s="11"/>
      <c r="D174" s="6">
        <v>501.07</v>
      </c>
      <c r="E174" s="2"/>
      <c r="F174" s="7">
        <f t="shared" si="13"/>
        <v>1.5636347299216615E-4</v>
      </c>
      <c r="G174" s="2"/>
      <c r="H174" s="6">
        <v>583.87791900991203</v>
      </c>
      <c r="I174" s="2"/>
      <c r="J174" s="7">
        <f t="shared" si="14"/>
        <v>1.8203741690161153E-4</v>
      </c>
      <c r="K174" s="2"/>
      <c r="L174" s="6">
        <f t="shared" si="15"/>
        <v>-82.807919009912041</v>
      </c>
      <c r="M174" s="2"/>
      <c r="N174" s="7">
        <f t="shared" si="16"/>
        <v>-0.1418240291572086</v>
      </c>
      <c r="O174" s="11"/>
      <c r="P174" s="6">
        <v>885.03</v>
      </c>
      <c r="Q174" s="2"/>
      <c r="R174" s="7">
        <f t="shared" si="17"/>
        <v>2.2538218901455988E-4</v>
      </c>
      <c r="S174" s="2"/>
      <c r="T174" s="6">
        <v>1116.7209156792319</v>
      </c>
      <c r="U174" s="2"/>
      <c r="V174" s="7">
        <f t="shared" si="18"/>
        <v>2.7876602188593339E-4</v>
      </c>
      <c r="W174" s="2"/>
      <c r="X174" s="6">
        <f t="shared" si="19"/>
        <v>-231.69091567923192</v>
      </c>
      <c r="Y174" s="2"/>
      <c r="Z174" s="7">
        <f t="shared" si="20"/>
        <v>-0.20747432274814048</v>
      </c>
    </row>
    <row r="175" spans="1:26" s="24" customFormat="1" hidden="1" outlineLevel="2" x14ac:dyDescent="0.25">
      <c r="A175" s="27"/>
      <c r="B175" s="11" t="str">
        <f>CONCATENATE("          ", "6115", " - ", "P.E.R.S.")</f>
        <v xml:space="preserve">          6115 - P.E.R.S.</v>
      </c>
      <c r="C175" s="11"/>
      <c r="D175" s="6">
        <v>6374.08</v>
      </c>
      <c r="E175" s="2"/>
      <c r="F175" s="7">
        <f t="shared" si="13"/>
        <v>1.9890899194322277E-3</v>
      </c>
      <c r="G175" s="2"/>
      <c r="H175" s="6">
        <v>6302.5344405384549</v>
      </c>
      <c r="I175" s="2"/>
      <c r="J175" s="7">
        <f t="shared" si="14"/>
        <v>1.9649605716115237E-3</v>
      </c>
      <c r="K175" s="2"/>
      <c r="L175" s="6">
        <f t="shared" si="15"/>
        <v>71.545559461545054</v>
      </c>
      <c r="M175" s="2"/>
      <c r="N175" s="7">
        <f t="shared" si="16"/>
        <v>1.1351871241092748E-2</v>
      </c>
      <c r="O175" s="11"/>
      <c r="P175" s="6">
        <v>12671.97</v>
      </c>
      <c r="Q175" s="2"/>
      <c r="R175" s="7">
        <f t="shared" si="17"/>
        <v>3.2270503121101346E-3</v>
      </c>
      <c r="S175" s="2"/>
      <c r="T175" s="6">
        <v>14180.702491211525</v>
      </c>
      <c r="U175" s="2"/>
      <c r="V175" s="7">
        <f t="shared" si="18"/>
        <v>3.5399158066440964E-3</v>
      </c>
      <c r="W175" s="2"/>
      <c r="X175" s="6">
        <f t="shared" si="19"/>
        <v>-1508.7324912115255</v>
      </c>
      <c r="Y175" s="2"/>
      <c r="Z175" s="7">
        <f t="shared" si="20"/>
        <v>-0.10639335337206043</v>
      </c>
    </row>
    <row r="176" spans="1:26" s="24" customFormat="1" hidden="1" outlineLevel="2" x14ac:dyDescent="0.25">
      <c r="A176" s="27"/>
      <c r="B176" s="11" t="str">
        <f>CONCATENATE("          ", "6116", " - ", "EDUCATIONAL BENEFITS")</f>
        <v xml:space="preserve">          6116 - EDUCATIONAL BENEFITS</v>
      </c>
      <c r="C176" s="11"/>
      <c r="D176" s="6"/>
      <c r="E176" s="2"/>
      <c r="F176" s="7">
        <f t="shared" si="13"/>
        <v>0</v>
      </c>
      <c r="G176" s="2"/>
      <c r="H176" s="6">
        <v>0</v>
      </c>
      <c r="I176" s="2"/>
      <c r="J176" s="7">
        <f t="shared" si="14"/>
        <v>0</v>
      </c>
      <c r="K176" s="2"/>
      <c r="L176" s="6">
        <f t="shared" si="15"/>
        <v>0</v>
      </c>
      <c r="M176" s="2"/>
      <c r="N176" s="7">
        <f t="shared" si="16"/>
        <v>0</v>
      </c>
      <c r="O176" s="11"/>
      <c r="P176" s="6"/>
      <c r="Q176" s="2"/>
      <c r="R176" s="7">
        <f t="shared" si="17"/>
        <v>0</v>
      </c>
      <c r="S176" s="2"/>
      <c r="T176" s="6">
        <v>0</v>
      </c>
      <c r="U176" s="2"/>
      <c r="V176" s="7">
        <f t="shared" si="18"/>
        <v>0</v>
      </c>
      <c r="W176" s="2"/>
      <c r="X176" s="6">
        <f t="shared" si="19"/>
        <v>0</v>
      </c>
      <c r="Y176" s="2"/>
      <c r="Z176" s="7">
        <f t="shared" si="20"/>
        <v>0</v>
      </c>
    </row>
    <row r="177" spans="1:26" s="24" customFormat="1" hidden="1" outlineLevel="2" x14ac:dyDescent="0.25">
      <c r="A177" s="27"/>
      <c r="B177" s="11" t="str">
        <f>CONCATENATE("          ", "6117", " - ", "RETIREMENT STAFF HOURLY")</f>
        <v xml:space="preserve">          6117 - RETIREMENT STAFF HOURLY</v>
      </c>
      <c r="C177" s="11"/>
      <c r="D177" s="6">
        <v>205.54</v>
      </c>
      <c r="E177" s="2"/>
      <c r="F177" s="7">
        <f t="shared" si="13"/>
        <v>6.4140635517611971E-5</v>
      </c>
      <c r="G177" s="2"/>
      <c r="H177" s="6"/>
      <c r="I177" s="2"/>
      <c r="J177" s="7">
        <f t="shared" si="14"/>
        <v>0</v>
      </c>
      <c r="K177" s="2"/>
      <c r="L177" s="6">
        <f t="shared" si="15"/>
        <v>205.54</v>
      </c>
      <c r="M177" s="2"/>
      <c r="N177" s="7">
        <f t="shared" si="16"/>
        <v>0</v>
      </c>
      <c r="O177" s="11"/>
      <c r="P177" s="6">
        <v>566.35</v>
      </c>
      <c r="Q177" s="2"/>
      <c r="R177" s="7">
        <f t="shared" si="17"/>
        <v>1.442269784621945E-4</v>
      </c>
      <c r="S177" s="2"/>
      <c r="T177" s="6"/>
      <c r="U177" s="2"/>
      <c r="V177" s="7">
        <f t="shared" si="18"/>
        <v>0</v>
      </c>
      <c r="W177" s="2"/>
      <c r="X177" s="6">
        <f t="shared" si="19"/>
        <v>566.35</v>
      </c>
      <c r="Y177" s="2"/>
      <c r="Z177" s="7">
        <f t="shared" si="20"/>
        <v>0</v>
      </c>
    </row>
    <row r="178" spans="1:26" s="24" customFormat="1" hidden="1" outlineLevel="2" x14ac:dyDescent="0.25">
      <c r="A178" s="27"/>
      <c r="B178" s="11" t="str">
        <f>CONCATENATE("          ", "6118", " - ", "VACATION")</f>
        <v xml:space="preserve">          6118 - VACATION</v>
      </c>
      <c r="C178" s="11"/>
      <c r="D178" s="6">
        <v>4856.16</v>
      </c>
      <c r="E178" s="2"/>
      <c r="F178" s="7">
        <f t="shared" si="13"/>
        <v>1.5154091105147734E-3</v>
      </c>
      <c r="G178" s="2"/>
      <c r="H178" s="6">
        <v>4547.5461527846119</v>
      </c>
      <c r="I178" s="2"/>
      <c r="J178" s="7">
        <f t="shared" si="14"/>
        <v>1.4178024685323281E-3</v>
      </c>
      <c r="K178" s="2"/>
      <c r="L178" s="6">
        <f t="shared" si="15"/>
        <v>308.61384721538798</v>
      </c>
      <c r="M178" s="2"/>
      <c r="N178" s="7">
        <f t="shared" si="16"/>
        <v>6.7863818606087936E-2</v>
      </c>
      <c r="O178" s="11"/>
      <c r="P178" s="6">
        <v>12504.39</v>
      </c>
      <c r="Q178" s="2"/>
      <c r="R178" s="7">
        <f t="shared" si="17"/>
        <v>3.184374304251576E-3</v>
      </c>
      <c r="S178" s="2"/>
      <c r="T178" s="6">
        <v>10231.978843765379</v>
      </c>
      <c r="U178" s="2"/>
      <c r="V178" s="7">
        <f t="shared" si="18"/>
        <v>2.5541995302941142E-3</v>
      </c>
      <c r="W178" s="2"/>
      <c r="X178" s="6">
        <f t="shared" si="19"/>
        <v>2272.4111562346206</v>
      </c>
      <c r="Y178" s="2"/>
      <c r="Z178" s="7">
        <f t="shared" si="20"/>
        <v>0.22208911794410738</v>
      </c>
    </row>
    <row r="179" spans="1:26" s="24" customFormat="1" hidden="1" outlineLevel="2" x14ac:dyDescent="0.25">
      <c r="A179" s="27"/>
      <c r="B179" s="11" t="str">
        <f>CONCATENATE("          ", "6119", " - ", "SICK LEAVE")</f>
        <v xml:space="preserve">          6119 - SICK LEAVE</v>
      </c>
      <c r="C179" s="11"/>
      <c r="D179" s="6">
        <v>3452.28</v>
      </c>
      <c r="E179" s="2"/>
      <c r="F179" s="7">
        <f t="shared" si="13"/>
        <v>1.0773155258574558E-3</v>
      </c>
      <c r="G179" s="2"/>
      <c r="H179" s="6">
        <v>4459.757248222737</v>
      </c>
      <c r="I179" s="2"/>
      <c r="J179" s="7">
        <f t="shared" si="14"/>
        <v>1.3904322514051506E-3</v>
      </c>
      <c r="K179" s="2"/>
      <c r="L179" s="6">
        <f t="shared" si="15"/>
        <v>-1007.4772482227368</v>
      </c>
      <c r="M179" s="2"/>
      <c r="N179" s="7">
        <f t="shared" si="16"/>
        <v>-0.22590405534387051</v>
      </c>
      <c r="O179" s="11"/>
      <c r="P179" s="6">
        <v>11831.98</v>
      </c>
      <c r="Q179" s="2"/>
      <c r="R179" s="7">
        <f t="shared" si="17"/>
        <v>3.0131380323565214E-3</v>
      </c>
      <c r="S179" s="2"/>
      <c r="T179" s="6">
        <v>9215.9773509316547</v>
      </c>
      <c r="U179" s="2"/>
      <c r="V179" s="7">
        <f t="shared" si="18"/>
        <v>2.3005760059105328E-3</v>
      </c>
      <c r="W179" s="2"/>
      <c r="X179" s="6">
        <f t="shared" si="19"/>
        <v>2616.0026490683449</v>
      </c>
      <c r="Y179" s="2"/>
      <c r="Z179" s="7">
        <f t="shared" si="20"/>
        <v>0.28385515170606296</v>
      </c>
    </row>
    <row r="180" spans="1:26" s="24" customFormat="1" hidden="1" outlineLevel="2" x14ac:dyDescent="0.25">
      <c r="A180" s="27"/>
      <c r="B180" s="11" t="str">
        <f>CONCATENATE("          ", "6156", " - ", "EMPLOYEE MEALS")</f>
        <v xml:space="preserve">          6156 - EMPLOYEE MEALS</v>
      </c>
      <c r="C180" s="11"/>
      <c r="D180" s="6">
        <v>2067.3200000000002</v>
      </c>
      <c r="E180" s="2"/>
      <c r="F180" s="7">
        <f t="shared" si="13"/>
        <v>6.4512610011807723E-4</v>
      </c>
      <c r="G180" s="2"/>
      <c r="H180" s="6">
        <v>1550</v>
      </c>
      <c r="I180" s="2"/>
      <c r="J180" s="7">
        <f t="shared" si="14"/>
        <v>4.8324827333076094E-4</v>
      </c>
      <c r="K180" s="2"/>
      <c r="L180" s="6">
        <f t="shared" si="15"/>
        <v>517.32000000000016</v>
      </c>
      <c r="M180" s="2"/>
      <c r="N180" s="7">
        <f t="shared" si="16"/>
        <v>0.33375483870967754</v>
      </c>
      <c r="O180" s="11"/>
      <c r="P180" s="6">
        <v>3947.03</v>
      </c>
      <c r="Q180" s="2"/>
      <c r="R180" s="7">
        <f t="shared" si="17"/>
        <v>1.0051526631934945E-3</v>
      </c>
      <c r="S180" s="2"/>
      <c r="T180" s="6">
        <v>3100</v>
      </c>
      <c r="U180" s="2"/>
      <c r="V180" s="7">
        <f t="shared" si="18"/>
        <v>7.7385016767664804E-4</v>
      </c>
      <c r="W180" s="2"/>
      <c r="X180" s="6">
        <f t="shared" si="19"/>
        <v>847.0300000000002</v>
      </c>
      <c r="Y180" s="2"/>
      <c r="Z180" s="7">
        <f t="shared" si="20"/>
        <v>0.2732354838709678</v>
      </c>
    </row>
    <row r="181" spans="1:26" s="26" customFormat="1" outlineLevel="1" collapsed="1" x14ac:dyDescent="0.25">
      <c r="A181" s="25"/>
      <c r="B181" s="13" t="str">
        <f>CONCATENATE("     ","*Payroll                                          ")</f>
        <v xml:space="preserve">     *Payroll                                          </v>
      </c>
      <c r="C181" s="13"/>
      <c r="D181" s="1">
        <f>SUM(OSRRefD22_1x_0)</f>
        <v>233208.95</v>
      </c>
      <c r="E181" s="1"/>
      <c r="F181" s="5">
        <f t="shared" ref="F181:F191" si="21">IF(D$12=0,0,D181/D$12)</f>
        <v>7.2774984243431914E-2</v>
      </c>
      <c r="G181" s="1"/>
      <c r="H181" s="1">
        <f>SUM(OSRRefH22_1x_0)</f>
        <v>217081.42041638156</v>
      </c>
      <c r="I181" s="1"/>
      <c r="J181" s="5">
        <f t="shared" ref="J181:J191" si="22">IF(H$12=0,0,H181/H$12)</f>
        <v>6.7680142960261536E-2</v>
      </c>
      <c r="K181" s="1"/>
      <c r="L181" s="1">
        <f t="shared" ref="L181:L191" si="23">+D181-H181</f>
        <v>16127.529583618452</v>
      </c>
      <c r="M181" s="1"/>
      <c r="N181" s="5">
        <f t="shared" ref="N181:N191" si="24">IF(H181=0,0,L181/H181)</f>
        <v>7.429253757730353E-2</v>
      </c>
      <c r="O181" s="13"/>
      <c r="P181" s="1">
        <f>SUM(OSRRefP22_1x_0)</f>
        <v>411420.26</v>
      </c>
      <c r="Q181" s="1"/>
      <c r="R181" s="5">
        <f t="shared" ref="R181:R191" si="25">IF(P$12=0,0,P181/P$12)</f>
        <v>0.10477249223612688</v>
      </c>
      <c r="S181" s="1"/>
      <c r="T181" s="1">
        <f>SUM(OSRRefT22_1x_0)</f>
        <v>412756.5273674085</v>
      </c>
      <c r="U181" s="1"/>
      <c r="V181" s="5">
        <f t="shared" ref="V181:V191" si="26">IF(T$12=0,0,T181/T$12)</f>
        <v>0.10303603481061291</v>
      </c>
      <c r="W181" s="1"/>
      <c r="X181" s="1">
        <f t="shared" ref="X181:X191" si="27">+P181-T181</f>
        <v>-1336.2673674084945</v>
      </c>
      <c r="Y181" s="1"/>
      <c r="Z181" s="5">
        <f t="shared" ref="Z181:Z191" si="28">IF(T181=0,0,X181/T181)</f>
        <v>-3.2374227390934459E-3</v>
      </c>
    </row>
    <row r="182" spans="1:26" s="24" customFormat="1" hidden="1" outlineLevel="2" x14ac:dyDescent="0.25">
      <c r="A182" s="27"/>
      <c r="B182" s="11" t="str">
        <f>CONCATENATE("          ", "6001", " - ", "ADMINISTRATIVE SALARIES")</f>
        <v xml:space="preserve">          6001 - ADMINISTRATIVE SALARIES</v>
      </c>
      <c r="C182" s="11"/>
      <c r="D182" s="6">
        <v>10181.280000000001</v>
      </c>
      <c r="E182" s="2"/>
      <c r="F182" s="7">
        <f t="shared" si="21"/>
        <v>3.1771614750547459E-3</v>
      </c>
      <c r="G182" s="2"/>
      <c r="H182" s="6">
        <v>27651.922292615382</v>
      </c>
      <c r="I182" s="2"/>
      <c r="J182" s="7">
        <f t="shared" si="22"/>
        <v>8.6211249691501672E-3</v>
      </c>
      <c r="K182" s="2"/>
      <c r="L182" s="6">
        <f t="shared" si="23"/>
        <v>-17470.642292615383</v>
      </c>
      <c r="M182" s="2"/>
      <c r="N182" s="7">
        <f t="shared" si="24"/>
        <v>-0.63180570622683352</v>
      </c>
      <c r="O182" s="11"/>
      <c r="P182" s="6">
        <v>23041.56</v>
      </c>
      <c r="Q182" s="2"/>
      <c r="R182" s="7">
        <f t="shared" si="25"/>
        <v>5.8677753648015583E-3</v>
      </c>
      <c r="S182" s="2"/>
      <c r="T182" s="6">
        <v>62216.825158384614</v>
      </c>
      <c r="U182" s="2"/>
      <c r="V182" s="7">
        <f t="shared" si="26"/>
        <v>1.5531129219717622E-2</v>
      </c>
      <c r="W182" s="2"/>
      <c r="X182" s="6">
        <f t="shared" si="27"/>
        <v>-39175.265158384616</v>
      </c>
      <c r="Y182" s="2"/>
      <c r="Z182" s="7">
        <f t="shared" si="28"/>
        <v>-0.6296570912877123</v>
      </c>
    </row>
    <row r="183" spans="1:26" s="24" customFormat="1" hidden="1" outlineLevel="2" x14ac:dyDescent="0.25">
      <c r="A183" s="27"/>
      <c r="B183" s="11" t="str">
        <f>CONCATENATE("          ", "6002", " - ", "STAFF SALARIES")</f>
        <v xml:space="preserve">          6002 - STAFF SALARIES</v>
      </c>
      <c r="C183" s="11"/>
      <c r="D183" s="6">
        <v>59133.149999999994</v>
      </c>
      <c r="E183" s="2"/>
      <c r="F183" s="7">
        <f t="shared" si="21"/>
        <v>1.845303990054625E-2</v>
      </c>
      <c r="G183" s="2"/>
      <c r="H183" s="6">
        <v>39132.03454564618</v>
      </c>
      <c r="I183" s="2"/>
      <c r="J183" s="7">
        <f t="shared" si="22"/>
        <v>1.2200314920066584E-2</v>
      </c>
      <c r="K183" s="2"/>
      <c r="L183" s="6">
        <f t="shared" si="23"/>
        <v>20001.115454353814</v>
      </c>
      <c r="M183" s="2"/>
      <c r="N183" s="7">
        <f t="shared" si="24"/>
        <v>0.51111872118540624</v>
      </c>
      <c r="O183" s="11"/>
      <c r="P183" s="6">
        <v>126412.16</v>
      </c>
      <c r="Q183" s="2"/>
      <c r="R183" s="7">
        <f t="shared" si="25"/>
        <v>3.219218482860331E-2</v>
      </c>
      <c r="S183" s="2"/>
      <c r="T183" s="6">
        <v>88047.077727703872</v>
      </c>
      <c r="U183" s="2"/>
      <c r="V183" s="7">
        <f t="shared" si="26"/>
        <v>2.1979111568716937E-2</v>
      </c>
      <c r="W183" s="2"/>
      <c r="X183" s="6">
        <f t="shared" si="27"/>
        <v>38365.082272296131</v>
      </c>
      <c r="Y183" s="2"/>
      <c r="Z183" s="7">
        <f t="shared" si="28"/>
        <v>0.43573373770501211</v>
      </c>
    </row>
    <row r="184" spans="1:26" s="24" customFormat="1" hidden="1" outlineLevel="2" x14ac:dyDescent="0.25">
      <c r="A184" s="27"/>
      <c r="B184" s="11" t="str">
        <f>CONCATENATE("          ", "6003", " - ", "STAFF HOURLY-9 MONTH")</f>
        <v xml:space="preserve">          6003 - STAFF HOURLY-9 MONTH</v>
      </c>
      <c r="C184" s="11"/>
      <c r="D184" s="6"/>
      <c r="E184" s="2"/>
      <c r="F184" s="7">
        <f t="shared" si="21"/>
        <v>0</v>
      </c>
      <c r="G184" s="2"/>
      <c r="H184" s="6">
        <v>0</v>
      </c>
      <c r="I184" s="2"/>
      <c r="J184" s="7">
        <f t="shared" si="22"/>
        <v>0</v>
      </c>
      <c r="K184" s="2"/>
      <c r="L184" s="6">
        <f t="shared" si="23"/>
        <v>0</v>
      </c>
      <c r="M184" s="2"/>
      <c r="N184" s="7">
        <f t="shared" si="24"/>
        <v>0</v>
      </c>
      <c r="O184" s="11"/>
      <c r="P184" s="6"/>
      <c r="Q184" s="2"/>
      <c r="R184" s="7">
        <f t="shared" si="25"/>
        <v>0</v>
      </c>
      <c r="S184" s="2"/>
      <c r="T184" s="6">
        <v>0</v>
      </c>
      <c r="U184" s="2"/>
      <c r="V184" s="7">
        <f t="shared" si="26"/>
        <v>0</v>
      </c>
      <c r="W184" s="2"/>
      <c r="X184" s="6">
        <f t="shared" si="27"/>
        <v>0</v>
      </c>
      <c r="Y184" s="2"/>
      <c r="Z184" s="7">
        <f t="shared" si="28"/>
        <v>0</v>
      </c>
    </row>
    <row r="185" spans="1:26" s="24" customFormat="1" hidden="1" outlineLevel="2" x14ac:dyDescent="0.25">
      <c r="A185" s="27"/>
      <c r="B185" s="11" t="str">
        <f>CONCATENATE("          ", "6004", " - ", "STAFF HOURLY")</f>
        <v xml:space="preserve">          6004 - STAFF HOURLY</v>
      </c>
      <c r="C185" s="11"/>
      <c r="D185" s="6">
        <v>2830.32</v>
      </c>
      <c r="E185" s="2"/>
      <c r="F185" s="7">
        <f t="shared" si="21"/>
        <v>8.8322722350008529E-4</v>
      </c>
      <c r="G185" s="2"/>
      <c r="H185" s="6">
        <v>23765.632382</v>
      </c>
      <c r="I185" s="2"/>
      <c r="J185" s="7">
        <f t="shared" si="22"/>
        <v>7.4094843956226571E-3</v>
      </c>
      <c r="K185" s="2"/>
      <c r="L185" s="6">
        <f t="shared" si="23"/>
        <v>-20935.312382</v>
      </c>
      <c r="M185" s="2"/>
      <c r="N185" s="7">
        <f t="shared" si="24"/>
        <v>-0.88090701924078929</v>
      </c>
      <c r="O185" s="11"/>
      <c r="P185" s="6">
        <v>4836.25</v>
      </c>
      <c r="Q185" s="2"/>
      <c r="R185" s="7">
        <f t="shared" si="25"/>
        <v>1.2316018797347719E-3</v>
      </c>
      <c r="S185" s="2"/>
      <c r="T185" s="6">
        <v>51235.661921999999</v>
      </c>
      <c r="U185" s="2"/>
      <c r="V185" s="7">
        <f t="shared" si="26"/>
        <v>1.2789911473988306E-2</v>
      </c>
      <c r="W185" s="2"/>
      <c r="X185" s="6">
        <f t="shared" si="27"/>
        <v>-46399.411921999999</v>
      </c>
      <c r="Y185" s="2"/>
      <c r="Z185" s="7">
        <f t="shared" si="28"/>
        <v>-0.90560773846617626</v>
      </c>
    </row>
    <row r="186" spans="1:26" s="24" customFormat="1" hidden="1" outlineLevel="2" x14ac:dyDescent="0.25">
      <c r="A186" s="27"/>
      <c r="B186" s="11" t="str">
        <f>CONCATENATE("          ", "6005", " - ", "TEMPORARY WAGES-HOURLY")</f>
        <v xml:space="preserve">          6005 - TEMPORARY WAGES-HOURLY</v>
      </c>
      <c r="C186" s="11"/>
      <c r="D186" s="6">
        <v>20201.240000000002</v>
      </c>
      <c r="E186" s="2"/>
      <c r="F186" s="7">
        <f t="shared" si="21"/>
        <v>6.3039815697372957E-3</v>
      </c>
      <c r="G186" s="2"/>
      <c r="H186" s="6">
        <v>3517.92</v>
      </c>
      <c r="I186" s="2"/>
      <c r="J186" s="7">
        <f t="shared" si="22"/>
        <v>1.0967927520746778E-3</v>
      </c>
      <c r="K186" s="2"/>
      <c r="L186" s="6">
        <f t="shared" si="23"/>
        <v>16683.32</v>
      </c>
      <c r="M186" s="2"/>
      <c r="N186" s="7">
        <f t="shared" si="24"/>
        <v>4.7423818620093687</v>
      </c>
      <c r="O186" s="11"/>
      <c r="P186" s="6">
        <v>40013.58</v>
      </c>
      <c r="Q186" s="2"/>
      <c r="R186" s="7">
        <f t="shared" si="25"/>
        <v>1.0189878592487501E-2</v>
      </c>
      <c r="S186" s="2"/>
      <c r="T186" s="6">
        <v>6952.08</v>
      </c>
      <c r="U186" s="2"/>
      <c r="V186" s="7">
        <f t="shared" si="26"/>
        <v>1.7354413786133777E-3</v>
      </c>
      <c r="W186" s="2"/>
      <c r="X186" s="6">
        <f t="shared" si="27"/>
        <v>33061.5</v>
      </c>
      <c r="Y186" s="2"/>
      <c r="Z186" s="7">
        <f t="shared" si="28"/>
        <v>4.7556270928988162</v>
      </c>
    </row>
    <row r="187" spans="1:26" s="24" customFormat="1" hidden="1" outlineLevel="2" x14ac:dyDescent="0.25">
      <c r="A187" s="27"/>
      <c r="B187" s="11" t="str">
        <f>CONCATENATE("          ", "6006", " - ", "TEMPORARY PART TIME")</f>
        <v xml:space="preserve">          6006 - TEMPORARY PART TIME</v>
      </c>
      <c r="C187" s="11"/>
      <c r="D187" s="6">
        <v>6585.94</v>
      </c>
      <c r="E187" s="2"/>
      <c r="F187" s="7">
        <f t="shared" si="21"/>
        <v>2.0552027687110118E-3</v>
      </c>
      <c r="G187" s="2"/>
      <c r="H187" s="6">
        <v>0</v>
      </c>
      <c r="I187" s="2"/>
      <c r="J187" s="7">
        <f t="shared" si="22"/>
        <v>0</v>
      </c>
      <c r="K187" s="2"/>
      <c r="L187" s="6">
        <f t="shared" si="23"/>
        <v>6585.94</v>
      </c>
      <c r="M187" s="2"/>
      <c r="N187" s="7">
        <f t="shared" si="24"/>
        <v>0</v>
      </c>
      <c r="O187" s="11"/>
      <c r="P187" s="6">
        <v>11225.82</v>
      </c>
      <c r="Q187" s="2"/>
      <c r="R187" s="7">
        <f t="shared" si="25"/>
        <v>2.8587730190879706E-3</v>
      </c>
      <c r="S187" s="2"/>
      <c r="T187" s="6">
        <v>0</v>
      </c>
      <c r="U187" s="2"/>
      <c r="V187" s="7">
        <f t="shared" si="26"/>
        <v>0</v>
      </c>
      <c r="W187" s="2"/>
      <c r="X187" s="6">
        <f t="shared" si="27"/>
        <v>11225.82</v>
      </c>
      <c r="Y187" s="2"/>
      <c r="Z187" s="7">
        <f t="shared" si="28"/>
        <v>0</v>
      </c>
    </row>
    <row r="188" spans="1:26" s="24" customFormat="1" hidden="1" outlineLevel="2" x14ac:dyDescent="0.25">
      <c r="A188" s="27"/>
      <c r="B188" s="11" t="str">
        <f>CONCATENATE("          ", "6007", " - ", "STUDENT HOURLY")</f>
        <v xml:space="preserve">          6007 - STUDENT HOURLY</v>
      </c>
      <c r="C188" s="11"/>
      <c r="D188" s="6">
        <v>132630.02000000002</v>
      </c>
      <c r="E188" s="2"/>
      <c r="F188" s="7">
        <f t="shared" si="21"/>
        <v>4.1388409903247964E-2</v>
      </c>
      <c r="G188" s="2"/>
      <c r="H188" s="6">
        <v>53733.66</v>
      </c>
      <c r="I188" s="2"/>
      <c r="J188" s="7">
        <f t="shared" si="22"/>
        <v>1.6752708654672373E-2</v>
      </c>
      <c r="K188" s="2"/>
      <c r="L188" s="6">
        <f t="shared" si="23"/>
        <v>78896.360000000015</v>
      </c>
      <c r="M188" s="2"/>
      <c r="N188" s="7">
        <f t="shared" si="24"/>
        <v>1.4682856146408045</v>
      </c>
      <c r="O188" s="11"/>
      <c r="P188" s="6">
        <v>203928.88999999998</v>
      </c>
      <c r="Q188" s="2"/>
      <c r="R188" s="7">
        <f t="shared" si="25"/>
        <v>5.1932634635559687E-2</v>
      </c>
      <c r="S188" s="2"/>
      <c r="T188" s="6">
        <v>133370.2963632</v>
      </c>
      <c r="U188" s="2"/>
      <c r="V188" s="7">
        <f t="shared" si="26"/>
        <v>3.3293105227015021E-2</v>
      </c>
      <c r="W188" s="2"/>
      <c r="X188" s="6">
        <f t="shared" si="27"/>
        <v>70558.593636799982</v>
      </c>
      <c r="Y188" s="2"/>
      <c r="Z188" s="7">
        <f t="shared" si="28"/>
        <v>0.52904278959275641</v>
      </c>
    </row>
    <row r="189" spans="1:26" s="24" customFormat="1" hidden="1" outlineLevel="2" x14ac:dyDescent="0.25">
      <c r="A189" s="27"/>
      <c r="B189" s="11" t="str">
        <f>CONCATENATE("          ", "6008", " - ", "STUDENT HOURLY-FICA EXEMPT")</f>
        <v xml:space="preserve">          6008 - STUDENT HOURLY-FICA EXEMPT</v>
      </c>
      <c r="C189" s="11"/>
      <c r="D189" s="6">
        <v>1647</v>
      </c>
      <c r="E189" s="2"/>
      <c r="F189" s="7">
        <f t="shared" si="21"/>
        <v>5.1396140263455738E-4</v>
      </c>
      <c r="G189" s="2"/>
      <c r="H189" s="6">
        <v>69280.251196120007</v>
      </c>
      <c r="I189" s="2"/>
      <c r="J189" s="7">
        <f t="shared" si="22"/>
        <v>2.1599717268675083E-2</v>
      </c>
      <c r="K189" s="2"/>
      <c r="L189" s="6">
        <f t="shared" si="23"/>
        <v>-67633.251196120007</v>
      </c>
      <c r="M189" s="2"/>
      <c r="N189" s="7">
        <f t="shared" si="24"/>
        <v>-0.97622699150819137</v>
      </c>
      <c r="O189" s="11"/>
      <c r="P189" s="6">
        <v>1962</v>
      </c>
      <c r="Q189" s="2"/>
      <c r="R189" s="7">
        <f t="shared" si="25"/>
        <v>4.9964391585208018E-4</v>
      </c>
      <c r="S189" s="2"/>
      <c r="T189" s="6">
        <v>70934.586196119999</v>
      </c>
      <c r="U189" s="2"/>
      <c r="V189" s="7">
        <f t="shared" si="26"/>
        <v>1.7707335942561644E-2</v>
      </c>
      <c r="W189" s="2"/>
      <c r="X189" s="6">
        <f t="shared" si="27"/>
        <v>-68972.586196119999</v>
      </c>
      <c r="Y189" s="2"/>
      <c r="Z189" s="7">
        <f t="shared" si="28"/>
        <v>-0.97234071409713363</v>
      </c>
    </row>
    <row r="190" spans="1:26" s="24" customFormat="1" hidden="1" outlineLevel="2" x14ac:dyDescent="0.25">
      <c r="A190" s="27"/>
      <c r="B190" s="11" t="str">
        <f>CONCATENATE("          ", "6009", " - ", "TEMPORARY-SEASONAL")</f>
        <v xml:space="preserve">          6009 - TEMPORARY-SEASONAL</v>
      </c>
      <c r="C190" s="11"/>
      <c r="D190" s="6"/>
      <c r="E190" s="2"/>
      <c r="F190" s="7">
        <f t="shared" si="21"/>
        <v>0</v>
      </c>
      <c r="G190" s="2"/>
      <c r="H190" s="6">
        <v>0</v>
      </c>
      <c r="I190" s="2"/>
      <c r="J190" s="7">
        <f t="shared" si="22"/>
        <v>0</v>
      </c>
      <c r="K190" s="2"/>
      <c r="L190" s="6">
        <f t="shared" si="23"/>
        <v>0</v>
      </c>
      <c r="M190" s="2"/>
      <c r="N190" s="7">
        <f t="shared" si="24"/>
        <v>0</v>
      </c>
      <c r="O190" s="11"/>
      <c r="P190" s="6"/>
      <c r="Q190" s="2"/>
      <c r="R190" s="7">
        <f t="shared" si="25"/>
        <v>0</v>
      </c>
      <c r="S190" s="2"/>
      <c r="T190" s="6">
        <v>0</v>
      </c>
      <c r="U190" s="2"/>
      <c r="V190" s="7">
        <f t="shared" si="26"/>
        <v>0</v>
      </c>
      <c r="W190" s="2"/>
      <c r="X190" s="6">
        <f t="shared" si="27"/>
        <v>0</v>
      </c>
      <c r="Y190" s="2"/>
      <c r="Z190" s="7">
        <f t="shared" si="28"/>
        <v>0</v>
      </c>
    </row>
    <row r="191" spans="1:26" s="24" customFormat="1" hidden="1" outlineLevel="2" x14ac:dyDescent="0.25">
      <c r="A191" s="27"/>
      <c r="B191" s="11" t="str">
        <f>CONCATENATE("          ", "6010", " - ", "GRATUITY")</f>
        <v xml:space="preserve">          6010 - GRATUITY</v>
      </c>
      <c r="C191" s="11"/>
      <c r="D191" s="6"/>
      <c r="E191" s="2"/>
      <c r="F191" s="7">
        <f t="shared" si="21"/>
        <v>0</v>
      </c>
      <c r="G191" s="2"/>
      <c r="H191" s="6">
        <v>0</v>
      </c>
      <c r="I191" s="2"/>
      <c r="J191" s="7">
        <f t="shared" si="22"/>
        <v>0</v>
      </c>
      <c r="K191" s="2"/>
      <c r="L191" s="6">
        <f t="shared" si="23"/>
        <v>0</v>
      </c>
      <c r="M191" s="2"/>
      <c r="N191" s="7">
        <f t="shared" si="24"/>
        <v>0</v>
      </c>
      <c r="O191" s="11"/>
      <c r="P191" s="6"/>
      <c r="Q191" s="2"/>
      <c r="R191" s="7">
        <f t="shared" si="25"/>
        <v>0</v>
      </c>
      <c r="S191" s="2"/>
      <c r="T191" s="6">
        <v>0</v>
      </c>
      <c r="U191" s="2"/>
      <c r="V191" s="7">
        <f t="shared" si="26"/>
        <v>0</v>
      </c>
      <c r="W191" s="2"/>
      <c r="X191" s="6">
        <f t="shared" si="27"/>
        <v>0</v>
      </c>
      <c r="Y191" s="2"/>
      <c r="Z191" s="7">
        <f t="shared" si="28"/>
        <v>0</v>
      </c>
    </row>
    <row r="192" spans="1:26" s="26" customFormat="1" outlineLevel="1" collapsed="1" x14ac:dyDescent="0.25">
      <c r="A192" s="25"/>
      <c r="B192" s="13" t="str">
        <f>CONCATENATE("     ","Advertising/Promo                                 ")</f>
        <v xml:space="preserve">     Advertising/Promo                                 </v>
      </c>
      <c r="C192" s="13"/>
      <c r="D192" s="1">
        <f>SUM(OSRRefD22_2x_0)</f>
        <v>7001.29</v>
      </c>
      <c r="E192" s="1"/>
      <c r="F192" s="5">
        <f t="shared" ref="F192:F196" si="29">IF(D$12=0,0,D192/D$12)</f>
        <v>2.1848165322715845E-3</v>
      </c>
      <c r="G192" s="1"/>
      <c r="H192" s="1">
        <f>SUM(OSRRefH22_2x_0)</f>
        <v>4970</v>
      </c>
      <c r="I192" s="1"/>
      <c r="J192" s="5">
        <f t="shared" ref="J192:J196" si="30">IF(H$12=0,0,H192/H$12)</f>
        <v>1.5495122054541173E-3</v>
      </c>
      <c r="K192" s="1"/>
      <c r="L192" s="1">
        <f t="shared" ref="L192:L196" si="31">+D192-H192</f>
        <v>2031.29</v>
      </c>
      <c r="M192" s="1"/>
      <c r="N192" s="5">
        <f t="shared" ref="N192:N196" si="32">IF(H192=0,0,L192/H192)</f>
        <v>0.40871026156941648</v>
      </c>
      <c r="O192" s="13"/>
      <c r="P192" s="1">
        <f>SUM(OSRRefP22_2x_0)</f>
        <v>7892.66</v>
      </c>
      <c r="Q192" s="1"/>
      <c r="R192" s="5">
        <f t="shared" ref="R192:R196" si="33">IF(P$12=0,0,P192/P$12)</f>
        <v>2.0099488016763908E-3</v>
      </c>
      <c r="S192" s="1"/>
      <c r="T192" s="1">
        <f>SUM(OSRRefT22_2x_0)</f>
        <v>9840</v>
      </c>
      <c r="U192" s="1"/>
      <c r="V192" s="5">
        <f t="shared" ref="V192:V196" si="34">IF(T$12=0,0,T192/T$12)</f>
        <v>2.4563502096574892E-3</v>
      </c>
      <c r="W192" s="1"/>
      <c r="X192" s="1">
        <f t="shared" ref="X192:X196" si="35">+P192-T192</f>
        <v>-1947.3400000000001</v>
      </c>
      <c r="Y192" s="1"/>
      <c r="Z192" s="5">
        <f t="shared" ref="Z192:Z196" si="36">IF(T192=0,0,X192/T192)</f>
        <v>-0.19790040650406507</v>
      </c>
    </row>
    <row r="193" spans="1:26" s="24" customFormat="1" hidden="1" outlineLevel="2" x14ac:dyDescent="0.25">
      <c r="A193" s="27"/>
      <c r="B193" s="11" t="str">
        <f>CONCATENATE("          ", "6362", " - ", "ADVERTISING EXPENSE")</f>
        <v xml:space="preserve">          6362 - ADVERTISING EXPENSE</v>
      </c>
      <c r="C193" s="11"/>
      <c r="D193" s="6">
        <v>7001.29</v>
      </c>
      <c r="E193" s="2"/>
      <c r="F193" s="7">
        <f t="shared" si="29"/>
        <v>2.1848165322715845E-3</v>
      </c>
      <c r="G193" s="2"/>
      <c r="H193" s="6">
        <v>4970</v>
      </c>
      <c r="I193" s="2"/>
      <c r="J193" s="7">
        <f t="shared" si="30"/>
        <v>1.5495122054541173E-3</v>
      </c>
      <c r="K193" s="2"/>
      <c r="L193" s="6">
        <f t="shared" si="31"/>
        <v>2031.29</v>
      </c>
      <c r="M193" s="2"/>
      <c r="N193" s="7">
        <f t="shared" si="32"/>
        <v>0.40871026156941648</v>
      </c>
      <c r="O193" s="11"/>
      <c r="P193" s="6">
        <v>7892.66</v>
      </c>
      <c r="Q193" s="2"/>
      <c r="R193" s="7">
        <f t="shared" si="33"/>
        <v>2.0099488016763908E-3</v>
      </c>
      <c r="S193" s="2"/>
      <c r="T193" s="6">
        <v>9840</v>
      </c>
      <c r="U193" s="2"/>
      <c r="V193" s="7">
        <f t="shared" si="34"/>
        <v>2.4563502096574892E-3</v>
      </c>
      <c r="W193" s="2"/>
      <c r="X193" s="6">
        <f t="shared" si="35"/>
        <v>-1947.3400000000001</v>
      </c>
      <c r="Y193" s="2"/>
      <c r="Z193" s="7">
        <f t="shared" si="36"/>
        <v>-0.19790040650406507</v>
      </c>
    </row>
    <row r="194" spans="1:26" s="26" customFormat="1" outlineLevel="1" collapsed="1" x14ac:dyDescent="0.25">
      <c r="A194" s="25"/>
      <c r="B194" s="13" t="str">
        <f>CONCATENATE("     ","Bad Debts/Over/Short                              ")</f>
        <v xml:space="preserve">     Bad Debts/Over/Short                              </v>
      </c>
      <c r="C194" s="13"/>
      <c r="D194" s="1">
        <f>SUM(OSRRefD22_3x_0)</f>
        <v>-63.63</v>
      </c>
      <c r="E194" s="1"/>
      <c r="F194" s="5">
        <f t="shared" si="29"/>
        <v>-1.9856323041673883E-5</v>
      </c>
      <c r="G194" s="1"/>
      <c r="H194" s="1">
        <f>SUM(OSRRefH22_3x_0)</f>
        <v>135</v>
      </c>
      <c r="I194" s="1"/>
      <c r="J194" s="5">
        <f t="shared" si="30"/>
        <v>4.2089365741711436E-5</v>
      </c>
      <c r="K194" s="1"/>
      <c r="L194" s="1">
        <f t="shared" si="31"/>
        <v>-198.63</v>
      </c>
      <c r="M194" s="1"/>
      <c r="N194" s="5">
        <f t="shared" si="32"/>
        <v>-1.4713333333333334</v>
      </c>
      <c r="O194" s="13"/>
      <c r="P194" s="1">
        <f>SUM(OSRRefP22_3x_0)</f>
        <v>-82.33</v>
      </c>
      <c r="Q194" s="1"/>
      <c r="R194" s="5">
        <f t="shared" si="33"/>
        <v>-2.0966199588227197E-5</v>
      </c>
      <c r="S194" s="1"/>
      <c r="T194" s="1">
        <f>SUM(OSRRefT22_3x_0)</f>
        <v>270</v>
      </c>
      <c r="U194" s="1"/>
      <c r="V194" s="5">
        <f t="shared" si="34"/>
        <v>6.7399853313772571E-5</v>
      </c>
      <c r="W194" s="1"/>
      <c r="X194" s="1">
        <f t="shared" si="35"/>
        <v>-352.33</v>
      </c>
      <c r="Y194" s="1"/>
      <c r="Z194" s="5">
        <f t="shared" si="36"/>
        <v>-1.3049259259259258</v>
      </c>
    </row>
    <row r="195" spans="1:26" s="24" customFormat="1" hidden="1" outlineLevel="2" x14ac:dyDescent="0.25">
      <c r="A195" s="27"/>
      <c r="B195" s="11" t="str">
        <f>CONCATENATE("          ", "6272", " - ", "CASH (OVER/SHORT)")</f>
        <v xml:space="preserve">          6272 - CASH (OVER/SHORT)</v>
      </c>
      <c r="C195" s="11"/>
      <c r="D195" s="6">
        <v>-63.63</v>
      </c>
      <c r="E195" s="2"/>
      <c r="F195" s="7">
        <f t="shared" si="29"/>
        <v>-1.9856323041673883E-5</v>
      </c>
      <c r="G195" s="2"/>
      <c r="H195" s="6">
        <v>125</v>
      </c>
      <c r="I195" s="2"/>
      <c r="J195" s="7">
        <f t="shared" si="30"/>
        <v>3.8971634946029107E-5</v>
      </c>
      <c r="K195" s="2"/>
      <c r="L195" s="6">
        <f t="shared" si="31"/>
        <v>-188.63</v>
      </c>
      <c r="M195" s="2"/>
      <c r="N195" s="7">
        <f t="shared" si="32"/>
        <v>-1.5090399999999999</v>
      </c>
      <c r="O195" s="11"/>
      <c r="P195" s="6">
        <v>-82.33</v>
      </c>
      <c r="Q195" s="2"/>
      <c r="R195" s="7">
        <f t="shared" si="33"/>
        <v>-2.0966199588227197E-5</v>
      </c>
      <c r="S195" s="2"/>
      <c r="T195" s="6">
        <v>250</v>
      </c>
      <c r="U195" s="2"/>
      <c r="V195" s="7">
        <f t="shared" si="34"/>
        <v>6.2407271586826447E-5</v>
      </c>
      <c r="W195" s="2"/>
      <c r="X195" s="6">
        <f t="shared" si="35"/>
        <v>-332.33</v>
      </c>
      <c r="Y195" s="2"/>
      <c r="Z195" s="7">
        <f t="shared" si="36"/>
        <v>-1.3293199999999998</v>
      </c>
    </row>
    <row r="196" spans="1:26" s="24" customFormat="1" hidden="1" outlineLevel="2" x14ac:dyDescent="0.25">
      <c r="A196" s="27"/>
      <c r="B196" s="11" t="str">
        <f>CONCATENATE("          ", "6342", " - ", "BAD DEBT")</f>
        <v xml:space="preserve">          6342 - BAD DEBT</v>
      </c>
      <c r="C196" s="11"/>
      <c r="D196" s="6"/>
      <c r="E196" s="2"/>
      <c r="F196" s="7">
        <f t="shared" si="29"/>
        <v>0</v>
      </c>
      <c r="G196" s="2"/>
      <c r="H196" s="6">
        <v>10</v>
      </c>
      <c r="I196" s="2"/>
      <c r="J196" s="7">
        <f t="shared" si="30"/>
        <v>3.1177307956823285E-6</v>
      </c>
      <c r="K196" s="2"/>
      <c r="L196" s="6">
        <f t="shared" si="31"/>
        <v>-10</v>
      </c>
      <c r="M196" s="2"/>
      <c r="N196" s="7">
        <f t="shared" si="32"/>
        <v>-1</v>
      </c>
      <c r="O196" s="11"/>
      <c r="P196" s="6"/>
      <c r="Q196" s="2"/>
      <c r="R196" s="7">
        <f t="shared" si="33"/>
        <v>0</v>
      </c>
      <c r="S196" s="2"/>
      <c r="T196" s="6">
        <v>20</v>
      </c>
      <c r="U196" s="2"/>
      <c r="V196" s="7">
        <f t="shared" si="34"/>
        <v>4.9925817269461166E-6</v>
      </c>
      <c r="W196" s="2"/>
      <c r="X196" s="6">
        <f t="shared" si="35"/>
        <v>-20</v>
      </c>
      <c r="Y196" s="2"/>
      <c r="Z196" s="7">
        <f t="shared" si="36"/>
        <v>-1</v>
      </c>
    </row>
    <row r="197" spans="1:26" s="26" customFormat="1" outlineLevel="1" collapsed="1" x14ac:dyDescent="0.25">
      <c r="A197" s="25"/>
      <c r="B197" s="13" t="str">
        <f>CONCATENATE("     ","Bank/card Fees                                    ")</f>
        <v xml:space="preserve">     Bank/card Fees                                    </v>
      </c>
      <c r="C197" s="13"/>
      <c r="D197" s="1">
        <f>SUM(OSRRefD22_4x_0)</f>
        <v>33669.619999999995</v>
      </c>
      <c r="E197" s="1"/>
      <c r="F197" s="5">
        <f t="shared" ref="F197:F202" si="37">IF(D$12=0,0,D197/D$12)</f>
        <v>1.0506912641999114E-2</v>
      </c>
      <c r="G197" s="1"/>
      <c r="H197" s="1">
        <f>SUM(OSRRefH22_4x_0)</f>
        <v>30625</v>
      </c>
      <c r="I197" s="1"/>
      <c r="J197" s="5">
        <f t="shared" ref="J197:J202" si="38">IF(H$12=0,0,H197/H$12)</f>
        <v>9.5480505617771307E-3</v>
      </c>
      <c r="K197" s="1"/>
      <c r="L197" s="1">
        <f t="shared" ref="L197:L202" si="39">+D197-H197</f>
        <v>3044.6199999999953</v>
      </c>
      <c r="M197" s="1"/>
      <c r="N197" s="5">
        <f t="shared" ref="N197:N202" si="40">IF(H197=0,0,L197/H197)</f>
        <v>9.9416163265305973E-2</v>
      </c>
      <c r="O197" s="13"/>
      <c r="P197" s="1">
        <f>SUM(OSRRefP22_4x_0)</f>
        <v>39455.51</v>
      </c>
      <c r="Q197" s="1"/>
      <c r="R197" s="5">
        <f t="shared" ref="R197:R202" si="41">IF(P$12=0,0,P197/P$12)</f>
        <v>1.0047760203027986E-2</v>
      </c>
      <c r="S197" s="1"/>
      <c r="T197" s="1">
        <f>SUM(OSRRefT22_4x_0)</f>
        <v>35625</v>
      </c>
      <c r="U197" s="1"/>
      <c r="V197" s="5">
        <f t="shared" ref="V197:V202" si="42">IF(T$12=0,0,T197/T$12)</f>
        <v>8.8930362011227695E-3</v>
      </c>
      <c r="W197" s="1"/>
      <c r="X197" s="1">
        <f t="shared" ref="X197:X202" si="43">+P197-T197</f>
        <v>3830.510000000002</v>
      </c>
      <c r="Y197" s="1"/>
      <c r="Z197" s="5">
        <f t="shared" ref="Z197:Z202" si="44">IF(T197=0,0,X197/T197)</f>
        <v>0.1075230877192983</v>
      </c>
    </row>
    <row r="198" spans="1:26" s="24" customFormat="1" hidden="1" outlineLevel="2" x14ac:dyDescent="0.25">
      <c r="A198" s="27"/>
      <c r="B198" s="11" t="str">
        <f>CONCATENATE("          ", "6381", " - ", "BANK/CREDIT CARD FEES")</f>
        <v xml:space="preserve">          6381 - BANK/CREDIT CARD FEES</v>
      </c>
      <c r="C198" s="11"/>
      <c r="D198" s="6">
        <v>33669.619999999995</v>
      </c>
      <c r="E198" s="2"/>
      <c r="F198" s="7">
        <f t="shared" si="37"/>
        <v>1.0506912641999114E-2</v>
      </c>
      <c r="G198" s="2"/>
      <c r="H198" s="6">
        <v>30625</v>
      </c>
      <c r="I198" s="2"/>
      <c r="J198" s="7">
        <f t="shared" si="38"/>
        <v>9.5480505617771307E-3</v>
      </c>
      <c r="K198" s="2"/>
      <c r="L198" s="6">
        <f t="shared" si="39"/>
        <v>3044.6199999999953</v>
      </c>
      <c r="M198" s="2"/>
      <c r="N198" s="7">
        <f t="shared" si="40"/>
        <v>9.9416163265305973E-2</v>
      </c>
      <c r="O198" s="11"/>
      <c r="P198" s="6">
        <v>39455.51</v>
      </c>
      <c r="Q198" s="2"/>
      <c r="R198" s="7">
        <f t="shared" si="41"/>
        <v>1.0047760203027986E-2</v>
      </c>
      <c r="S198" s="2"/>
      <c r="T198" s="6">
        <v>35625</v>
      </c>
      <c r="U198" s="2"/>
      <c r="V198" s="7">
        <f t="shared" si="42"/>
        <v>8.8930362011227695E-3</v>
      </c>
      <c r="W198" s="2"/>
      <c r="X198" s="6">
        <f t="shared" si="43"/>
        <v>3830.510000000002</v>
      </c>
      <c r="Y198" s="2"/>
      <c r="Z198" s="7">
        <f t="shared" si="44"/>
        <v>0.1075230877192983</v>
      </c>
    </row>
    <row r="199" spans="1:26" s="26" customFormat="1" outlineLevel="1" collapsed="1" x14ac:dyDescent="0.25">
      <c r="A199" s="25"/>
      <c r="B199" s="13" t="str">
        <f>CONCATENATE("     ","Depreciation                                      ")</f>
        <v xml:space="preserve">     Depreciation                                      </v>
      </c>
      <c r="C199" s="13"/>
      <c r="D199" s="1">
        <f>SUM(OSRRefD22_5x_0)</f>
        <v>29887.870000000003</v>
      </c>
      <c r="E199" s="1"/>
      <c r="F199" s="5">
        <f t="shared" si="37"/>
        <v>9.3267829914749894E-3</v>
      </c>
      <c r="G199" s="1"/>
      <c r="H199" s="1">
        <f>SUM(OSRRefH22_5x_0)</f>
        <v>30202</v>
      </c>
      <c r="I199" s="1"/>
      <c r="J199" s="5">
        <f t="shared" si="38"/>
        <v>9.4161705491197685E-3</v>
      </c>
      <c r="K199" s="1"/>
      <c r="L199" s="1">
        <f t="shared" si="39"/>
        <v>-314.12999999999738</v>
      </c>
      <c r="M199" s="1"/>
      <c r="N199" s="5">
        <f t="shared" si="40"/>
        <v>-1.0400966823389092E-2</v>
      </c>
      <c r="O199" s="13"/>
      <c r="P199" s="1">
        <f>SUM(OSRRefP22_5x_0)</f>
        <v>59775.740000000005</v>
      </c>
      <c r="Q199" s="1"/>
      <c r="R199" s="5">
        <f t="shared" si="41"/>
        <v>1.5222520288764436E-2</v>
      </c>
      <c r="S199" s="1"/>
      <c r="T199" s="1">
        <f>SUM(OSRRefT22_5x_0)</f>
        <v>60404</v>
      </c>
      <c r="U199" s="1"/>
      <c r="V199" s="5">
        <f t="shared" si="42"/>
        <v>1.507859533172266E-2</v>
      </c>
      <c r="W199" s="1"/>
      <c r="X199" s="1">
        <f t="shared" si="43"/>
        <v>-628.25999999999476</v>
      </c>
      <c r="Y199" s="1"/>
      <c r="Z199" s="5">
        <f t="shared" si="44"/>
        <v>-1.0400966823389092E-2</v>
      </c>
    </row>
    <row r="200" spans="1:26" s="24" customFormat="1" hidden="1" outlineLevel="2" x14ac:dyDescent="0.25">
      <c r="A200" s="27"/>
      <c r="B200" s="11" t="str">
        <f>CONCATENATE("          ", "6321", " - ", "BUILDING DEPRECIATION")</f>
        <v xml:space="preserve">          6321 - BUILDING DEPRECIATION</v>
      </c>
      <c r="C200" s="11"/>
      <c r="D200" s="6">
        <v>16396.52</v>
      </c>
      <c r="E200" s="2"/>
      <c r="F200" s="7">
        <f t="shared" si="37"/>
        <v>5.1166839207805537E-3</v>
      </c>
      <c r="G200" s="2"/>
      <c r="H200" s="6">
        <v>16453</v>
      </c>
      <c r="I200" s="2"/>
      <c r="J200" s="7">
        <f t="shared" si="38"/>
        <v>5.1296024781361353E-3</v>
      </c>
      <c r="K200" s="2"/>
      <c r="L200" s="6">
        <f t="shared" si="39"/>
        <v>-56.479999999999563</v>
      </c>
      <c r="M200" s="2"/>
      <c r="N200" s="7">
        <f t="shared" si="40"/>
        <v>-3.432808606333165E-3</v>
      </c>
      <c r="O200" s="11"/>
      <c r="P200" s="6">
        <v>32793.040000000001</v>
      </c>
      <c r="Q200" s="2"/>
      <c r="R200" s="7">
        <f t="shared" si="41"/>
        <v>8.3510922111589697E-3</v>
      </c>
      <c r="S200" s="2"/>
      <c r="T200" s="6">
        <v>32906</v>
      </c>
      <c r="U200" s="2"/>
      <c r="V200" s="7">
        <f t="shared" si="42"/>
        <v>8.2142947153444456E-3</v>
      </c>
      <c r="W200" s="2"/>
      <c r="X200" s="6">
        <f t="shared" si="43"/>
        <v>-112.95999999999913</v>
      </c>
      <c r="Y200" s="2"/>
      <c r="Z200" s="7">
        <f t="shared" si="44"/>
        <v>-3.432808606333165E-3</v>
      </c>
    </row>
    <row r="201" spans="1:26" s="24" customFormat="1" hidden="1" outlineLevel="2" x14ac:dyDescent="0.25">
      <c r="A201" s="27"/>
      <c r="B201" s="11" t="str">
        <f>CONCATENATE("          ", "6322", " - ", "EQUIPMENT DEPRECIATION EXPENSE")</f>
        <v xml:space="preserve">          6322 - EQUIPMENT DEPRECIATION EXPENSE</v>
      </c>
      <c r="C201" s="11"/>
      <c r="D201" s="6">
        <v>13491.35</v>
      </c>
      <c r="E201" s="2"/>
      <c r="F201" s="7">
        <f t="shared" si="37"/>
        <v>4.2100990706944357E-3</v>
      </c>
      <c r="G201" s="2"/>
      <c r="H201" s="6">
        <v>13049</v>
      </c>
      <c r="I201" s="2"/>
      <c r="J201" s="7">
        <f t="shared" si="38"/>
        <v>4.0683269152858702E-3</v>
      </c>
      <c r="K201" s="2"/>
      <c r="L201" s="6">
        <f t="shared" si="39"/>
        <v>442.35000000000036</v>
      </c>
      <c r="M201" s="2"/>
      <c r="N201" s="7">
        <f t="shared" si="40"/>
        <v>3.3899149360104248E-2</v>
      </c>
      <c r="O201" s="11"/>
      <c r="P201" s="6">
        <v>26982.7</v>
      </c>
      <c r="Q201" s="2"/>
      <c r="R201" s="7">
        <f t="shared" si="41"/>
        <v>6.8714280776054661E-3</v>
      </c>
      <c r="S201" s="2"/>
      <c r="T201" s="6">
        <v>26098</v>
      </c>
      <c r="U201" s="2"/>
      <c r="V201" s="7">
        <f t="shared" si="42"/>
        <v>6.5148198954919868E-3</v>
      </c>
      <c r="W201" s="2"/>
      <c r="X201" s="6">
        <f t="shared" si="43"/>
        <v>884.70000000000073</v>
      </c>
      <c r="Y201" s="2"/>
      <c r="Z201" s="7">
        <f t="shared" si="44"/>
        <v>3.3899149360104248E-2</v>
      </c>
    </row>
    <row r="202" spans="1:26" s="24" customFormat="1" hidden="1" outlineLevel="2" x14ac:dyDescent="0.25">
      <c r="A202" s="27"/>
      <c r="B202" s="11" t="str">
        <f>CONCATENATE("          ", "6324", " - ", "FURNITURE + FIXT DEPRECIATION")</f>
        <v xml:space="preserve">          6324 - FURNITURE + FIXT DEPRECIATION</v>
      </c>
      <c r="C202" s="11"/>
      <c r="D202" s="6"/>
      <c r="E202" s="2"/>
      <c r="F202" s="7">
        <f t="shared" si="37"/>
        <v>0</v>
      </c>
      <c r="G202" s="2"/>
      <c r="H202" s="6">
        <v>700</v>
      </c>
      <c r="I202" s="2"/>
      <c r="J202" s="7">
        <f t="shared" si="38"/>
        <v>2.1824115569776299E-4</v>
      </c>
      <c r="K202" s="2"/>
      <c r="L202" s="6">
        <f t="shared" si="39"/>
        <v>-700</v>
      </c>
      <c r="M202" s="2"/>
      <c r="N202" s="7">
        <f t="shared" si="40"/>
        <v>-1</v>
      </c>
      <c r="O202" s="11"/>
      <c r="P202" s="6"/>
      <c r="Q202" s="2"/>
      <c r="R202" s="7">
        <f t="shared" si="41"/>
        <v>0</v>
      </c>
      <c r="S202" s="2"/>
      <c r="T202" s="6">
        <v>1400</v>
      </c>
      <c r="U202" s="2"/>
      <c r="V202" s="7">
        <f t="shared" si="42"/>
        <v>3.4948072088622815E-4</v>
      </c>
      <c r="W202" s="2"/>
      <c r="X202" s="6">
        <f t="shared" si="43"/>
        <v>-1400</v>
      </c>
      <c r="Y202" s="2"/>
      <c r="Z202" s="7">
        <f t="shared" si="44"/>
        <v>-1</v>
      </c>
    </row>
    <row r="203" spans="1:26" s="26" customFormat="1" outlineLevel="1" collapsed="1" x14ac:dyDescent="0.25">
      <c r="A203" s="25"/>
      <c r="B203" s="13" t="str">
        <f>CONCATENATE("     ","Discounts and Markdowns                           ")</f>
        <v xml:space="preserve">     Discounts and Markdowns                           </v>
      </c>
      <c r="C203" s="13"/>
      <c r="D203" s="1">
        <f>SUM(OSRRefD22_6x_0)</f>
        <v>91708.719999999987</v>
      </c>
      <c r="E203" s="1"/>
      <c r="F203" s="5">
        <f t="shared" ref="F203:F205" si="45">IF(D$12=0,0,D203/D$12)</f>
        <v>2.8618544241056389E-2</v>
      </c>
      <c r="G203" s="1"/>
      <c r="H203" s="1">
        <f>SUM(OSRRefH22_6x_0)</f>
        <v>34225</v>
      </c>
      <c r="I203" s="1"/>
      <c r="J203" s="5">
        <f t="shared" ref="J203:J205" si="46">IF(H$12=0,0,H203/H$12)</f>
        <v>1.0670433648222769E-2</v>
      </c>
      <c r="K203" s="1"/>
      <c r="L203" s="1">
        <f t="shared" ref="L203:L205" si="47">+D203-H203</f>
        <v>57483.719999999987</v>
      </c>
      <c r="M203" s="1"/>
      <c r="N203" s="5">
        <f t="shared" ref="N203:N205" si="48">IF(H203=0,0,L203/H203)</f>
        <v>1.6795827611395175</v>
      </c>
      <c r="O203" s="13"/>
      <c r="P203" s="1">
        <f>SUM(OSRRefP22_6x_0)</f>
        <v>129102.58</v>
      </c>
      <c r="Q203" s="1"/>
      <c r="R203" s="5">
        <f t="shared" ref="R203:R205" si="49">IF(P$12=0,0,P203/P$12)</f>
        <v>3.2877328551379432E-2</v>
      </c>
      <c r="S203" s="1"/>
      <c r="T203" s="1">
        <f>SUM(OSRRefT22_6x_0)</f>
        <v>57450</v>
      </c>
      <c r="U203" s="1"/>
      <c r="V203" s="5">
        <f t="shared" ref="V203:V205" si="50">IF(T$12=0,0,T203/T$12)</f>
        <v>1.434119101065272E-2</v>
      </c>
      <c r="W203" s="1"/>
      <c r="X203" s="1">
        <f t="shared" ref="X203:X205" si="51">+P203-T203</f>
        <v>71652.58</v>
      </c>
      <c r="Y203" s="1"/>
      <c r="Z203" s="5">
        <f t="shared" ref="Z203:Z205" si="52">IF(T203=0,0,X203/T203)</f>
        <v>1.24721636205396</v>
      </c>
    </row>
    <row r="204" spans="1:26" s="24" customFormat="1" hidden="1" outlineLevel="2" x14ac:dyDescent="0.25">
      <c r="A204" s="27"/>
      <c r="B204" s="11" t="str">
        <f>CONCATENATE("          ", "6382", " - ", "DISCOUNTS/MARK DOWNS")</f>
        <v xml:space="preserve">          6382 - DISCOUNTS/MARK DOWNS</v>
      </c>
      <c r="C204" s="11"/>
      <c r="D204" s="6">
        <v>92514.569999999992</v>
      </c>
      <c r="E204" s="2"/>
      <c r="F204" s="7">
        <f t="shared" si="45"/>
        <v>2.8870017098562802E-2</v>
      </c>
      <c r="G204" s="2"/>
      <c r="H204" s="6">
        <v>34225</v>
      </c>
      <c r="I204" s="2"/>
      <c r="J204" s="7">
        <f t="shared" si="46"/>
        <v>1.0670433648222769E-2</v>
      </c>
      <c r="K204" s="2"/>
      <c r="L204" s="6">
        <f t="shared" si="47"/>
        <v>58289.569999999992</v>
      </c>
      <c r="M204" s="2"/>
      <c r="N204" s="7">
        <f t="shared" si="48"/>
        <v>1.7031284149013877</v>
      </c>
      <c r="O204" s="11"/>
      <c r="P204" s="6">
        <v>130352.14</v>
      </c>
      <c r="Q204" s="2"/>
      <c r="R204" s="7">
        <f t="shared" si="49"/>
        <v>3.3195542135218435E-2</v>
      </c>
      <c r="S204" s="2"/>
      <c r="T204" s="6">
        <v>57450</v>
      </c>
      <c r="U204" s="2"/>
      <c r="V204" s="7">
        <f t="shared" si="50"/>
        <v>1.434119101065272E-2</v>
      </c>
      <c r="W204" s="2"/>
      <c r="X204" s="6">
        <f t="shared" si="51"/>
        <v>72902.14</v>
      </c>
      <c r="Y204" s="2"/>
      <c r="Z204" s="7">
        <f t="shared" si="52"/>
        <v>1.2689667536988685</v>
      </c>
    </row>
    <row r="205" spans="1:26" s="24" customFormat="1" hidden="1" outlineLevel="2" x14ac:dyDescent="0.25">
      <c r="A205" s="27"/>
      <c r="B205" s="11" t="str">
        <f>CONCATENATE("          ", "9175", " - ", "EARNED DISCOUNTS")</f>
        <v xml:space="preserve">          9175 - EARNED DISCOUNTS</v>
      </c>
      <c r="C205" s="11"/>
      <c r="D205" s="6">
        <v>-805.85</v>
      </c>
      <c r="E205" s="2"/>
      <c r="F205" s="7">
        <f t="shared" si="45"/>
        <v>-2.5147285750641048E-4</v>
      </c>
      <c r="G205" s="2"/>
      <c r="H205" s="6"/>
      <c r="I205" s="2"/>
      <c r="J205" s="7">
        <f t="shared" si="46"/>
        <v>0</v>
      </c>
      <c r="K205" s="2"/>
      <c r="L205" s="6">
        <f t="shared" si="47"/>
        <v>-805.85</v>
      </c>
      <c r="M205" s="2"/>
      <c r="N205" s="7">
        <f t="shared" si="48"/>
        <v>0</v>
      </c>
      <c r="O205" s="11"/>
      <c r="P205" s="6">
        <v>-1249.56</v>
      </c>
      <c r="Q205" s="2"/>
      <c r="R205" s="7">
        <f t="shared" si="49"/>
        <v>-3.182135838390037E-4</v>
      </c>
      <c r="S205" s="2"/>
      <c r="T205" s="6"/>
      <c r="U205" s="2"/>
      <c r="V205" s="7">
        <f t="shared" si="50"/>
        <v>0</v>
      </c>
      <c r="W205" s="2"/>
      <c r="X205" s="6">
        <f t="shared" si="51"/>
        <v>-1249.56</v>
      </c>
      <c r="Y205" s="2"/>
      <c r="Z205" s="7">
        <f t="shared" si="52"/>
        <v>0</v>
      </c>
    </row>
    <row r="206" spans="1:26" s="26" customFormat="1" outlineLevel="1" collapsed="1" x14ac:dyDescent="0.25">
      <c r="A206" s="25"/>
      <c r="B206" s="13" t="str">
        <f>CONCATENATE("     ","Donations                                         ")</f>
        <v xml:space="preserve">     Donations                                         </v>
      </c>
      <c r="C206" s="13"/>
      <c r="D206" s="1">
        <f>SUM(OSRRefD22_7x_0)</f>
        <v>2691.56</v>
      </c>
      <c r="E206" s="1"/>
      <c r="F206" s="5">
        <f t="shared" ref="F206:F208" si="53">IF(D$12=0,0,D206/D$12)</f>
        <v>8.3992589731333891E-4</v>
      </c>
      <c r="G206" s="1"/>
      <c r="H206" s="1">
        <f>SUM(OSRRefH22_7x_0)</f>
        <v>1025</v>
      </c>
      <c r="I206" s="1"/>
      <c r="J206" s="5">
        <f t="shared" ref="J206:J208" si="54">IF(H$12=0,0,H206/H$12)</f>
        <v>3.1956740655743869E-4</v>
      </c>
      <c r="K206" s="1"/>
      <c r="L206" s="1">
        <f t="shared" ref="L206:L208" si="55">+D206-H206</f>
        <v>1666.56</v>
      </c>
      <c r="M206" s="1"/>
      <c r="N206" s="5">
        <f t="shared" ref="N206:N208" si="56">IF(H206=0,0,L206/H206)</f>
        <v>1.6259121951219511</v>
      </c>
      <c r="O206" s="13"/>
      <c r="P206" s="1">
        <f>SUM(OSRRefP22_7x_0)</f>
        <v>3616.98</v>
      </c>
      <c r="Q206" s="1"/>
      <c r="R206" s="5">
        <f t="shared" ref="R206:R208" si="57">IF(P$12=0,0,P206/P$12)</f>
        <v>9.2110196267005957E-4</v>
      </c>
      <c r="S206" s="1"/>
      <c r="T206" s="1">
        <f>SUM(OSRRefT22_7x_0)</f>
        <v>2125</v>
      </c>
      <c r="U206" s="1"/>
      <c r="V206" s="5">
        <f t="shared" ref="V206:V208" si="58">IF(T$12=0,0,T206/T$12)</f>
        <v>5.3046180848802488E-4</v>
      </c>
      <c r="W206" s="1"/>
      <c r="X206" s="1">
        <f t="shared" ref="X206:X208" si="59">+P206-T206</f>
        <v>1491.98</v>
      </c>
      <c r="Y206" s="1"/>
      <c r="Z206" s="5">
        <f t="shared" ref="Z206:Z208" si="60">IF(T206=0,0,X206/T206)</f>
        <v>0.7021082352941177</v>
      </c>
    </row>
    <row r="207" spans="1:26" s="24" customFormat="1" hidden="1" outlineLevel="2" x14ac:dyDescent="0.25">
      <c r="A207" s="27"/>
      <c r="B207" s="11" t="str">
        <f>CONCATENATE("          ", "6395", " - ", "DONATION-OFF CAMPUS")</f>
        <v xml:space="preserve">          6395 - DONATION-OFF CAMPUS</v>
      </c>
      <c r="C207" s="11"/>
      <c r="D207" s="6"/>
      <c r="E207" s="2"/>
      <c r="F207" s="7">
        <f t="shared" si="53"/>
        <v>0</v>
      </c>
      <c r="G207" s="2"/>
      <c r="H207" s="6">
        <v>1025</v>
      </c>
      <c r="I207" s="2"/>
      <c r="J207" s="7">
        <f t="shared" si="54"/>
        <v>3.1956740655743869E-4</v>
      </c>
      <c r="K207" s="2"/>
      <c r="L207" s="6">
        <f t="shared" si="55"/>
        <v>-1025</v>
      </c>
      <c r="M207" s="2"/>
      <c r="N207" s="7">
        <f t="shared" si="56"/>
        <v>-1</v>
      </c>
      <c r="O207" s="11"/>
      <c r="P207" s="6"/>
      <c r="Q207" s="2"/>
      <c r="R207" s="7">
        <f t="shared" si="57"/>
        <v>0</v>
      </c>
      <c r="S207" s="2"/>
      <c r="T207" s="6">
        <v>2125</v>
      </c>
      <c r="U207" s="2"/>
      <c r="V207" s="7">
        <f t="shared" si="58"/>
        <v>5.3046180848802488E-4</v>
      </c>
      <c r="W207" s="2"/>
      <c r="X207" s="6">
        <f t="shared" si="59"/>
        <v>-2125</v>
      </c>
      <c r="Y207" s="2"/>
      <c r="Z207" s="7">
        <f t="shared" si="60"/>
        <v>-1</v>
      </c>
    </row>
    <row r="208" spans="1:26" s="24" customFormat="1" hidden="1" outlineLevel="2" x14ac:dyDescent="0.25">
      <c r="A208" s="27"/>
      <c r="B208" s="11" t="str">
        <f>CONCATENATE("          ", "6399", " - ", "DONATION-ON CAMPUS")</f>
        <v xml:space="preserve">          6399 - DONATION-ON CAMPUS</v>
      </c>
      <c r="C208" s="11"/>
      <c r="D208" s="6">
        <v>2691.56</v>
      </c>
      <c r="E208" s="2"/>
      <c r="F208" s="7">
        <f t="shared" si="53"/>
        <v>8.3992589731333891E-4</v>
      </c>
      <c r="G208" s="2"/>
      <c r="H208" s="6"/>
      <c r="I208" s="2"/>
      <c r="J208" s="7">
        <f t="shared" si="54"/>
        <v>0</v>
      </c>
      <c r="K208" s="2"/>
      <c r="L208" s="6">
        <f t="shared" si="55"/>
        <v>2691.56</v>
      </c>
      <c r="M208" s="2"/>
      <c r="N208" s="7">
        <f t="shared" si="56"/>
        <v>0</v>
      </c>
      <c r="O208" s="11"/>
      <c r="P208" s="6">
        <v>3616.98</v>
      </c>
      <c r="Q208" s="2"/>
      <c r="R208" s="7">
        <f t="shared" si="57"/>
        <v>9.2110196267005957E-4</v>
      </c>
      <c r="S208" s="2"/>
      <c r="T208" s="6"/>
      <c r="U208" s="2"/>
      <c r="V208" s="7">
        <f t="shared" si="58"/>
        <v>0</v>
      </c>
      <c r="W208" s="2"/>
      <c r="X208" s="6">
        <f t="shared" si="59"/>
        <v>3616.98</v>
      </c>
      <c r="Y208" s="2"/>
      <c r="Z208" s="7">
        <f t="shared" si="60"/>
        <v>0</v>
      </c>
    </row>
    <row r="209" spans="1:26" s="26" customFormat="1" outlineLevel="1" collapsed="1" x14ac:dyDescent="0.25">
      <c r="A209" s="25"/>
      <c r="B209" s="13" t="str">
        <f>CONCATENATE("     ","Employees' Appreciation                           ")</f>
        <v xml:space="preserve">     Employees' Appreciation                           </v>
      </c>
      <c r="C209" s="13"/>
      <c r="D209" s="1">
        <f>SUM(OSRRefD22_8x_0)</f>
        <v>57.33</v>
      </c>
      <c r="E209" s="1"/>
      <c r="F209" s="5">
        <f t="shared" ref="F209:F215" si="61">IF(D$12=0,0,D209/D$12)</f>
        <v>1.7890350463290329E-5</v>
      </c>
      <c r="G209" s="1"/>
      <c r="H209" s="1">
        <f>SUM(OSRRefH22_8x_0)</f>
        <v>715</v>
      </c>
      <c r="I209" s="1"/>
      <c r="J209" s="5">
        <f t="shared" ref="J209:J215" si="62">IF(H$12=0,0,H209/H$12)</f>
        <v>2.2291775189128648E-4</v>
      </c>
      <c r="K209" s="1"/>
      <c r="L209" s="1">
        <f t="shared" ref="L209:L215" si="63">+D209-H209</f>
        <v>-657.67</v>
      </c>
      <c r="M209" s="1"/>
      <c r="N209" s="5">
        <f t="shared" ref="N209:N215" si="64">IF(H209=0,0,L209/H209)</f>
        <v>-0.91981818181818176</v>
      </c>
      <c r="O209" s="13"/>
      <c r="P209" s="1">
        <f>SUM(OSRRefP22_8x_0)</f>
        <v>450.87</v>
      </c>
      <c r="Q209" s="1"/>
      <c r="R209" s="5">
        <f t="shared" ref="R209:R215" si="65">IF(P$12=0,0,P209/P$12)</f>
        <v>1.1481878304802618E-4</v>
      </c>
      <c r="S209" s="1"/>
      <c r="T209" s="1">
        <f>SUM(OSRRefT22_8x_0)</f>
        <v>1480</v>
      </c>
      <c r="U209" s="1"/>
      <c r="V209" s="5">
        <f t="shared" ref="V209:V215" si="66">IF(T$12=0,0,T209/T$12)</f>
        <v>3.6945104779401259E-4</v>
      </c>
      <c r="W209" s="1"/>
      <c r="X209" s="1">
        <f t="shared" ref="X209:X215" si="67">+P209-T209</f>
        <v>-1029.1300000000001</v>
      </c>
      <c r="Y209" s="1"/>
      <c r="Z209" s="5">
        <f t="shared" ref="Z209:Z215" si="68">IF(T209=0,0,X209/T209)</f>
        <v>-0.69535810810810816</v>
      </c>
    </row>
    <row r="210" spans="1:26" s="24" customFormat="1" hidden="1" outlineLevel="2" x14ac:dyDescent="0.25">
      <c r="A210" s="27"/>
      <c r="B210" s="11" t="str">
        <f>CONCATENATE("          ", "6277", " - ", "EMPLOYEE APPRECIATION")</f>
        <v xml:space="preserve">          6277 - EMPLOYEE APPRECIATION</v>
      </c>
      <c r="C210" s="11"/>
      <c r="D210" s="6">
        <v>57.33</v>
      </c>
      <c r="E210" s="2"/>
      <c r="F210" s="7">
        <f t="shared" si="61"/>
        <v>1.7890350463290329E-5</v>
      </c>
      <c r="G210" s="2"/>
      <c r="H210" s="6">
        <v>715</v>
      </c>
      <c r="I210" s="2"/>
      <c r="J210" s="7">
        <f t="shared" si="62"/>
        <v>2.2291775189128648E-4</v>
      </c>
      <c r="K210" s="2"/>
      <c r="L210" s="6">
        <f t="shared" si="63"/>
        <v>-657.67</v>
      </c>
      <c r="M210" s="2"/>
      <c r="N210" s="7">
        <f t="shared" si="64"/>
        <v>-0.91981818181818176</v>
      </c>
      <c r="O210" s="11"/>
      <c r="P210" s="6">
        <v>450.87</v>
      </c>
      <c r="Q210" s="2"/>
      <c r="R210" s="7">
        <f t="shared" si="65"/>
        <v>1.1481878304802618E-4</v>
      </c>
      <c r="S210" s="2"/>
      <c r="T210" s="6">
        <v>1480</v>
      </c>
      <c r="U210" s="2"/>
      <c r="V210" s="7">
        <f t="shared" si="66"/>
        <v>3.6945104779401259E-4</v>
      </c>
      <c r="W210" s="2"/>
      <c r="X210" s="6">
        <f t="shared" si="67"/>
        <v>-1029.1300000000001</v>
      </c>
      <c r="Y210" s="2"/>
      <c r="Z210" s="7">
        <f t="shared" si="68"/>
        <v>-0.69535810810810816</v>
      </c>
    </row>
    <row r="211" spans="1:26" s="26" customFormat="1" outlineLevel="1" collapsed="1" x14ac:dyDescent="0.25">
      <c r="A211" s="25"/>
      <c r="B211" s="13" t="str">
        <f>CONCATENATE("     ","Equipment Rental                                  ")</f>
        <v xml:space="preserve">     Equipment Rental                                  </v>
      </c>
      <c r="C211" s="13"/>
      <c r="D211" s="1">
        <f>SUM(OSRRefD22_9x_0)</f>
        <v>1296.9000000000001</v>
      </c>
      <c r="E211" s="1"/>
      <c r="F211" s="5">
        <f t="shared" si="61"/>
        <v>4.047094979215285E-4</v>
      </c>
      <c r="G211" s="1"/>
      <c r="H211" s="1">
        <f>SUM(OSRRefH22_9x_0)</f>
        <v>3225</v>
      </c>
      <c r="I211" s="1"/>
      <c r="J211" s="5">
        <f t="shared" si="62"/>
        <v>1.0054681816075509E-3</v>
      </c>
      <c r="K211" s="1"/>
      <c r="L211" s="1">
        <f t="shared" si="63"/>
        <v>-1928.1</v>
      </c>
      <c r="M211" s="1"/>
      <c r="N211" s="5">
        <f t="shared" si="64"/>
        <v>-0.59786046511627899</v>
      </c>
      <c r="O211" s="13"/>
      <c r="P211" s="1">
        <f>SUM(OSRRefP22_9x_0)</f>
        <v>2593.8000000000002</v>
      </c>
      <c r="Q211" s="1"/>
      <c r="R211" s="5">
        <f t="shared" si="65"/>
        <v>6.6053842453472249E-4</v>
      </c>
      <c r="S211" s="1"/>
      <c r="T211" s="1">
        <f>SUM(OSRRefT22_9x_0)</f>
        <v>6450</v>
      </c>
      <c r="U211" s="1"/>
      <c r="V211" s="5">
        <f t="shared" si="66"/>
        <v>1.6101076069401225E-3</v>
      </c>
      <c r="W211" s="1"/>
      <c r="X211" s="1">
        <f t="shared" si="67"/>
        <v>-3856.2</v>
      </c>
      <c r="Y211" s="1"/>
      <c r="Z211" s="5">
        <f t="shared" si="68"/>
        <v>-0.59786046511627899</v>
      </c>
    </row>
    <row r="212" spans="1:26" s="24" customFormat="1" hidden="1" outlineLevel="2" x14ac:dyDescent="0.25">
      <c r="A212" s="27"/>
      <c r="B212" s="11" t="str">
        <f>CONCATENATE("          ", "6351", " - ", "EQUIPMENT RENTAL")</f>
        <v xml:space="preserve">          6351 - EQUIPMENT RENTAL</v>
      </c>
      <c r="C212" s="11"/>
      <c r="D212" s="6">
        <v>1296.9000000000001</v>
      </c>
      <c r="E212" s="2"/>
      <c r="F212" s="7">
        <f t="shared" si="61"/>
        <v>4.047094979215285E-4</v>
      </c>
      <c r="G212" s="2"/>
      <c r="H212" s="6">
        <v>3225</v>
      </c>
      <c r="I212" s="2"/>
      <c r="J212" s="7">
        <f t="shared" si="62"/>
        <v>1.0054681816075509E-3</v>
      </c>
      <c r="K212" s="2"/>
      <c r="L212" s="6">
        <f t="shared" si="63"/>
        <v>-1928.1</v>
      </c>
      <c r="M212" s="2"/>
      <c r="N212" s="7">
        <f t="shared" si="64"/>
        <v>-0.59786046511627899</v>
      </c>
      <c r="O212" s="11"/>
      <c r="P212" s="6">
        <v>2593.8000000000002</v>
      </c>
      <c r="Q212" s="2"/>
      <c r="R212" s="7">
        <f t="shared" si="65"/>
        <v>6.6053842453472249E-4</v>
      </c>
      <c r="S212" s="2"/>
      <c r="T212" s="6">
        <v>6450</v>
      </c>
      <c r="U212" s="2"/>
      <c r="V212" s="7">
        <f t="shared" si="66"/>
        <v>1.6101076069401225E-3</v>
      </c>
      <c r="W212" s="2"/>
      <c r="X212" s="6">
        <f t="shared" si="67"/>
        <v>-3856.2</v>
      </c>
      <c r="Y212" s="2"/>
      <c r="Z212" s="7">
        <f t="shared" si="68"/>
        <v>-0.59786046511627899</v>
      </c>
    </row>
    <row r="213" spans="1:26" s="26" customFormat="1" outlineLevel="1" collapsed="1" x14ac:dyDescent="0.25">
      <c r="A213" s="25"/>
      <c r="B213" s="13" t="str">
        <f>CONCATENATE("     ","Freight out/Postage                               ")</f>
        <v xml:space="preserve">     Freight out/Postage                               </v>
      </c>
      <c r="C213" s="13"/>
      <c r="D213" s="1">
        <f>SUM(OSRRefD22_10x_0)</f>
        <v>-12904.009999999998</v>
      </c>
      <c r="E213" s="1"/>
      <c r="F213" s="5">
        <f t="shared" si="61"/>
        <v>-4.0268142557439912E-3</v>
      </c>
      <c r="G213" s="1"/>
      <c r="H213" s="1">
        <f>SUM(OSRRefH22_10x_0)</f>
        <v>-2185</v>
      </c>
      <c r="I213" s="1"/>
      <c r="J213" s="5">
        <f t="shared" si="62"/>
        <v>-6.8122417885658874E-4</v>
      </c>
      <c r="K213" s="1"/>
      <c r="L213" s="1">
        <f t="shared" si="63"/>
        <v>-10719.009999999998</v>
      </c>
      <c r="M213" s="1"/>
      <c r="N213" s="5">
        <f t="shared" si="64"/>
        <v>4.9057254004576656</v>
      </c>
      <c r="O213" s="13"/>
      <c r="P213" s="1">
        <f>SUM(OSRRefP22_10x_0)</f>
        <v>-15135.839999999998</v>
      </c>
      <c r="Q213" s="1"/>
      <c r="R213" s="5">
        <f t="shared" si="65"/>
        <v>-3.854500696896304E-3</v>
      </c>
      <c r="S213" s="1"/>
      <c r="T213" s="1">
        <f>SUM(OSRRefT22_10x_0)</f>
        <v>-2870</v>
      </c>
      <c r="U213" s="1"/>
      <c r="V213" s="5">
        <f t="shared" si="66"/>
        <v>-7.1643547781676767E-4</v>
      </c>
      <c r="W213" s="1"/>
      <c r="X213" s="1">
        <f t="shared" si="67"/>
        <v>-12265.839999999998</v>
      </c>
      <c r="Y213" s="1"/>
      <c r="Z213" s="5">
        <f t="shared" si="68"/>
        <v>4.2738118466898944</v>
      </c>
    </row>
    <row r="214" spans="1:26" s="24" customFormat="1" hidden="1" outlineLevel="2" x14ac:dyDescent="0.25">
      <c r="A214" s="27"/>
      <c r="B214" s="11" t="str">
        <f>CONCATENATE("          ", "6305", " - ", "FREIGHT OUT")</f>
        <v xml:space="preserve">          6305 - FREIGHT OUT</v>
      </c>
      <c r="C214" s="11"/>
      <c r="D214" s="6">
        <v>2860.04</v>
      </c>
      <c r="E214" s="2"/>
      <c r="F214" s="7">
        <f t="shared" si="61"/>
        <v>8.9250162112382476E-4</v>
      </c>
      <c r="G214" s="2"/>
      <c r="H214" s="6">
        <v>-2225</v>
      </c>
      <c r="I214" s="2"/>
      <c r="J214" s="7">
        <f t="shared" si="62"/>
        <v>-6.9369510203931811E-4</v>
      </c>
      <c r="K214" s="2"/>
      <c r="L214" s="6">
        <f t="shared" si="63"/>
        <v>5085.04</v>
      </c>
      <c r="M214" s="2"/>
      <c r="N214" s="7">
        <f t="shared" si="64"/>
        <v>-2.2854112359550562</v>
      </c>
      <c r="O214" s="11"/>
      <c r="P214" s="6">
        <v>4277.76</v>
      </c>
      <c r="Q214" s="2"/>
      <c r="R214" s="7">
        <f t="shared" si="65"/>
        <v>1.0893765328620767E-3</v>
      </c>
      <c r="S214" s="2"/>
      <c r="T214" s="6">
        <v>-2950</v>
      </c>
      <c r="U214" s="2"/>
      <c r="V214" s="7">
        <f t="shared" si="66"/>
        <v>-7.3640580472455217E-4</v>
      </c>
      <c r="W214" s="2"/>
      <c r="X214" s="6">
        <f t="shared" si="67"/>
        <v>7227.76</v>
      </c>
      <c r="Y214" s="2"/>
      <c r="Z214" s="7">
        <f t="shared" si="68"/>
        <v>-2.4500881355932203</v>
      </c>
    </row>
    <row r="215" spans="1:26" s="24" customFormat="1" hidden="1" outlineLevel="2" x14ac:dyDescent="0.25">
      <c r="A215" s="27"/>
      <c r="B215" s="11" t="str">
        <f>CONCATENATE("          ", "6307", " - ", "POSTAGE")</f>
        <v xml:space="preserve">          6307 - POSTAGE</v>
      </c>
      <c r="C215" s="11"/>
      <c r="D215" s="6">
        <v>-15764.049999999997</v>
      </c>
      <c r="E215" s="2"/>
      <c r="F215" s="7">
        <f t="shared" si="61"/>
        <v>-4.9193158768678158E-3</v>
      </c>
      <c r="G215" s="2"/>
      <c r="H215" s="6">
        <v>40</v>
      </c>
      <c r="I215" s="2"/>
      <c r="J215" s="7">
        <f t="shared" si="62"/>
        <v>1.2470923182729314E-5</v>
      </c>
      <c r="K215" s="2"/>
      <c r="L215" s="6">
        <f t="shared" si="63"/>
        <v>-15804.049999999997</v>
      </c>
      <c r="M215" s="2"/>
      <c r="N215" s="7">
        <f t="shared" si="64"/>
        <v>-395.10124999999994</v>
      </c>
      <c r="O215" s="11"/>
      <c r="P215" s="6">
        <v>-19413.599999999999</v>
      </c>
      <c r="Q215" s="2"/>
      <c r="R215" s="7">
        <f t="shared" si="65"/>
        <v>-4.9438772297583809E-3</v>
      </c>
      <c r="S215" s="2"/>
      <c r="T215" s="6">
        <v>80</v>
      </c>
      <c r="U215" s="2"/>
      <c r="V215" s="7">
        <f t="shared" si="66"/>
        <v>1.9970326907784466E-5</v>
      </c>
      <c r="W215" s="2"/>
      <c r="X215" s="6">
        <f t="shared" si="67"/>
        <v>-19493.599999999999</v>
      </c>
      <c r="Y215" s="2"/>
      <c r="Z215" s="7">
        <f t="shared" si="68"/>
        <v>-243.67</v>
      </c>
    </row>
    <row r="216" spans="1:26" s="26" customFormat="1" outlineLevel="1" collapsed="1" x14ac:dyDescent="0.25">
      <c r="A216" s="25"/>
      <c r="B216" s="13" t="str">
        <f>CONCATENATE("     ","General                                           ")</f>
        <v xml:space="preserve">     General                                           </v>
      </c>
      <c r="C216" s="13"/>
      <c r="D216" s="1">
        <f>SUM(OSRRefD22_11x_0)</f>
        <v>-15111.76</v>
      </c>
      <c r="E216" s="1"/>
      <c r="F216" s="5">
        <f t="shared" ref="F216:F229" si="69">IF(D$12=0,0,D216/D$12)</f>
        <v>-4.7157628208116566E-3</v>
      </c>
      <c r="G216" s="1"/>
      <c r="H216" s="1">
        <f>SUM(OSRRefH22_11x_0)</f>
        <v>480</v>
      </c>
      <c r="I216" s="1"/>
      <c r="J216" s="5">
        <f t="shared" ref="J216:J229" si="70">IF(H$12=0,0,H216/H$12)</f>
        <v>1.4965107819275177E-4</v>
      </c>
      <c r="K216" s="1"/>
      <c r="L216" s="1">
        <f t="shared" ref="L216:L229" si="71">+D216-H216</f>
        <v>-15591.76</v>
      </c>
      <c r="M216" s="1"/>
      <c r="N216" s="5">
        <f t="shared" ref="N216:N229" si="72">IF(H216=0,0,L216/H216)</f>
        <v>-32.482833333333332</v>
      </c>
      <c r="O216" s="13"/>
      <c r="P216" s="1">
        <f>SUM(OSRRefP22_11x_0)</f>
        <v>-14335.58</v>
      </c>
      <c r="Q216" s="1"/>
      <c r="R216" s="5">
        <f t="shared" ref="R216:R229" si="73">IF(P$12=0,0,P216/P$12)</f>
        <v>-3.6507060791084421E-3</v>
      </c>
      <c r="S216" s="1"/>
      <c r="T216" s="1">
        <f>SUM(OSRRefT22_11x_0)</f>
        <v>980</v>
      </c>
      <c r="U216" s="1"/>
      <c r="V216" s="5">
        <f t="shared" ref="V216:V229" si="74">IF(T$12=0,0,T216/T$12)</f>
        <v>2.4463650462035972E-4</v>
      </c>
      <c r="W216" s="1"/>
      <c r="X216" s="1">
        <f t="shared" ref="X216:X229" si="75">+P216-T216</f>
        <v>-15315.58</v>
      </c>
      <c r="Y216" s="1"/>
      <c r="Z216" s="5">
        <f t="shared" ref="Z216:Z229" si="76">IF(T216=0,0,X216/T216)</f>
        <v>-15.628142857142857</v>
      </c>
    </row>
    <row r="217" spans="1:26" s="24" customFormat="1" hidden="1" outlineLevel="2" x14ac:dyDescent="0.25">
      <c r="A217" s="27"/>
      <c r="B217" s="11" t="str">
        <f>CONCATENATE("          ", "6279", " - ", "GENERAL EXPENSE")</f>
        <v xml:space="preserve">          6279 - GENERAL EXPENSE</v>
      </c>
      <c r="C217" s="11"/>
      <c r="D217" s="6">
        <v>-15111.76</v>
      </c>
      <c r="E217" s="2"/>
      <c r="F217" s="7">
        <f t="shared" si="69"/>
        <v>-4.7157628208116566E-3</v>
      </c>
      <c r="G217" s="2"/>
      <c r="H217" s="6">
        <v>480</v>
      </c>
      <c r="I217" s="2"/>
      <c r="J217" s="7">
        <f t="shared" si="70"/>
        <v>1.4965107819275177E-4</v>
      </c>
      <c r="K217" s="2"/>
      <c r="L217" s="6">
        <f t="shared" si="71"/>
        <v>-15591.76</v>
      </c>
      <c r="M217" s="2"/>
      <c r="N217" s="7">
        <f t="shared" si="72"/>
        <v>-32.482833333333332</v>
      </c>
      <c r="O217" s="11"/>
      <c r="P217" s="6">
        <v>-14335.58</v>
      </c>
      <c r="Q217" s="2"/>
      <c r="R217" s="7">
        <f t="shared" si="73"/>
        <v>-3.6507060791084421E-3</v>
      </c>
      <c r="S217" s="2"/>
      <c r="T217" s="6">
        <v>980</v>
      </c>
      <c r="U217" s="2"/>
      <c r="V217" s="7">
        <f t="shared" si="74"/>
        <v>2.4463650462035972E-4</v>
      </c>
      <c r="W217" s="2"/>
      <c r="X217" s="6">
        <f t="shared" si="75"/>
        <v>-15315.58</v>
      </c>
      <c r="Y217" s="2"/>
      <c r="Z217" s="7">
        <f t="shared" si="76"/>
        <v>-15.628142857142857</v>
      </c>
    </row>
    <row r="218" spans="1:26" s="26" customFormat="1" outlineLevel="1" collapsed="1" x14ac:dyDescent="0.25">
      <c r="A218" s="25"/>
      <c r="B218" s="13" t="str">
        <f>CONCATENATE("     ","Insurance                                         ")</f>
        <v xml:space="preserve">     Insurance                                         </v>
      </c>
      <c r="C218" s="13"/>
      <c r="D218" s="1">
        <f>SUM(OSRRefD22_12x_0)</f>
        <v>4044.74</v>
      </c>
      <c r="E218" s="1"/>
      <c r="F218" s="5">
        <f t="shared" si="69"/>
        <v>1.2621980836017605E-3</v>
      </c>
      <c r="G218" s="1"/>
      <c r="H218" s="1">
        <f>SUM(OSRRefH22_12x_0)</f>
        <v>3815</v>
      </c>
      <c r="I218" s="1"/>
      <c r="J218" s="5">
        <f t="shared" si="70"/>
        <v>1.1894142985528083E-3</v>
      </c>
      <c r="K218" s="1"/>
      <c r="L218" s="1">
        <f t="shared" si="71"/>
        <v>229.73999999999978</v>
      </c>
      <c r="M218" s="1"/>
      <c r="N218" s="5">
        <f t="shared" si="72"/>
        <v>6.0220183486238477E-2</v>
      </c>
      <c r="O218" s="13"/>
      <c r="P218" s="1">
        <f>SUM(OSRRefP22_12x_0)</f>
        <v>8089.48</v>
      </c>
      <c r="Q218" s="1"/>
      <c r="R218" s="5">
        <f t="shared" si="73"/>
        <v>2.060071082776292E-3</v>
      </c>
      <c r="S218" s="1"/>
      <c r="T218" s="1">
        <f>SUM(OSRRefT22_12x_0)</f>
        <v>7630</v>
      </c>
      <c r="U218" s="1"/>
      <c r="V218" s="5">
        <f t="shared" si="74"/>
        <v>1.9046699288299434E-3</v>
      </c>
      <c r="W218" s="1"/>
      <c r="X218" s="1">
        <f t="shared" si="75"/>
        <v>459.47999999999956</v>
      </c>
      <c r="Y218" s="1"/>
      <c r="Z218" s="5">
        <f t="shared" si="76"/>
        <v>6.0220183486238477E-2</v>
      </c>
    </row>
    <row r="219" spans="1:26" s="24" customFormat="1" hidden="1" outlineLevel="2" x14ac:dyDescent="0.25">
      <c r="A219" s="27"/>
      <c r="B219" s="11" t="str">
        <f>CONCATENATE("          ", "6314", " - ", "LIABILITY INSURANCE")</f>
        <v xml:space="preserve">          6314 - LIABILITY INSURANCE</v>
      </c>
      <c r="C219" s="11"/>
      <c r="D219" s="6">
        <v>4044.74</v>
      </c>
      <c r="E219" s="2"/>
      <c r="F219" s="7">
        <f t="shared" si="69"/>
        <v>1.2621980836017605E-3</v>
      </c>
      <c r="G219" s="2"/>
      <c r="H219" s="6">
        <v>3815</v>
      </c>
      <c r="I219" s="2"/>
      <c r="J219" s="7">
        <f t="shared" si="70"/>
        <v>1.1894142985528083E-3</v>
      </c>
      <c r="K219" s="2"/>
      <c r="L219" s="6">
        <f t="shared" si="71"/>
        <v>229.73999999999978</v>
      </c>
      <c r="M219" s="2"/>
      <c r="N219" s="7">
        <f t="shared" si="72"/>
        <v>6.0220183486238477E-2</v>
      </c>
      <c r="O219" s="11"/>
      <c r="P219" s="6">
        <v>8089.48</v>
      </c>
      <c r="Q219" s="2"/>
      <c r="R219" s="7">
        <f t="shared" si="73"/>
        <v>2.060071082776292E-3</v>
      </c>
      <c r="S219" s="2"/>
      <c r="T219" s="6">
        <v>7630</v>
      </c>
      <c r="U219" s="2"/>
      <c r="V219" s="7">
        <f t="shared" si="74"/>
        <v>1.9046699288299434E-3</v>
      </c>
      <c r="W219" s="2"/>
      <c r="X219" s="6">
        <f t="shared" si="75"/>
        <v>459.47999999999956</v>
      </c>
      <c r="Y219" s="2"/>
      <c r="Z219" s="7">
        <f t="shared" si="76"/>
        <v>6.0220183486238477E-2</v>
      </c>
    </row>
    <row r="220" spans="1:26" s="26" customFormat="1" outlineLevel="1" collapsed="1" x14ac:dyDescent="0.25">
      <c r="A220" s="25"/>
      <c r="B220" s="13" t="str">
        <f>CONCATENATE("     ","Inventory Adjustment                              ")</f>
        <v xml:space="preserve">     Inventory Adjustment                              </v>
      </c>
      <c r="C220" s="13"/>
      <c r="D220" s="1">
        <f>SUM(OSRRefD22_13x_0)</f>
        <v>4250</v>
      </c>
      <c r="E220" s="1"/>
      <c r="F220" s="5">
        <f t="shared" si="69"/>
        <v>1.326251342560333E-3</v>
      </c>
      <c r="G220" s="1"/>
      <c r="H220" s="1">
        <f>SUM(OSRRefH22_13x_0)</f>
        <v>4250</v>
      </c>
      <c r="I220" s="1"/>
      <c r="J220" s="5">
        <f t="shared" si="70"/>
        <v>1.3250355881649896E-3</v>
      </c>
      <c r="K220" s="1"/>
      <c r="L220" s="1">
        <f t="shared" si="71"/>
        <v>0</v>
      </c>
      <c r="M220" s="1"/>
      <c r="N220" s="5">
        <f t="shared" si="72"/>
        <v>0</v>
      </c>
      <c r="O220" s="13"/>
      <c r="P220" s="1">
        <f>SUM(OSRRefP22_13x_0)</f>
        <v>8400</v>
      </c>
      <c r="Q220" s="1"/>
      <c r="R220" s="5">
        <f t="shared" si="73"/>
        <v>2.1391482635868876E-3</v>
      </c>
      <c r="S220" s="1"/>
      <c r="T220" s="1">
        <f>SUM(OSRRefT22_13x_0)</f>
        <v>8400</v>
      </c>
      <c r="U220" s="1"/>
      <c r="V220" s="5">
        <f t="shared" si="74"/>
        <v>2.0968843253173688E-3</v>
      </c>
      <c r="W220" s="1"/>
      <c r="X220" s="1">
        <f t="shared" si="75"/>
        <v>0</v>
      </c>
      <c r="Y220" s="1"/>
      <c r="Z220" s="5">
        <f t="shared" si="76"/>
        <v>0</v>
      </c>
    </row>
    <row r="221" spans="1:26" s="24" customFormat="1" hidden="1" outlineLevel="2" x14ac:dyDescent="0.25">
      <c r="A221" s="27"/>
      <c r="B221" s="11" t="str">
        <f>CONCATENATE("          ", "6408", " - ", "INVENTORY ADJUSTMENT")</f>
        <v xml:space="preserve">          6408 - INVENTORY ADJUSTMENT</v>
      </c>
      <c r="C221" s="11"/>
      <c r="D221" s="6">
        <v>4250</v>
      </c>
      <c r="E221" s="2"/>
      <c r="F221" s="7">
        <f t="shared" si="69"/>
        <v>1.326251342560333E-3</v>
      </c>
      <c r="G221" s="2"/>
      <c r="H221" s="6">
        <v>4250</v>
      </c>
      <c r="I221" s="2"/>
      <c r="J221" s="7">
        <f t="shared" si="70"/>
        <v>1.3250355881649896E-3</v>
      </c>
      <c r="K221" s="2"/>
      <c r="L221" s="6">
        <f t="shared" si="71"/>
        <v>0</v>
      </c>
      <c r="M221" s="2"/>
      <c r="N221" s="7">
        <f t="shared" si="72"/>
        <v>0</v>
      </c>
      <c r="O221" s="11"/>
      <c r="P221" s="6">
        <v>8400</v>
      </c>
      <c r="Q221" s="2"/>
      <c r="R221" s="7">
        <f t="shared" si="73"/>
        <v>2.1391482635868876E-3</v>
      </c>
      <c r="S221" s="2"/>
      <c r="T221" s="6">
        <v>8400</v>
      </c>
      <c r="U221" s="2"/>
      <c r="V221" s="7">
        <f t="shared" si="74"/>
        <v>2.0968843253173688E-3</v>
      </c>
      <c r="W221" s="2"/>
      <c r="X221" s="6">
        <f t="shared" si="75"/>
        <v>0</v>
      </c>
      <c r="Y221" s="2"/>
      <c r="Z221" s="7">
        <f t="shared" si="76"/>
        <v>0</v>
      </c>
    </row>
    <row r="222" spans="1:26" s="26" customFormat="1" outlineLevel="1" collapsed="1" x14ac:dyDescent="0.25">
      <c r="A222" s="25"/>
      <c r="B222" s="13" t="str">
        <f>CONCATENATE("     ","Professional Services                             ")</f>
        <v xml:space="preserve">     Professional Services                             </v>
      </c>
      <c r="C222" s="13"/>
      <c r="D222" s="1">
        <f>SUM(OSRRefD22_14x_0)</f>
        <v>0</v>
      </c>
      <c r="E222" s="1"/>
      <c r="F222" s="5">
        <f t="shared" si="69"/>
        <v>0</v>
      </c>
      <c r="G222" s="1"/>
      <c r="H222" s="1">
        <f>SUM(OSRRefH22_14x_0)</f>
        <v>1015</v>
      </c>
      <c r="I222" s="1"/>
      <c r="J222" s="5">
        <f t="shared" si="70"/>
        <v>3.1644967576175635E-4</v>
      </c>
      <c r="K222" s="1"/>
      <c r="L222" s="1">
        <f t="shared" si="71"/>
        <v>-1015</v>
      </c>
      <c r="M222" s="1"/>
      <c r="N222" s="5">
        <f t="shared" si="72"/>
        <v>-1</v>
      </c>
      <c r="O222" s="13"/>
      <c r="P222" s="1">
        <f>SUM(OSRRefP22_14x_0)</f>
        <v>6158.41</v>
      </c>
      <c r="Q222" s="1"/>
      <c r="R222" s="5">
        <f t="shared" si="73"/>
        <v>1.568303816423348E-3</v>
      </c>
      <c r="S222" s="1"/>
      <c r="T222" s="1">
        <f>SUM(OSRRefT22_14x_0)</f>
        <v>4430</v>
      </c>
      <c r="U222" s="1"/>
      <c r="V222" s="5">
        <f t="shared" si="74"/>
        <v>1.1058568525185648E-3</v>
      </c>
      <c r="W222" s="1"/>
      <c r="X222" s="1">
        <f t="shared" si="75"/>
        <v>1728.4099999999999</v>
      </c>
      <c r="Y222" s="1"/>
      <c r="Z222" s="5">
        <f t="shared" si="76"/>
        <v>0.39016027088036115</v>
      </c>
    </row>
    <row r="223" spans="1:26" s="24" customFormat="1" hidden="1" outlineLevel="2" x14ac:dyDescent="0.25">
      <c r="A223" s="27"/>
      <c r="B223" s="11" t="str">
        <f>CONCATENATE("          ", "6336", " - ", "PROFESSIONAL SERVICES")</f>
        <v xml:space="preserve">          6336 - PROFESSIONAL SERVICES</v>
      </c>
      <c r="C223" s="11"/>
      <c r="D223" s="6"/>
      <c r="E223" s="2"/>
      <c r="F223" s="7">
        <f t="shared" si="69"/>
        <v>0</v>
      </c>
      <c r="G223" s="2"/>
      <c r="H223" s="6">
        <v>1015</v>
      </c>
      <c r="I223" s="2"/>
      <c r="J223" s="7">
        <f t="shared" si="70"/>
        <v>3.1644967576175635E-4</v>
      </c>
      <c r="K223" s="2"/>
      <c r="L223" s="6">
        <f t="shared" si="71"/>
        <v>-1015</v>
      </c>
      <c r="M223" s="2"/>
      <c r="N223" s="7">
        <f t="shared" si="72"/>
        <v>-1</v>
      </c>
      <c r="O223" s="11"/>
      <c r="P223" s="6">
        <v>6158.41</v>
      </c>
      <c r="Q223" s="2"/>
      <c r="R223" s="7">
        <f t="shared" si="73"/>
        <v>1.568303816423348E-3</v>
      </c>
      <c r="S223" s="2"/>
      <c r="T223" s="6">
        <v>4430</v>
      </c>
      <c r="U223" s="2"/>
      <c r="V223" s="7">
        <f t="shared" si="74"/>
        <v>1.1058568525185648E-3</v>
      </c>
      <c r="W223" s="2"/>
      <c r="X223" s="6">
        <f t="shared" si="75"/>
        <v>1728.4099999999999</v>
      </c>
      <c r="Y223" s="2"/>
      <c r="Z223" s="7">
        <f t="shared" si="76"/>
        <v>0.39016027088036115</v>
      </c>
    </row>
    <row r="224" spans="1:26" s="26" customFormat="1" outlineLevel="1" collapsed="1" x14ac:dyDescent="0.25">
      <c r="A224" s="25"/>
      <c r="B224" s="13" t="str">
        <f>CONCATENATE("     ","Rent                                              ")</f>
        <v xml:space="preserve">     Rent                                              </v>
      </c>
      <c r="C224" s="13"/>
      <c r="D224" s="1">
        <f>SUM(OSRRefD22_15x_0)</f>
        <v>6100</v>
      </c>
      <c r="E224" s="1"/>
      <c r="F224" s="5">
        <f t="shared" si="69"/>
        <v>1.9035607504983604E-3</v>
      </c>
      <c r="G224" s="1"/>
      <c r="H224" s="1">
        <f>SUM(OSRRefH22_15x_0)</f>
        <v>6400</v>
      </c>
      <c r="I224" s="1"/>
      <c r="J224" s="5">
        <f t="shared" si="70"/>
        <v>1.9953477092366904E-3</v>
      </c>
      <c r="K224" s="1"/>
      <c r="L224" s="1">
        <f t="shared" si="71"/>
        <v>-300</v>
      </c>
      <c r="M224" s="1"/>
      <c r="N224" s="5">
        <f t="shared" si="72"/>
        <v>-4.6875E-2</v>
      </c>
      <c r="O224" s="13"/>
      <c r="P224" s="1">
        <f>SUM(OSRRefP22_15x_0)</f>
        <v>12200</v>
      </c>
      <c r="Q224" s="1"/>
      <c r="R224" s="5">
        <f t="shared" si="73"/>
        <v>3.1068581923523841E-3</v>
      </c>
      <c r="S224" s="1"/>
      <c r="T224" s="1">
        <f>SUM(OSRRefT22_15x_0)</f>
        <v>12800</v>
      </c>
      <c r="U224" s="1"/>
      <c r="V224" s="5">
        <f t="shared" si="74"/>
        <v>3.1952523052455142E-3</v>
      </c>
      <c r="W224" s="1"/>
      <c r="X224" s="1">
        <f t="shared" si="75"/>
        <v>-600</v>
      </c>
      <c r="Y224" s="1"/>
      <c r="Z224" s="5">
        <f t="shared" si="76"/>
        <v>-4.6875E-2</v>
      </c>
    </row>
    <row r="225" spans="1:26" s="24" customFormat="1" hidden="1" outlineLevel="2" x14ac:dyDescent="0.25">
      <c r="A225" s="27"/>
      <c r="B225" s="11" t="str">
        <f>CONCATENATE("          ", "6273", " - ", "RENT")</f>
        <v xml:space="preserve">          6273 - RENT</v>
      </c>
      <c r="C225" s="11"/>
      <c r="D225" s="6">
        <v>6100</v>
      </c>
      <c r="E225" s="2"/>
      <c r="F225" s="7">
        <f t="shared" si="69"/>
        <v>1.9035607504983604E-3</v>
      </c>
      <c r="G225" s="2"/>
      <c r="H225" s="6">
        <v>6400</v>
      </c>
      <c r="I225" s="2"/>
      <c r="J225" s="7">
        <f t="shared" si="70"/>
        <v>1.9953477092366904E-3</v>
      </c>
      <c r="K225" s="2"/>
      <c r="L225" s="6">
        <f t="shared" si="71"/>
        <v>-300</v>
      </c>
      <c r="M225" s="2"/>
      <c r="N225" s="7">
        <f t="shared" si="72"/>
        <v>-4.6875E-2</v>
      </c>
      <c r="O225" s="11"/>
      <c r="P225" s="6">
        <v>12200</v>
      </c>
      <c r="Q225" s="2"/>
      <c r="R225" s="7">
        <f t="shared" si="73"/>
        <v>3.1068581923523841E-3</v>
      </c>
      <c r="S225" s="2"/>
      <c r="T225" s="6">
        <v>12800</v>
      </c>
      <c r="U225" s="2"/>
      <c r="V225" s="7">
        <f t="shared" si="74"/>
        <v>3.1952523052455142E-3</v>
      </c>
      <c r="W225" s="2"/>
      <c r="X225" s="6">
        <f t="shared" si="75"/>
        <v>-600</v>
      </c>
      <c r="Y225" s="2"/>
      <c r="Z225" s="7">
        <f t="shared" si="76"/>
        <v>-4.6875E-2</v>
      </c>
    </row>
    <row r="226" spans="1:26" s="26" customFormat="1" outlineLevel="1" collapsed="1" x14ac:dyDescent="0.25">
      <c r="A226" s="25"/>
      <c r="B226" s="13" t="str">
        <f>CONCATENATE("     ","Repair and Maintenance                            ")</f>
        <v xml:space="preserve">     Repair and Maintenance                            </v>
      </c>
      <c r="C226" s="13"/>
      <c r="D226" s="1">
        <f>SUM(OSRRefD22_16x_0)</f>
        <v>14932.49</v>
      </c>
      <c r="E226" s="1"/>
      <c r="F226" s="5">
        <f t="shared" si="69"/>
        <v>4.6598199788867641E-3</v>
      </c>
      <c r="G226" s="1"/>
      <c r="H226" s="1">
        <f>SUM(OSRRefH22_16x_0)</f>
        <v>14690</v>
      </c>
      <c r="I226" s="1"/>
      <c r="J226" s="5">
        <f t="shared" si="70"/>
        <v>4.5799465388573404E-3</v>
      </c>
      <c r="K226" s="1"/>
      <c r="L226" s="1">
        <f t="shared" si="71"/>
        <v>242.48999999999978</v>
      </c>
      <c r="M226" s="1"/>
      <c r="N226" s="5">
        <f t="shared" si="72"/>
        <v>1.6507147719537086E-2</v>
      </c>
      <c r="O226" s="13"/>
      <c r="P226" s="1">
        <f>SUM(OSRRefP22_16x_0)</f>
        <v>37677.800000000003</v>
      </c>
      <c r="Q226" s="1"/>
      <c r="R226" s="5">
        <f t="shared" si="73"/>
        <v>9.5950476721159573E-3</v>
      </c>
      <c r="S226" s="1"/>
      <c r="T226" s="1">
        <f>SUM(OSRRefT22_16x_0)</f>
        <v>71515</v>
      </c>
      <c r="U226" s="1"/>
      <c r="V226" s="5">
        <f t="shared" si="74"/>
        <v>1.7852224110127574E-2</v>
      </c>
      <c r="W226" s="1"/>
      <c r="X226" s="1">
        <f t="shared" si="75"/>
        <v>-33837.199999999997</v>
      </c>
      <c r="Y226" s="1"/>
      <c r="Z226" s="5">
        <f t="shared" si="76"/>
        <v>-0.47314829056841218</v>
      </c>
    </row>
    <row r="227" spans="1:26" s="24" customFormat="1" hidden="1" outlineLevel="2" x14ac:dyDescent="0.25">
      <c r="A227" s="27"/>
      <c r="B227" s="11" t="str">
        <f>CONCATENATE("          ", "6371", " - ", "COMPUTER SOFTWARE MAINTENANCE")</f>
        <v xml:space="preserve">          6371 - COMPUTER SOFTWARE MAINTENANCE</v>
      </c>
      <c r="C227" s="11"/>
      <c r="D227" s="6">
        <v>7887.25</v>
      </c>
      <c r="E227" s="2"/>
      <c r="F227" s="7">
        <f t="shared" si="69"/>
        <v>2.461288447437409E-3</v>
      </c>
      <c r="G227" s="2"/>
      <c r="H227" s="6"/>
      <c r="I227" s="2"/>
      <c r="J227" s="7">
        <f t="shared" si="70"/>
        <v>0</v>
      </c>
      <c r="K227" s="2"/>
      <c r="L227" s="6">
        <f t="shared" si="71"/>
        <v>7887.25</v>
      </c>
      <c r="M227" s="2"/>
      <c r="N227" s="7">
        <f t="shared" si="72"/>
        <v>0</v>
      </c>
      <c r="O227" s="11"/>
      <c r="P227" s="6">
        <v>8488.25</v>
      </c>
      <c r="Q227" s="2"/>
      <c r="R227" s="7">
        <f t="shared" si="73"/>
        <v>2.1616220533799283E-3</v>
      </c>
      <c r="S227" s="2"/>
      <c r="T227" s="6">
        <v>48535</v>
      </c>
      <c r="U227" s="2"/>
      <c r="V227" s="7">
        <f t="shared" si="74"/>
        <v>1.2115747705866488E-2</v>
      </c>
      <c r="W227" s="2"/>
      <c r="X227" s="6">
        <f t="shared" si="75"/>
        <v>-40046.75</v>
      </c>
      <c r="Y227" s="2"/>
      <c r="Z227" s="7">
        <f t="shared" si="76"/>
        <v>-0.82511074482332336</v>
      </c>
    </row>
    <row r="228" spans="1:26" s="24" customFormat="1" hidden="1" outlineLevel="2" x14ac:dyDescent="0.25">
      <c r="A228" s="27"/>
      <c r="B228" s="11" t="str">
        <f>CONCATENATE("          ", "6373", " - ", "MAINTENANCE CONTRACTS")</f>
        <v xml:space="preserve">          6373 - MAINTENANCE CONTRACTS</v>
      </c>
      <c r="C228" s="11"/>
      <c r="D228" s="6">
        <v>5896.58</v>
      </c>
      <c r="E228" s="2"/>
      <c r="F228" s="7">
        <f t="shared" si="69"/>
        <v>1.8400816803563315E-3</v>
      </c>
      <c r="G228" s="2"/>
      <c r="H228" s="6">
        <v>7115</v>
      </c>
      <c r="I228" s="2"/>
      <c r="J228" s="7">
        <f t="shared" si="70"/>
        <v>2.2182654611279766E-3</v>
      </c>
      <c r="K228" s="2"/>
      <c r="L228" s="6">
        <f t="shared" si="71"/>
        <v>-1218.42</v>
      </c>
      <c r="M228" s="2"/>
      <c r="N228" s="7">
        <f t="shared" si="72"/>
        <v>-0.17124666198172875</v>
      </c>
      <c r="O228" s="11"/>
      <c r="P228" s="6">
        <v>12375.44</v>
      </c>
      <c r="Q228" s="2"/>
      <c r="R228" s="7">
        <f t="shared" si="73"/>
        <v>3.1515358318004419E-3</v>
      </c>
      <c r="S228" s="2"/>
      <c r="T228" s="6">
        <v>14155</v>
      </c>
      <c r="U228" s="2"/>
      <c r="V228" s="7">
        <f t="shared" si="74"/>
        <v>3.5334997172461139E-3</v>
      </c>
      <c r="W228" s="2"/>
      <c r="X228" s="6">
        <f t="shared" si="75"/>
        <v>-1779.5599999999995</v>
      </c>
      <c r="Y228" s="2"/>
      <c r="Z228" s="7">
        <f t="shared" si="76"/>
        <v>-0.12571953373366299</v>
      </c>
    </row>
    <row r="229" spans="1:26" s="24" customFormat="1" hidden="1" outlineLevel="2" x14ac:dyDescent="0.25">
      <c r="A229" s="27"/>
      <c r="B229" s="11" t="str">
        <f>CONCATENATE("          ", "6375", " - ", "OUTSIDE REPAIRS &amp; MAINTENANCE")</f>
        <v xml:space="preserve">          6375 - OUTSIDE REPAIRS &amp; MAINTENANCE</v>
      </c>
      <c r="C229" s="11"/>
      <c r="D229" s="6">
        <v>1148.6600000000001</v>
      </c>
      <c r="E229" s="2"/>
      <c r="F229" s="7">
        <f t="shared" si="69"/>
        <v>3.5844985109302407E-4</v>
      </c>
      <c r="G229" s="2"/>
      <c r="H229" s="6">
        <v>7575</v>
      </c>
      <c r="I229" s="2"/>
      <c r="J229" s="7">
        <f t="shared" si="70"/>
        <v>2.3616810777293638E-3</v>
      </c>
      <c r="K229" s="2"/>
      <c r="L229" s="6">
        <f t="shared" si="71"/>
        <v>-6426.34</v>
      </c>
      <c r="M229" s="2"/>
      <c r="N229" s="7">
        <f t="shared" si="72"/>
        <v>-0.84836171617161715</v>
      </c>
      <c r="O229" s="11"/>
      <c r="P229" s="6">
        <v>16814.11</v>
      </c>
      <c r="Q229" s="2"/>
      <c r="R229" s="7">
        <f t="shared" si="73"/>
        <v>4.2818897869355858E-3</v>
      </c>
      <c r="S229" s="2"/>
      <c r="T229" s="6">
        <v>8825</v>
      </c>
      <c r="U229" s="2"/>
      <c r="V229" s="7">
        <f t="shared" si="74"/>
        <v>2.2029766870149737E-3</v>
      </c>
      <c r="W229" s="2"/>
      <c r="X229" s="6">
        <f t="shared" si="75"/>
        <v>7989.1100000000006</v>
      </c>
      <c r="Y229" s="2"/>
      <c r="Z229" s="7">
        <f t="shared" si="76"/>
        <v>0.9052815864022663</v>
      </c>
    </row>
    <row r="230" spans="1:26" s="26" customFormat="1" outlineLevel="1" collapsed="1" x14ac:dyDescent="0.25">
      <c r="A230" s="25"/>
      <c r="B230" s="13" t="str">
        <f>CONCATENATE("     ","Royalty &amp; Commissions                             ")</f>
        <v xml:space="preserve">     Royalty &amp; Commissions                             </v>
      </c>
      <c r="C230" s="13"/>
      <c r="D230" s="1">
        <f>SUM(OSRRefD22_17x_0)</f>
        <v>3785.57</v>
      </c>
      <c r="E230" s="1"/>
      <c r="F230" s="5">
        <f t="shared" ref="F230:F234" si="77">IF(D$12=0,0,D230/D$12)</f>
        <v>1.1813217164367343E-3</v>
      </c>
      <c r="G230" s="1"/>
      <c r="H230" s="1">
        <f>SUM(OSRRefH22_17x_0)</f>
        <v>16485</v>
      </c>
      <c r="I230" s="1"/>
      <c r="J230" s="5">
        <f t="shared" ref="J230:J234" si="78">IF(H$12=0,0,H230/H$12)</f>
        <v>5.1395792166823188E-3</v>
      </c>
      <c r="K230" s="1"/>
      <c r="L230" s="1">
        <f t="shared" ref="L230:L234" si="79">+D230-H230</f>
        <v>-12699.43</v>
      </c>
      <c r="M230" s="1"/>
      <c r="N230" s="5">
        <f t="shared" ref="N230:N234" si="80">IF(H230=0,0,L230/H230)</f>
        <v>-0.77036275401880494</v>
      </c>
      <c r="O230" s="13"/>
      <c r="P230" s="1">
        <f>SUM(OSRRefP22_17x_0)</f>
        <v>8871.619999999999</v>
      </c>
      <c r="Q230" s="1"/>
      <c r="R230" s="5">
        <f t="shared" ref="R230:R234" si="81">IF(P$12=0,0,P230/P$12)</f>
        <v>2.2592512521669881E-3</v>
      </c>
      <c r="S230" s="1"/>
      <c r="T230" s="1">
        <f>SUM(OSRRefT22_17x_0)</f>
        <v>32970</v>
      </c>
      <c r="U230" s="1"/>
      <c r="V230" s="5">
        <f t="shared" ref="V230:V234" si="82">IF(T$12=0,0,T230/T$12)</f>
        <v>8.2302709768706725E-3</v>
      </c>
      <c r="W230" s="1"/>
      <c r="X230" s="1">
        <f t="shared" ref="X230:X234" si="83">+P230-T230</f>
        <v>-24098.38</v>
      </c>
      <c r="Y230" s="1"/>
      <c r="Z230" s="5">
        <f t="shared" ref="Z230:Z234" si="84">IF(T230=0,0,X230/T230)</f>
        <v>-0.73091841067637253</v>
      </c>
    </row>
    <row r="231" spans="1:26" s="24" customFormat="1" hidden="1" outlineLevel="2" x14ac:dyDescent="0.25">
      <c r="A231" s="27"/>
      <c r="B231" s="11" t="str">
        <f>CONCATENATE("          ", "6252", " - ", "ROYALTY DUE CSTV")</f>
        <v xml:space="preserve">          6252 - ROYALTY DUE CSTV</v>
      </c>
      <c r="C231" s="11"/>
      <c r="D231" s="6"/>
      <c r="E231" s="2"/>
      <c r="F231" s="7">
        <f t="shared" si="77"/>
        <v>0</v>
      </c>
      <c r="G231" s="2"/>
      <c r="H231" s="6">
        <v>1085</v>
      </c>
      <c r="I231" s="2"/>
      <c r="J231" s="7">
        <f t="shared" si="78"/>
        <v>3.3827379133153263E-4</v>
      </c>
      <c r="K231" s="2"/>
      <c r="L231" s="6">
        <f t="shared" si="79"/>
        <v>-1085</v>
      </c>
      <c r="M231" s="2"/>
      <c r="N231" s="7">
        <f t="shared" si="80"/>
        <v>-1</v>
      </c>
      <c r="O231" s="11"/>
      <c r="P231" s="6"/>
      <c r="Q231" s="2"/>
      <c r="R231" s="7">
        <f t="shared" si="81"/>
        <v>0</v>
      </c>
      <c r="S231" s="2"/>
      <c r="T231" s="6">
        <v>2170</v>
      </c>
      <c r="U231" s="2"/>
      <c r="V231" s="7">
        <f t="shared" si="82"/>
        <v>5.4169511737365357E-4</v>
      </c>
      <c r="W231" s="2"/>
      <c r="X231" s="6">
        <f t="shared" si="83"/>
        <v>-2170</v>
      </c>
      <c r="Y231" s="2"/>
      <c r="Z231" s="7">
        <f t="shared" si="84"/>
        <v>-1</v>
      </c>
    </row>
    <row r="232" spans="1:26" s="24" customFormat="1" hidden="1" outlineLevel="2" x14ac:dyDescent="0.25">
      <c r="A232" s="27"/>
      <c r="B232" s="11" t="str">
        <f>CONCATENATE("          ", "6253", " - ", "ROYALTY DUE ATHLETICS-LRG")</f>
        <v xml:space="preserve">          6253 - ROYALTY DUE ATHLETICS-LRG</v>
      </c>
      <c r="C232" s="11"/>
      <c r="D232" s="6"/>
      <c r="E232" s="2"/>
      <c r="F232" s="7">
        <f t="shared" si="77"/>
        <v>0</v>
      </c>
      <c r="G232" s="2"/>
      <c r="H232" s="6">
        <v>3700</v>
      </c>
      <c r="I232" s="2"/>
      <c r="J232" s="7">
        <f t="shared" si="78"/>
        <v>1.1535603944024615E-3</v>
      </c>
      <c r="K232" s="2"/>
      <c r="L232" s="6">
        <f t="shared" si="79"/>
        <v>-3700</v>
      </c>
      <c r="M232" s="2"/>
      <c r="N232" s="7">
        <f t="shared" si="80"/>
        <v>-1</v>
      </c>
      <c r="O232" s="11"/>
      <c r="P232" s="6">
        <v>4366.95</v>
      </c>
      <c r="Q232" s="2"/>
      <c r="R232" s="7">
        <f t="shared" si="81"/>
        <v>1.112089703532233E-3</v>
      </c>
      <c r="S232" s="2"/>
      <c r="T232" s="6">
        <v>7400</v>
      </c>
      <c r="U232" s="2"/>
      <c r="V232" s="7">
        <f t="shared" si="82"/>
        <v>1.847255238970063E-3</v>
      </c>
      <c r="W232" s="2"/>
      <c r="X232" s="6">
        <f t="shared" si="83"/>
        <v>-3033.05</v>
      </c>
      <c r="Y232" s="2"/>
      <c r="Z232" s="7">
        <f t="shared" si="84"/>
        <v>-0.40987162162162166</v>
      </c>
    </row>
    <row r="233" spans="1:26" s="24" customFormat="1" hidden="1" outlineLevel="2" x14ac:dyDescent="0.25">
      <c r="A233" s="27"/>
      <c r="B233" s="11" t="str">
        <f>CONCATENATE("          ", "6254", " - ", "ROYALTY &amp; COMMISSIONS")</f>
        <v xml:space="preserve">          6254 - ROYALTY &amp; COMMISSIONS</v>
      </c>
      <c r="C233" s="11"/>
      <c r="D233" s="6">
        <v>136.4</v>
      </c>
      <c r="E233" s="2"/>
      <c r="F233" s="7">
        <f t="shared" si="77"/>
        <v>4.2564866617701043E-5</v>
      </c>
      <c r="G233" s="2"/>
      <c r="H233" s="6">
        <v>11700</v>
      </c>
      <c r="I233" s="2"/>
      <c r="J233" s="7">
        <f t="shared" si="78"/>
        <v>3.6477450309483242E-3</v>
      </c>
      <c r="K233" s="2"/>
      <c r="L233" s="6">
        <f t="shared" si="79"/>
        <v>-11563.6</v>
      </c>
      <c r="M233" s="2"/>
      <c r="N233" s="7">
        <f t="shared" si="80"/>
        <v>-0.98834188034188042</v>
      </c>
      <c r="O233" s="11"/>
      <c r="P233" s="6">
        <v>250.49</v>
      </c>
      <c r="Q233" s="2"/>
      <c r="R233" s="7">
        <f t="shared" si="81"/>
        <v>6.3789910541176131E-5</v>
      </c>
      <c r="S233" s="2"/>
      <c r="T233" s="6">
        <v>23400</v>
      </c>
      <c r="U233" s="2"/>
      <c r="V233" s="7">
        <f t="shared" si="82"/>
        <v>5.8413206205269559E-3</v>
      </c>
      <c r="W233" s="2"/>
      <c r="X233" s="6">
        <f t="shared" si="83"/>
        <v>-23149.51</v>
      </c>
      <c r="Y233" s="2"/>
      <c r="Z233" s="7">
        <f t="shared" si="84"/>
        <v>-0.98929529914529912</v>
      </c>
    </row>
    <row r="234" spans="1:26" s="24" customFormat="1" hidden="1" outlineLevel="2" x14ac:dyDescent="0.25">
      <c r="A234" s="27"/>
      <c r="B234" s="11" t="str">
        <f>CONCATENATE("          ", "6259", " - ", "ROYALTY &amp; COMMISSIONS")</f>
        <v xml:space="preserve">          6259 - ROYALTY &amp; COMMISSIONS</v>
      </c>
      <c r="C234" s="11"/>
      <c r="D234" s="6">
        <v>3649.17</v>
      </c>
      <c r="E234" s="2"/>
      <c r="F234" s="7">
        <f t="shared" si="77"/>
        <v>1.1387568498190332E-3</v>
      </c>
      <c r="G234" s="2"/>
      <c r="H234" s="6"/>
      <c r="I234" s="2"/>
      <c r="J234" s="7">
        <f t="shared" si="78"/>
        <v>0</v>
      </c>
      <c r="K234" s="2"/>
      <c r="L234" s="6">
        <f t="shared" si="79"/>
        <v>3649.17</v>
      </c>
      <c r="M234" s="2"/>
      <c r="N234" s="7">
        <f t="shared" si="80"/>
        <v>0</v>
      </c>
      <c r="O234" s="11"/>
      <c r="P234" s="6">
        <v>4254.18</v>
      </c>
      <c r="Q234" s="2"/>
      <c r="R234" s="7">
        <f t="shared" si="81"/>
        <v>1.0833716380935794E-3</v>
      </c>
      <c r="S234" s="2"/>
      <c r="T234" s="6"/>
      <c r="U234" s="2"/>
      <c r="V234" s="7">
        <f t="shared" si="82"/>
        <v>0</v>
      </c>
      <c r="W234" s="2"/>
      <c r="X234" s="6">
        <f t="shared" si="83"/>
        <v>4254.18</v>
      </c>
      <c r="Y234" s="2"/>
      <c r="Z234" s="7">
        <f t="shared" si="84"/>
        <v>0</v>
      </c>
    </row>
    <row r="235" spans="1:26" s="26" customFormat="1" outlineLevel="1" collapsed="1" x14ac:dyDescent="0.25">
      <c r="A235" s="25"/>
      <c r="B235" s="13" t="str">
        <f>CONCATENATE("     ","Services                                          ")</f>
        <v xml:space="preserve">     Services                                          </v>
      </c>
      <c r="C235" s="13"/>
      <c r="D235" s="1">
        <f>SUM(OSRRefD22_18x_0)</f>
        <v>4676.59</v>
      </c>
      <c r="E235" s="1"/>
      <c r="F235" s="5">
        <f t="shared" ref="F235:F239" si="85">IF(D$12=0,0,D235/D$12)</f>
        <v>1.4593726508480538E-3</v>
      </c>
      <c r="G235" s="1"/>
      <c r="H235" s="1">
        <f>SUM(OSRRefH22_18x_0)</f>
        <v>4432.5</v>
      </c>
      <c r="I235" s="1"/>
      <c r="J235" s="5">
        <f t="shared" ref="J235:J239" si="86">IF(H$12=0,0,H235/H$12)</f>
        <v>1.3819341751861922E-3</v>
      </c>
      <c r="K235" s="1"/>
      <c r="L235" s="1">
        <f t="shared" ref="L235:L239" si="87">+D235-H235</f>
        <v>244.09000000000015</v>
      </c>
      <c r="M235" s="1"/>
      <c r="N235" s="5">
        <f t="shared" ref="N235:N239" si="88">IF(H235=0,0,L235/H235)</f>
        <v>5.5068245910885535E-2</v>
      </c>
      <c r="O235" s="13"/>
      <c r="P235" s="1">
        <f>SUM(OSRRefP22_18x_0)</f>
        <v>9305.67</v>
      </c>
      <c r="Q235" s="1"/>
      <c r="R235" s="5">
        <f t="shared" ref="R235:R239" si="89">IF(P$12=0,0,P235/P$12)</f>
        <v>2.3697866454776896E-3</v>
      </c>
      <c r="S235" s="1"/>
      <c r="T235" s="1">
        <f>SUM(OSRRefT22_18x_0)</f>
        <v>8865</v>
      </c>
      <c r="U235" s="1"/>
      <c r="V235" s="5">
        <f t="shared" ref="V235:V239" si="90">IF(T$12=0,0,T235/T$12)</f>
        <v>2.2129618504688662E-3</v>
      </c>
      <c r="W235" s="1"/>
      <c r="X235" s="1">
        <f t="shared" ref="X235:X239" si="91">+P235-T235</f>
        <v>440.67000000000007</v>
      </c>
      <c r="Y235" s="1"/>
      <c r="Z235" s="5">
        <f t="shared" ref="Z235:Z239" si="92">IF(T235=0,0,X235/T235)</f>
        <v>4.9708967851099836E-2</v>
      </c>
    </row>
    <row r="236" spans="1:26" s="24" customFormat="1" hidden="1" outlineLevel="2" x14ac:dyDescent="0.25">
      <c r="A236" s="27"/>
      <c r="B236" s="11" t="str">
        <f>CONCATENATE("          ", "6282", " - ", "JANITORIAL/EXTERMINATOR EXPENS")</f>
        <v xml:space="preserve">          6282 - JANITORIAL/EXTERMINATOR EXPENS</v>
      </c>
      <c r="C236" s="11"/>
      <c r="D236" s="6">
        <v>266.5</v>
      </c>
      <c r="E236" s="2"/>
      <c r="F236" s="7">
        <f t="shared" si="85"/>
        <v>8.3163760657018536E-5</v>
      </c>
      <c r="G236" s="2"/>
      <c r="H236" s="6">
        <v>50</v>
      </c>
      <c r="I236" s="2"/>
      <c r="J236" s="7">
        <f t="shared" si="86"/>
        <v>1.5588653978411644E-5</v>
      </c>
      <c r="K236" s="2"/>
      <c r="L236" s="6">
        <f t="shared" si="87"/>
        <v>216.5</v>
      </c>
      <c r="M236" s="2"/>
      <c r="N236" s="7">
        <f t="shared" si="88"/>
        <v>4.33</v>
      </c>
      <c r="O236" s="11"/>
      <c r="P236" s="6">
        <v>533</v>
      </c>
      <c r="Q236" s="2"/>
      <c r="R236" s="7">
        <f t="shared" si="89"/>
        <v>1.3573405053473941E-4</v>
      </c>
      <c r="S236" s="2"/>
      <c r="T236" s="6">
        <v>100</v>
      </c>
      <c r="U236" s="2"/>
      <c r="V236" s="7">
        <f t="shared" si="90"/>
        <v>2.496290863473058E-5</v>
      </c>
      <c r="W236" s="2"/>
      <c r="X236" s="6">
        <f t="shared" si="91"/>
        <v>433</v>
      </c>
      <c r="Y236" s="2"/>
      <c r="Z236" s="7">
        <f t="shared" si="92"/>
        <v>4.33</v>
      </c>
    </row>
    <row r="237" spans="1:26" s="24" customFormat="1" hidden="1" outlineLevel="2" x14ac:dyDescent="0.25">
      <c r="A237" s="27"/>
      <c r="B237" s="11" t="str">
        <f>CONCATENATE("          ", "6283", " - ", "PLANT SERVICE")</f>
        <v xml:space="preserve">          6283 - PLANT SERVICE</v>
      </c>
      <c r="C237" s="11"/>
      <c r="D237" s="6">
        <v>180.66</v>
      </c>
      <c r="E237" s="2"/>
      <c r="F237" s="7">
        <f t="shared" si="85"/>
        <v>5.6376604128694069E-5</v>
      </c>
      <c r="G237" s="2"/>
      <c r="H237" s="6">
        <v>60</v>
      </c>
      <c r="I237" s="2"/>
      <c r="J237" s="7">
        <f t="shared" si="86"/>
        <v>1.8706384774093972E-5</v>
      </c>
      <c r="K237" s="2"/>
      <c r="L237" s="6">
        <f t="shared" si="87"/>
        <v>120.66</v>
      </c>
      <c r="M237" s="2"/>
      <c r="N237" s="7">
        <f t="shared" si="88"/>
        <v>2.0110000000000001</v>
      </c>
      <c r="O237" s="11"/>
      <c r="P237" s="6">
        <v>361.32</v>
      </c>
      <c r="Q237" s="2"/>
      <c r="R237" s="7">
        <f t="shared" si="89"/>
        <v>9.2013934595144549E-5</v>
      </c>
      <c r="S237" s="2"/>
      <c r="T237" s="6">
        <v>120</v>
      </c>
      <c r="U237" s="2"/>
      <c r="V237" s="7">
        <f t="shared" si="90"/>
        <v>2.9955490361676696E-5</v>
      </c>
      <c r="W237" s="2"/>
      <c r="X237" s="6">
        <f t="shared" si="91"/>
        <v>241.32</v>
      </c>
      <c r="Y237" s="2"/>
      <c r="Z237" s="7">
        <f t="shared" si="92"/>
        <v>2.0110000000000001</v>
      </c>
    </row>
    <row r="238" spans="1:26" s="24" customFormat="1" hidden="1" outlineLevel="2" x14ac:dyDescent="0.25">
      <c r="A238" s="27"/>
      <c r="B238" s="11" t="str">
        <f>CONCATENATE("          ", "6284", " - ", "TRASH REMOVAL EXPENSE")</f>
        <v xml:space="preserve">          6284 - TRASH REMOVAL EXPENSE</v>
      </c>
      <c r="C238" s="11"/>
      <c r="D238" s="6">
        <v>134.82</v>
      </c>
      <c r="E238" s="2"/>
      <c r="F238" s="7">
        <f t="shared" si="85"/>
        <v>4.2071813177408023E-5</v>
      </c>
      <c r="G238" s="2"/>
      <c r="H238" s="6">
        <v>62.5</v>
      </c>
      <c r="I238" s="2"/>
      <c r="J238" s="7">
        <f t="shared" si="86"/>
        <v>1.9485817473014554E-5</v>
      </c>
      <c r="K238" s="2"/>
      <c r="L238" s="6">
        <f t="shared" si="87"/>
        <v>72.319999999999993</v>
      </c>
      <c r="M238" s="2"/>
      <c r="N238" s="7">
        <f t="shared" si="88"/>
        <v>1.1571199999999999</v>
      </c>
      <c r="O238" s="11"/>
      <c r="P238" s="6">
        <v>269.64</v>
      </c>
      <c r="Q238" s="2"/>
      <c r="R238" s="7">
        <f t="shared" si="89"/>
        <v>6.8666659261139084E-5</v>
      </c>
      <c r="S238" s="2"/>
      <c r="T238" s="6">
        <v>125</v>
      </c>
      <c r="U238" s="2"/>
      <c r="V238" s="7">
        <f t="shared" si="90"/>
        <v>3.1203635793413224E-5</v>
      </c>
      <c r="W238" s="2"/>
      <c r="X238" s="6">
        <f t="shared" si="91"/>
        <v>144.63999999999999</v>
      </c>
      <c r="Y238" s="2"/>
      <c r="Z238" s="7">
        <f t="shared" si="92"/>
        <v>1.1571199999999999</v>
      </c>
    </row>
    <row r="239" spans="1:26" s="24" customFormat="1" hidden="1" outlineLevel="2" x14ac:dyDescent="0.25">
      <c r="A239" s="27"/>
      <c r="B239" s="11" t="str">
        <f>CONCATENATE("          ", "6285", " - ", "JANITORIAL SERVICES")</f>
        <v xml:space="preserve">          6285 - JANITORIAL SERVICES</v>
      </c>
      <c r="C239" s="11"/>
      <c r="D239" s="6">
        <v>4094.61</v>
      </c>
      <c r="E239" s="2"/>
      <c r="F239" s="7">
        <f t="shared" si="85"/>
        <v>1.2777604728849332E-3</v>
      </c>
      <c r="G239" s="2"/>
      <c r="H239" s="6">
        <v>4260</v>
      </c>
      <c r="I239" s="2"/>
      <c r="J239" s="7">
        <f t="shared" si="86"/>
        <v>1.328153318960672E-3</v>
      </c>
      <c r="K239" s="2"/>
      <c r="L239" s="6">
        <f t="shared" si="87"/>
        <v>-165.38999999999987</v>
      </c>
      <c r="M239" s="2"/>
      <c r="N239" s="7">
        <f t="shared" si="88"/>
        <v>-3.8823943661971803E-2</v>
      </c>
      <c r="O239" s="11"/>
      <c r="P239" s="6">
        <v>8141.71</v>
      </c>
      <c r="Q239" s="2"/>
      <c r="R239" s="7">
        <f t="shared" si="89"/>
        <v>2.0733720010866663E-3</v>
      </c>
      <c r="S239" s="2"/>
      <c r="T239" s="6">
        <v>8520</v>
      </c>
      <c r="U239" s="2"/>
      <c r="V239" s="7">
        <f t="shared" si="90"/>
        <v>2.1268398156790453E-3</v>
      </c>
      <c r="W239" s="2"/>
      <c r="X239" s="6">
        <f t="shared" si="91"/>
        <v>-378.28999999999996</v>
      </c>
      <c r="Y239" s="2"/>
      <c r="Z239" s="7">
        <f t="shared" si="92"/>
        <v>-4.4400234741784034E-2</v>
      </c>
    </row>
    <row r="240" spans="1:26" s="26" customFormat="1" outlineLevel="1" collapsed="1" x14ac:dyDescent="0.25">
      <c r="A240" s="25"/>
      <c r="B240" s="13" t="str">
        <f>CONCATENATE("     ","Subscriptions &amp; Dues                              ")</f>
        <v xml:space="preserve">     Subscriptions &amp; Dues                              </v>
      </c>
      <c r="C240" s="13"/>
      <c r="D240" s="1">
        <f>SUM(OSRRefD22_19x_0)</f>
        <v>-4470.0200000000004</v>
      </c>
      <c r="E240" s="1"/>
      <c r="F240" s="5">
        <f t="shared" ref="F240:F242" si="93">IF(D$12=0,0,D240/D$12)</f>
        <v>-1.3949105944168331E-3</v>
      </c>
      <c r="G240" s="1"/>
      <c r="H240" s="1">
        <f>SUM(OSRRefH22_19x_0)</f>
        <v>1015</v>
      </c>
      <c r="I240" s="1"/>
      <c r="J240" s="5">
        <f t="shared" ref="J240:J242" si="94">IF(H$12=0,0,H240/H$12)</f>
        <v>3.1644967576175635E-4</v>
      </c>
      <c r="K240" s="1"/>
      <c r="L240" s="1">
        <f t="shared" ref="L240:L242" si="95">+D240-H240</f>
        <v>-5485.02</v>
      </c>
      <c r="M240" s="1"/>
      <c r="N240" s="5">
        <f t="shared" ref="N240:N242" si="96">IF(H240=0,0,L240/H240)</f>
        <v>-5.4039605911330053</v>
      </c>
      <c r="O240" s="13"/>
      <c r="P240" s="1">
        <f>SUM(OSRRefP22_19x_0)</f>
        <v>-4007.7699999999995</v>
      </c>
      <c r="Q240" s="1"/>
      <c r="R240" s="5">
        <f t="shared" ref="R240:R242" si="97">IF(P$12=0,0,P240/P$12)</f>
        <v>-1.0206207424232881E-3</v>
      </c>
      <c r="S240" s="1"/>
      <c r="T240" s="1">
        <f>SUM(OSRRefT22_19x_0)</f>
        <v>3700</v>
      </c>
      <c r="U240" s="1"/>
      <c r="V240" s="5">
        <f t="shared" ref="V240:V242" si="98">IF(T$12=0,0,T240/T$12)</f>
        <v>9.2362761948503152E-4</v>
      </c>
      <c r="W240" s="1"/>
      <c r="X240" s="1">
        <f t="shared" ref="X240:X242" si="99">+P240-T240</f>
        <v>-7707.7699999999995</v>
      </c>
      <c r="Y240" s="1"/>
      <c r="Z240" s="5">
        <f t="shared" ref="Z240:Z242" si="100">IF(T240=0,0,X240/T240)</f>
        <v>-2.0831810810810811</v>
      </c>
    </row>
    <row r="241" spans="1:26" s="24" customFormat="1" hidden="1" outlineLevel="2" x14ac:dyDescent="0.25">
      <c r="A241" s="27"/>
      <c r="B241" s="11" t="str">
        <f>CONCATENATE("          ", "6258", " - ", "MEMBERSHIP DUES")</f>
        <v xml:space="preserve">          6258 - MEMBERSHIP DUES</v>
      </c>
      <c r="C241" s="11"/>
      <c r="D241" s="6">
        <v>-4630</v>
      </c>
      <c r="E241" s="2"/>
      <c r="F241" s="7">
        <f t="shared" si="93"/>
        <v>-1.4448338155421982E-3</v>
      </c>
      <c r="G241" s="2"/>
      <c r="H241" s="6">
        <v>500</v>
      </c>
      <c r="I241" s="2"/>
      <c r="J241" s="7">
        <f t="shared" si="94"/>
        <v>1.5588653978411643E-4</v>
      </c>
      <c r="K241" s="2"/>
      <c r="L241" s="6">
        <f t="shared" si="95"/>
        <v>-5130</v>
      </c>
      <c r="M241" s="2"/>
      <c r="N241" s="7">
        <f t="shared" si="96"/>
        <v>-10.26</v>
      </c>
      <c r="O241" s="11"/>
      <c r="P241" s="6">
        <v>-4341.1499999999996</v>
      </c>
      <c r="Q241" s="2"/>
      <c r="R241" s="7">
        <f t="shared" si="97"/>
        <v>-1.1055194624369304E-3</v>
      </c>
      <c r="S241" s="2"/>
      <c r="T241" s="6">
        <v>2395</v>
      </c>
      <c r="U241" s="2"/>
      <c r="V241" s="7">
        <f t="shared" si="98"/>
        <v>5.9786166180179738E-4</v>
      </c>
      <c r="W241" s="2"/>
      <c r="X241" s="6">
        <f t="shared" si="99"/>
        <v>-6736.15</v>
      </c>
      <c r="Y241" s="2"/>
      <c r="Z241" s="7">
        <f t="shared" si="100"/>
        <v>-2.8125887265135696</v>
      </c>
    </row>
    <row r="242" spans="1:26" s="24" customFormat="1" hidden="1" outlineLevel="2" x14ac:dyDescent="0.25">
      <c r="A242" s="27"/>
      <c r="B242" s="11" t="str">
        <f>CONCATENATE("          ", "6275", " - ", "SUBSCRIPTIONS")</f>
        <v xml:space="preserve">          6275 - SUBSCRIPTIONS</v>
      </c>
      <c r="C242" s="11"/>
      <c r="D242" s="6">
        <v>159.97999999999999</v>
      </c>
      <c r="E242" s="2"/>
      <c r="F242" s="7">
        <f t="shared" si="93"/>
        <v>4.9923221125365193E-5</v>
      </c>
      <c r="G242" s="2"/>
      <c r="H242" s="6">
        <v>515</v>
      </c>
      <c r="I242" s="2"/>
      <c r="J242" s="7">
        <f t="shared" si="94"/>
        <v>1.6056313597763992E-4</v>
      </c>
      <c r="K242" s="2"/>
      <c r="L242" s="6">
        <f t="shared" si="95"/>
        <v>-355.02</v>
      </c>
      <c r="M242" s="2"/>
      <c r="N242" s="7">
        <f t="shared" si="96"/>
        <v>-0.68935922330097088</v>
      </c>
      <c r="O242" s="11"/>
      <c r="P242" s="6">
        <v>333.38</v>
      </c>
      <c r="Q242" s="2"/>
      <c r="R242" s="7">
        <f t="shared" si="97"/>
        <v>8.4898720013642444E-5</v>
      </c>
      <c r="S242" s="2"/>
      <c r="T242" s="6">
        <v>1305</v>
      </c>
      <c r="U242" s="2"/>
      <c r="V242" s="7">
        <f t="shared" si="98"/>
        <v>3.2576595768323409E-4</v>
      </c>
      <c r="W242" s="2"/>
      <c r="X242" s="6">
        <f t="shared" si="99"/>
        <v>-971.62</v>
      </c>
      <c r="Y242" s="2"/>
      <c r="Z242" s="7">
        <f t="shared" si="100"/>
        <v>-0.74453639846743291</v>
      </c>
    </row>
    <row r="243" spans="1:26" s="26" customFormat="1" outlineLevel="1" collapsed="1" x14ac:dyDescent="0.25">
      <c r="A243" s="25"/>
      <c r="B243" s="13" t="str">
        <f>CONCATENATE("     ","Supplies                                          ")</f>
        <v xml:space="preserve">     Supplies                                          </v>
      </c>
      <c r="C243" s="13"/>
      <c r="D243" s="1">
        <f>SUM(OSRRefD22_20x_0)</f>
        <v>5591.47</v>
      </c>
      <c r="E243" s="1"/>
      <c r="F243" s="5">
        <f t="shared" ref="F243:F250" si="101">IF(D$12=0,0,D243/D$12)</f>
        <v>1.7448693163260767E-3</v>
      </c>
      <c r="G243" s="1"/>
      <c r="H243" s="1">
        <f>SUM(OSRRefH22_20x_0)</f>
        <v>16585</v>
      </c>
      <c r="I243" s="1"/>
      <c r="J243" s="5">
        <f t="shared" ref="J243:J250" si="102">IF(H$12=0,0,H243/H$12)</f>
        <v>5.1707565246391415E-3</v>
      </c>
      <c r="K243" s="1"/>
      <c r="L243" s="1">
        <f t="shared" ref="L243:L250" si="103">+D243-H243</f>
        <v>-10993.529999999999</v>
      </c>
      <c r="M243" s="1"/>
      <c r="N243" s="5">
        <f t="shared" ref="N243:N250" si="104">IF(H243=0,0,L243/H243)</f>
        <v>-0.66285981308411213</v>
      </c>
      <c r="O243" s="13"/>
      <c r="P243" s="1">
        <f>SUM(OSRRefP22_20x_0)</f>
        <v>13212.26</v>
      </c>
      <c r="Q243" s="1"/>
      <c r="R243" s="5">
        <f t="shared" ref="R243:R250" si="105">IF(P$12=0,0,P243/P$12)</f>
        <v>3.3646408377450586E-3</v>
      </c>
      <c r="S243" s="1"/>
      <c r="T243" s="1">
        <f>SUM(OSRRefT22_20x_0)</f>
        <v>28595</v>
      </c>
      <c r="U243" s="1"/>
      <c r="V243" s="5">
        <f t="shared" ref="V243:V250" si="106">IF(T$12=0,0,T243/T$12)</f>
        <v>7.13814372410121E-3</v>
      </c>
      <c r="W243" s="1"/>
      <c r="X243" s="1">
        <f t="shared" ref="X243:X250" si="107">+P243-T243</f>
        <v>-15382.74</v>
      </c>
      <c r="Y243" s="1"/>
      <c r="Z243" s="5">
        <f t="shared" ref="Z243:Z250" si="108">IF(T243=0,0,X243/T243)</f>
        <v>-0.53795208952614093</v>
      </c>
    </row>
    <row r="244" spans="1:26" s="24" customFormat="1" hidden="1" outlineLevel="2" x14ac:dyDescent="0.25">
      <c r="A244" s="27"/>
      <c r="B244" s="11" t="str">
        <f>CONCATENATE("          ", "6234", " - ", "EXPENDABLE SUPPLIES &amp; EQUIPMEN")</f>
        <v xml:space="preserve">          6234 - EXPENDABLE SUPPLIES &amp; EQUIPMEN</v>
      </c>
      <c r="C244" s="11"/>
      <c r="D244" s="6">
        <v>1014.02</v>
      </c>
      <c r="E244" s="2"/>
      <c r="F244" s="7">
        <f t="shared" si="101"/>
        <v>3.1643420856071269E-4</v>
      </c>
      <c r="G244" s="2"/>
      <c r="H244" s="6">
        <v>300</v>
      </c>
      <c r="I244" s="2"/>
      <c r="J244" s="7">
        <f t="shared" si="102"/>
        <v>9.3531923870469855E-5</v>
      </c>
      <c r="K244" s="2"/>
      <c r="L244" s="6">
        <f t="shared" si="103"/>
        <v>714.02</v>
      </c>
      <c r="M244" s="2"/>
      <c r="N244" s="7">
        <f t="shared" si="104"/>
        <v>2.3800666666666666</v>
      </c>
      <c r="O244" s="11"/>
      <c r="P244" s="6">
        <v>1716.1</v>
      </c>
      <c r="Q244" s="2"/>
      <c r="R244" s="7">
        <f t="shared" si="105"/>
        <v>4.3702289704064968E-4</v>
      </c>
      <c r="S244" s="2"/>
      <c r="T244" s="6">
        <v>1600</v>
      </c>
      <c r="U244" s="2"/>
      <c r="V244" s="7">
        <f t="shared" si="106"/>
        <v>3.9940653815568927E-4</v>
      </c>
      <c r="W244" s="2"/>
      <c r="X244" s="6">
        <f t="shared" si="107"/>
        <v>116.09999999999991</v>
      </c>
      <c r="Y244" s="2"/>
      <c r="Z244" s="7">
        <f t="shared" si="108"/>
        <v>7.2562499999999946E-2</v>
      </c>
    </row>
    <row r="245" spans="1:26" s="24" customFormat="1" hidden="1" outlineLevel="2" x14ac:dyDescent="0.25">
      <c r="A245" s="27"/>
      <c r="B245" s="11" t="str">
        <f>CONCATENATE("          ", "6237", " - ", "JANITORIAL SUPPLIES")</f>
        <v xml:space="preserve">          6237 - JANITORIAL SUPPLIES</v>
      </c>
      <c r="C245" s="11"/>
      <c r="D245" s="6">
        <v>326.57</v>
      </c>
      <c r="E245" s="2"/>
      <c r="F245" s="7">
        <f t="shared" si="101"/>
        <v>1.0190915316233599E-4</v>
      </c>
      <c r="G245" s="2"/>
      <c r="H245" s="6">
        <v>35</v>
      </c>
      <c r="I245" s="2"/>
      <c r="J245" s="7">
        <f t="shared" si="102"/>
        <v>1.091205778488815E-5</v>
      </c>
      <c r="K245" s="2"/>
      <c r="L245" s="6">
        <f t="shared" si="103"/>
        <v>291.57</v>
      </c>
      <c r="M245" s="2"/>
      <c r="N245" s="7">
        <f t="shared" si="104"/>
        <v>8.3305714285714281</v>
      </c>
      <c r="O245" s="11"/>
      <c r="P245" s="6">
        <v>775.4</v>
      </c>
      <c r="Q245" s="2"/>
      <c r="R245" s="7">
        <f t="shared" si="105"/>
        <v>1.974637575696753E-4</v>
      </c>
      <c r="S245" s="2"/>
      <c r="T245" s="6">
        <v>70</v>
      </c>
      <c r="U245" s="2"/>
      <c r="V245" s="7">
        <f t="shared" si="106"/>
        <v>1.7474036044311408E-5</v>
      </c>
      <c r="W245" s="2"/>
      <c r="X245" s="6">
        <f t="shared" si="107"/>
        <v>705.4</v>
      </c>
      <c r="Y245" s="2"/>
      <c r="Z245" s="7">
        <f t="shared" si="108"/>
        <v>10.077142857142857</v>
      </c>
    </row>
    <row r="246" spans="1:26" s="24" customFormat="1" hidden="1" outlineLevel="2" x14ac:dyDescent="0.25">
      <c r="A246" s="27"/>
      <c r="B246" s="11" t="str">
        <f>CONCATENATE("          ", "6241", " - ", "OFFICE EXPENSE")</f>
        <v xml:space="preserve">          6241 - OFFICE EXPENSE</v>
      </c>
      <c r="C246" s="11"/>
      <c r="D246" s="6">
        <v>4708.0200000000004</v>
      </c>
      <c r="E246" s="2"/>
      <c r="F246" s="7">
        <f t="shared" si="101"/>
        <v>1.4691806696002117E-3</v>
      </c>
      <c r="G246" s="2"/>
      <c r="H246" s="6">
        <v>1075</v>
      </c>
      <c r="I246" s="2"/>
      <c r="J246" s="7">
        <f t="shared" si="102"/>
        <v>3.3515606053585034E-4</v>
      </c>
      <c r="K246" s="2"/>
      <c r="L246" s="6">
        <f t="shared" si="103"/>
        <v>3633.0200000000004</v>
      </c>
      <c r="M246" s="2"/>
      <c r="N246" s="7">
        <f t="shared" si="104"/>
        <v>3.3795534883720935</v>
      </c>
      <c r="O246" s="11"/>
      <c r="P246" s="6">
        <v>7198.51</v>
      </c>
      <c r="Q246" s="2"/>
      <c r="R246" s="7">
        <f t="shared" si="105"/>
        <v>1.8331762103467675E-3</v>
      </c>
      <c r="S246" s="2"/>
      <c r="T246" s="6">
        <v>2575</v>
      </c>
      <c r="U246" s="2"/>
      <c r="V246" s="7">
        <f t="shared" si="106"/>
        <v>6.4279489734431249E-4</v>
      </c>
      <c r="W246" s="2"/>
      <c r="X246" s="6">
        <f t="shared" si="107"/>
        <v>4623.51</v>
      </c>
      <c r="Y246" s="2"/>
      <c r="Z246" s="7">
        <f t="shared" si="108"/>
        <v>1.79553786407767</v>
      </c>
    </row>
    <row r="247" spans="1:26" s="24" customFormat="1" hidden="1" outlineLevel="2" x14ac:dyDescent="0.25">
      <c r="A247" s="27"/>
      <c r="B247" s="11" t="str">
        <f>CONCATENATE("          ", "6243", " - ", "PAPER SUPPLIES")</f>
        <v xml:space="preserve">          6243 - PAPER SUPPLIES</v>
      </c>
      <c r="C247" s="11"/>
      <c r="D247" s="6">
        <v>1496.95</v>
      </c>
      <c r="E247" s="2"/>
      <c r="F247" s="7">
        <f t="shared" si="101"/>
        <v>4.6713692876369193E-4</v>
      </c>
      <c r="G247" s="2"/>
      <c r="H247" s="6">
        <v>750</v>
      </c>
      <c r="I247" s="2"/>
      <c r="J247" s="7">
        <f t="shared" si="102"/>
        <v>2.3382980967617464E-4</v>
      </c>
      <c r="K247" s="2"/>
      <c r="L247" s="6">
        <f t="shared" si="103"/>
        <v>746.95</v>
      </c>
      <c r="M247" s="2"/>
      <c r="N247" s="7">
        <f t="shared" si="104"/>
        <v>0.99593333333333345</v>
      </c>
      <c r="O247" s="11"/>
      <c r="P247" s="6">
        <v>2658.29</v>
      </c>
      <c r="Q247" s="2"/>
      <c r="R247" s="7">
        <f t="shared" si="105"/>
        <v>6.7696148066790328E-4</v>
      </c>
      <c r="S247" s="2"/>
      <c r="T247" s="6">
        <v>1000</v>
      </c>
      <c r="U247" s="2"/>
      <c r="V247" s="7">
        <f t="shared" si="106"/>
        <v>2.4962908634730579E-4</v>
      </c>
      <c r="W247" s="2"/>
      <c r="X247" s="6">
        <f t="shared" si="107"/>
        <v>1658.29</v>
      </c>
      <c r="Y247" s="2"/>
      <c r="Z247" s="7">
        <f t="shared" si="108"/>
        <v>1.65829</v>
      </c>
    </row>
    <row r="248" spans="1:26" s="24" customFormat="1" hidden="1" outlineLevel="2" x14ac:dyDescent="0.25">
      <c r="A248" s="27"/>
      <c r="B248" s="11" t="str">
        <f>CONCATENATE("          ", "6245", " - ", "PRINTING")</f>
        <v xml:space="preserve">          6245 - PRINTING</v>
      </c>
      <c r="C248" s="11"/>
      <c r="D248" s="6">
        <v>4985.1099999999997</v>
      </c>
      <c r="E248" s="2"/>
      <c r="F248" s="7">
        <f t="shared" si="101"/>
        <v>1.555649136543751E-3</v>
      </c>
      <c r="G248" s="2"/>
      <c r="H248" s="6">
        <v>500</v>
      </c>
      <c r="I248" s="2"/>
      <c r="J248" s="7">
        <f t="shared" si="102"/>
        <v>1.5588653978411643E-4</v>
      </c>
      <c r="K248" s="2"/>
      <c r="L248" s="6">
        <f t="shared" si="103"/>
        <v>4485.1099999999997</v>
      </c>
      <c r="M248" s="2"/>
      <c r="N248" s="7">
        <f t="shared" si="104"/>
        <v>8.9702199999999994</v>
      </c>
      <c r="O248" s="11"/>
      <c r="P248" s="6">
        <v>4985.1099999999997</v>
      </c>
      <c r="Q248" s="2"/>
      <c r="R248" s="7">
        <f t="shared" si="105"/>
        <v>1.2695106428916225E-3</v>
      </c>
      <c r="S248" s="2"/>
      <c r="T248" s="6">
        <v>600</v>
      </c>
      <c r="U248" s="2"/>
      <c r="V248" s="7">
        <f t="shared" si="106"/>
        <v>1.4977745180838348E-4</v>
      </c>
      <c r="W248" s="2"/>
      <c r="X248" s="6">
        <f t="shared" si="107"/>
        <v>4385.1099999999997</v>
      </c>
      <c r="Y248" s="2"/>
      <c r="Z248" s="7">
        <f t="shared" si="108"/>
        <v>7.3085166666666659</v>
      </c>
    </row>
    <row r="249" spans="1:26" s="24" customFormat="1" hidden="1" outlineLevel="2" x14ac:dyDescent="0.25">
      <c r="A249" s="27"/>
      <c r="B249" s="11" t="str">
        <f>CONCATENATE("          ", "6247", " - ", "STORE SUPPLIES")</f>
        <v xml:space="preserve">          6247 - STORE SUPPLIES</v>
      </c>
      <c r="C249" s="11"/>
      <c r="D249" s="6">
        <v>-6939.2</v>
      </c>
      <c r="E249" s="2"/>
      <c r="F249" s="7">
        <f t="shared" si="101"/>
        <v>-2.1654407803046267E-3</v>
      </c>
      <c r="G249" s="2"/>
      <c r="H249" s="6">
        <v>12925</v>
      </c>
      <c r="I249" s="2"/>
      <c r="J249" s="7">
        <f t="shared" si="102"/>
        <v>4.0296670534194093E-3</v>
      </c>
      <c r="K249" s="2"/>
      <c r="L249" s="6">
        <f t="shared" si="103"/>
        <v>-19864.2</v>
      </c>
      <c r="M249" s="2"/>
      <c r="N249" s="7">
        <f t="shared" si="104"/>
        <v>-1.5368820116054158</v>
      </c>
      <c r="O249" s="11"/>
      <c r="P249" s="6">
        <v>-4121.1499999999996</v>
      </c>
      <c r="Q249" s="2"/>
      <c r="R249" s="7">
        <f t="shared" si="105"/>
        <v>-1.0494941507715595E-3</v>
      </c>
      <c r="S249" s="2"/>
      <c r="T249" s="6">
        <v>20750</v>
      </c>
      <c r="U249" s="2"/>
      <c r="V249" s="7">
        <f t="shared" si="106"/>
        <v>5.1798035417065956E-3</v>
      </c>
      <c r="W249" s="2"/>
      <c r="X249" s="6">
        <f t="shared" si="107"/>
        <v>-24871.15</v>
      </c>
      <c r="Y249" s="2"/>
      <c r="Z249" s="7">
        <f t="shared" si="108"/>
        <v>-1.1986096385542169</v>
      </c>
    </row>
    <row r="250" spans="1:26" s="24" customFormat="1" hidden="1" outlineLevel="2" x14ac:dyDescent="0.25">
      <c r="A250" s="27"/>
      <c r="B250" s="11" t="str">
        <f>CONCATENATE("          ", "6248", " - ", "UNIFORMS")</f>
        <v xml:space="preserve">          6248 - UNIFORMS</v>
      </c>
      <c r="C250" s="11"/>
      <c r="D250" s="6"/>
      <c r="E250" s="2"/>
      <c r="F250" s="7">
        <f t="shared" si="101"/>
        <v>0</v>
      </c>
      <c r="G250" s="2"/>
      <c r="H250" s="6">
        <v>1000</v>
      </c>
      <c r="I250" s="2"/>
      <c r="J250" s="7">
        <f t="shared" si="102"/>
        <v>3.1177307956823286E-4</v>
      </c>
      <c r="K250" s="2"/>
      <c r="L250" s="6">
        <f t="shared" si="103"/>
        <v>-1000</v>
      </c>
      <c r="M250" s="2"/>
      <c r="N250" s="7">
        <f t="shared" si="104"/>
        <v>-1</v>
      </c>
      <c r="O250" s="11"/>
      <c r="P250" s="6"/>
      <c r="Q250" s="2"/>
      <c r="R250" s="7">
        <f t="shared" si="105"/>
        <v>0</v>
      </c>
      <c r="S250" s="2"/>
      <c r="T250" s="6">
        <v>2000</v>
      </c>
      <c r="U250" s="2"/>
      <c r="V250" s="7">
        <f t="shared" si="106"/>
        <v>4.9925817269461158E-4</v>
      </c>
      <c r="W250" s="2"/>
      <c r="X250" s="6">
        <f t="shared" si="107"/>
        <v>-2000</v>
      </c>
      <c r="Y250" s="2"/>
      <c r="Z250" s="7">
        <f t="shared" si="108"/>
        <v>-1</v>
      </c>
    </row>
    <row r="251" spans="1:26" s="26" customFormat="1" outlineLevel="1" collapsed="1" x14ac:dyDescent="0.25">
      <c r="A251" s="25"/>
      <c r="B251" s="13" t="str">
        <f>CONCATENATE("     ","Telephone/Data Lines                              ")</f>
        <v xml:space="preserve">     Telephone/Data Lines                              </v>
      </c>
      <c r="C251" s="13"/>
      <c r="D251" s="1">
        <f>SUM(OSRRefD22_21x_0)</f>
        <v>2882.35</v>
      </c>
      <c r="E251" s="1"/>
      <c r="F251" s="5">
        <f t="shared" ref="F251:F253" si="109">IF(D$12=0,0,D251/D$12)</f>
        <v>8.9946366052441791E-4</v>
      </c>
      <c r="G251" s="1"/>
      <c r="H251" s="1">
        <f>SUM(OSRRefH22_21x_0)</f>
        <v>3145</v>
      </c>
      <c r="I251" s="1"/>
      <c r="J251" s="5">
        <f t="shared" ref="J251:J253" si="110">IF(H$12=0,0,H251/H$12)</f>
        <v>9.8052633524209234E-4</v>
      </c>
      <c r="K251" s="1"/>
      <c r="L251" s="1">
        <f t="shared" ref="L251:L253" si="111">+D251-H251</f>
        <v>-262.65000000000009</v>
      </c>
      <c r="M251" s="1"/>
      <c r="N251" s="5">
        <f t="shared" ref="N251:N253" si="112">IF(H251=0,0,L251/H251)</f>
        <v>-8.3513513513513549E-2</v>
      </c>
      <c r="O251" s="13"/>
      <c r="P251" s="1">
        <f>SUM(OSRRefP22_21x_0)</f>
        <v>4848.67</v>
      </c>
      <c r="Q251" s="1"/>
      <c r="R251" s="5">
        <f t="shared" ref="R251:R253" si="113">IF(P$12=0,0,P251/P$12)</f>
        <v>1.2347647632387898E-3</v>
      </c>
      <c r="S251" s="1"/>
      <c r="T251" s="1">
        <f>SUM(OSRRefT22_21x_0)</f>
        <v>5790</v>
      </c>
      <c r="U251" s="1"/>
      <c r="V251" s="5">
        <f t="shared" ref="V251:V253" si="114">IF(T$12=0,0,T251/T$12)</f>
        <v>1.4453524099509007E-3</v>
      </c>
      <c r="W251" s="1"/>
      <c r="X251" s="1">
        <f t="shared" ref="X251:X253" si="115">+P251-T251</f>
        <v>-941.32999999999993</v>
      </c>
      <c r="Y251" s="1"/>
      <c r="Z251" s="5">
        <f t="shared" ref="Z251:Z253" si="116">IF(T251=0,0,X251/T251)</f>
        <v>-0.16257858376511225</v>
      </c>
    </row>
    <row r="252" spans="1:26" s="24" customFormat="1" hidden="1" outlineLevel="2" x14ac:dyDescent="0.25">
      <c r="A252" s="27"/>
      <c r="B252" s="11" t="str">
        <f>CONCATENATE("          ", "6303", " - ", "DATA PHONE LINES")</f>
        <v xml:space="preserve">          6303 - DATA PHONE LINES</v>
      </c>
      <c r="C252" s="11"/>
      <c r="D252" s="6">
        <v>295</v>
      </c>
      <c r="E252" s="2"/>
      <c r="F252" s="7">
        <f t="shared" si="109"/>
        <v>9.205744613065842E-5</v>
      </c>
      <c r="G252" s="2"/>
      <c r="H252" s="6">
        <v>1155</v>
      </c>
      <c r="I252" s="2"/>
      <c r="J252" s="7">
        <f t="shared" si="110"/>
        <v>3.6009790690130897E-4</v>
      </c>
      <c r="K252" s="2"/>
      <c r="L252" s="6">
        <f t="shared" si="111"/>
        <v>-860</v>
      </c>
      <c r="M252" s="2"/>
      <c r="N252" s="7">
        <f t="shared" si="112"/>
        <v>-0.74458874458874458</v>
      </c>
      <c r="O252" s="11"/>
      <c r="P252" s="6">
        <v>590</v>
      </c>
      <c r="Q252" s="2"/>
      <c r="R252" s="7">
        <f t="shared" si="113"/>
        <v>1.5024969946622187E-4</v>
      </c>
      <c r="S252" s="2"/>
      <c r="T252" s="6">
        <v>2285</v>
      </c>
      <c r="U252" s="2"/>
      <c r="V252" s="7">
        <f t="shared" si="114"/>
        <v>5.7040246230359375E-4</v>
      </c>
      <c r="W252" s="2"/>
      <c r="X252" s="6">
        <f t="shared" si="115"/>
        <v>-1695</v>
      </c>
      <c r="Y252" s="2"/>
      <c r="Z252" s="7">
        <f t="shared" si="116"/>
        <v>-0.74179431072210067</v>
      </c>
    </row>
    <row r="253" spans="1:26" s="24" customFormat="1" hidden="1" outlineLevel="2" x14ac:dyDescent="0.25">
      <c r="A253" s="27"/>
      <c r="B253" s="11" t="str">
        <f>CONCATENATE("          ", "6309", " - ", "TELEPHONE")</f>
        <v xml:space="preserve">          6309 - TELEPHONE</v>
      </c>
      <c r="C253" s="11"/>
      <c r="D253" s="6">
        <v>2587.35</v>
      </c>
      <c r="E253" s="2"/>
      <c r="F253" s="7">
        <f t="shared" si="109"/>
        <v>8.0740621439375946E-4</v>
      </c>
      <c r="G253" s="2"/>
      <c r="H253" s="6">
        <v>1990</v>
      </c>
      <c r="I253" s="2"/>
      <c r="J253" s="7">
        <f t="shared" si="110"/>
        <v>6.2042842834078332E-4</v>
      </c>
      <c r="K253" s="2"/>
      <c r="L253" s="6">
        <f t="shared" si="111"/>
        <v>597.34999999999991</v>
      </c>
      <c r="M253" s="2"/>
      <c r="N253" s="7">
        <f t="shared" si="112"/>
        <v>0.30017587939698487</v>
      </c>
      <c r="O253" s="11"/>
      <c r="P253" s="6">
        <v>4258.67</v>
      </c>
      <c r="Q253" s="2"/>
      <c r="R253" s="7">
        <f t="shared" si="113"/>
        <v>1.0845150637725678E-3</v>
      </c>
      <c r="S253" s="2"/>
      <c r="T253" s="6">
        <v>3505</v>
      </c>
      <c r="U253" s="2"/>
      <c r="V253" s="7">
        <f t="shared" si="114"/>
        <v>8.7494994764730685E-4</v>
      </c>
      <c r="W253" s="2"/>
      <c r="X253" s="6">
        <f t="shared" si="115"/>
        <v>753.67000000000007</v>
      </c>
      <c r="Y253" s="2"/>
      <c r="Z253" s="7">
        <f t="shared" si="116"/>
        <v>0.21502710413694723</v>
      </c>
    </row>
    <row r="254" spans="1:26" s="26" customFormat="1" outlineLevel="1" collapsed="1" x14ac:dyDescent="0.25">
      <c r="A254" s="25"/>
      <c r="B254" s="13" t="str">
        <f>CONCATENATE("     ","Training                                          ")</f>
        <v xml:space="preserve">     Training                                          </v>
      </c>
      <c r="C254" s="13"/>
      <c r="D254" s="1">
        <f>SUM(OSRRefD22_22x_0)</f>
        <v>6530.86</v>
      </c>
      <c r="E254" s="1"/>
      <c r="F254" s="5">
        <f t="shared" ref="F254:F259" si="117">IF(D$12=0,0,D254/D$12)</f>
        <v>2.03801455131143E-3</v>
      </c>
      <c r="G254" s="1"/>
      <c r="H254" s="1">
        <f>SUM(OSRRefH22_22x_0)</f>
        <v>2275</v>
      </c>
      <c r="I254" s="1"/>
      <c r="J254" s="5">
        <f t="shared" ref="J254:J259" si="118">IF(H$12=0,0,H254/H$12)</f>
        <v>7.0928375601772976E-4</v>
      </c>
      <c r="K254" s="1"/>
      <c r="L254" s="1">
        <f t="shared" ref="L254:L259" si="119">+D254-H254</f>
        <v>4255.8599999999997</v>
      </c>
      <c r="M254" s="1"/>
      <c r="N254" s="5">
        <f t="shared" ref="N254:N259" si="120">IF(H254=0,0,L254/H254)</f>
        <v>1.8707076923076922</v>
      </c>
      <c r="O254" s="13"/>
      <c r="P254" s="1">
        <f>SUM(OSRRefP22_22x_0)</f>
        <v>7322.53</v>
      </c>
      <c r="Q254" s="1"/>
      <c r="R254" s="5">
        <f t="shared" ref="R254:R259" si="121">IF(P$12=0,0,P254/P$12)</f>
        <v>1.8647592064955823E-3</v>
      </c>
      <c r="S254" s="1"/>
      <c r="T254" s="1">
        <f>SUM(OSRRefT22_22x_0)</f>
        <v>4350</v>
      </c>
      <c r="U254" s="1"/>
      <c r="V254" s="5">
        <f t="shared" ref="V254:V259" si="122">IF(T$12=0,0,T254/T$12)</f>
        <v>1.0858865256107803E-3</v>
      </c>
      <c r="W254" s="1"/>
      <c r="X254" s="1">
        <f t="shared" ref="X254:X259" si="123">+P254-T254</f>
        <v>2972.5299999999997</v>
      </c>
      <c r="Y254" s="1"/>
      <c r="Z254" s="5">
        <f t="shared" ref="Z254:Z259" si="124">IF(T254=0,0,X254/T254)</f>
        <v>0.68334022988505738</v>
      </c>
    </row>
    <row r="255" spans="1:26" s="24" customFormat="1" hidden="1" outlineLevel="2" x14ac:dyDescent="0.25">
      <c r="A255" s="27"/>
      <c r="B255" s="11" t="str">
        <f>CONCATENATE("          ", "6376", " - ", "TRAINING")</f>
        <v xml:space="preserve">          6376 - TRAINING</v>
      </c>
      <c r="C255" s="11"/>
      <c r="D255" s="6">
        <v>6530.86</v>
      </c>
      <c r="E255" s="2"/>
      <c r="F255" s="7">
        <f t="shared" si="117"/>
        <v>2.03801455131143E-3</v>
      </c>
      <c r="G255" s="2"/>
      <c r="H255" s="6">
        <v>2275</v>
      </c>
      <c r="I255" s="2"/>
      <c r="J255" s="7">
        <f t="shared" si="118"/>
        <v>7.0928375601772976E-4</v>
      </c>
      <c r="K255" s="2"/>
      <c r="L255" s="6">
        <f t="shared" si="119"/>
        <v>4255.8599999999997</v>
      </c>
      <c r="M255" s="2"/>
      <c r="N255" s="7">
        <f t="shared" si="120"/>
        <v>1.8707076923076922</v>
      </c>
      <c r="O255" s="11"/>
      <c r="P255" s="6">
        <v>7322.53</v>
      </c>
      <c r="Q255" s="2"/>
      <c r="R255" s="7">
        <f t="shared" si="121"/>
        <v>1.8647592064955823E-3</v>
      </c>
      <c r="S255" s="2"/>
      <c r="T255" s="6">
        <v>4350</v>
      </c>
      <c r="U255" s="2"/>
      <c r="V255" s="7">
        <f t="shared" si="122"/>
        <v>1.0858865256107803E-3</v>
      </c>
      <c r="W255" s="2"/>
      <c r="X255" s="6">
        <f t="shared" si="123"/>
        <v>2972.5299999999997</v>
      </c>
      <c r="Y255" s="2"/>
      <c r="Z255" s="7">
        <f t="shared" si="124"/>
        <v>0.68334022988505738</v>
      </c>
    </row>
    <row r="256" spans="1:26" s="26" customFormat="1" outlineLevel="1" collapsed="1" x14ac:dyDescent="0.25">
      <c r="A256" s="25"/>
      <c r="B256" s="13" t="str">
        <f>CONCATENATE("     ","Travel                                            ")</f>
        <v xml:space="preserve">     Travel                                            </v>
      </c>
      <c r="C256" s="13"/>
      <c r="D256" s="1">
        <f>SUM(OSRRefD22_23x_0)</f>
        <v>184.35</v>
      </c>
      <c r="E256" s="1"/>
      <c r="F256" s="5">
        <f t="shared" si="117"/>
        <v>5.7528102353175857E-5</v>
      </c>
      <c r="G256" s="1"/>
      <c r="H256" s="1">
        <f>SUM(OSRRefH22_23x_0)</f>
        <v>150</v>
      </c>
      <c r="I256" s="1"/>
      <c r="J256" s="5">
        <f t="shared" si="118"/>
        <v>4.6765961935234928E-5</v>
      </c>
      <c r="K256" s="1"/>
      <c r="L256" s="1">
        <f t="shared" si="119"/>
        <v>34.349999999999994</v>
      </c>
      <c r="M256" s="1"/>
      <c r="N256" s="5">
        <f t="shared" si="120"/>
        <v>0.22899999999999995</v>
      </c>
      <c r="O256" s="13"/>
      <c r="P256" s="1">
        <f>SUM(OSRRefP22_23x_0)</f>
        <v>406.03</v>
      </c>
      <c r="Q256" s="1"/>
      <c r="R256" s="5">
        <f t="shared" si="121"/>
        <v>1.0339980588859332E-4</v>
      </c>
      <c r="S256" s="1"/>
      <c r="T256" s="1">
        <f>SUM(OSRRefT22_23x_0)</f>
        <v>710</v>
      </c>
      <c r="U256" s="1"/>
      <c r="V256" s="5">
        <f t="shared" si="122"/>
        <v>1.7723665130658714E-4</v>
      </c>
      <c r="W256" s="1"/>
      <c r="X256" s="1">
        <f t="shared" si="123"/>
        <v>-303.97000000000003</v>
      </c>
      <c r="Y256" s="1"/>
      <c r="Z256" s="5">
        <f t="shared" si="124"/>
        <v>-0.42812676056338034</v>
      </c>
    </row>
    <row r="257" spans="1:26" s="24" customFormat="1" hidden="1" outlineLevel="2" x14ac:dyDescent="0.25">
      <c r="A257" s="27"/>
      <c r="B257" s="11" t="str">
        <f>CONCATENATE("          ", "6292", " - ", "TRAVEL/CONFERENCE")</f>
        <v xml:space="preserve">          6292 - TRAVEL/CONFERENCE</v>
      </c>
      <c r="C257" s="11"/>
      <c r="D257" s="6">
        <v>100.16</v>
      </c>
      <c r="E257" s="2"/>
      <c r="F257" s="7">
        <f t="shared" si="117"/>
        <v>3.1255843404904223E-5</v>
      </c>
      <c r="G257" s="2"/>
      <c r="H257" s="6"/>
      <c r="I257" s="2"/>
      <c r="J257" s="7">
        <f t="shared" si="118"/>
        <v>0</v>
      </c>
      <c r="K257" s="2"/>
      <c r="L257" s="6">
        <f t="shared" si="119"/>
        <v>100.16</v>
      </c>
      <c r="M257" s="2"/>
      <c r="N257" s="7">
        <f t="shared" si="120"/>
        <v>0</v>
      </c>
      <c r="O257" s="11"/>
      <c r="P257" s="6">
        <v>250.64</v>
      </c>
      <c r="Q257" s="2"/>
      <c r="R257" s="7">
        <f t="shared" si="121"/>
        <v>6.3828109617311606E-5</v>
      </c>
      <c r="S257" s="2"/>
      <c r="T257" s="6"/>
      <c r="U257" s="2"/>
      <c r="V257" s="7">
        <f t="shared" si="122"/>
        <v>0</v>
      </c>
      <c r="W257" s="2"/>
      <c r="X257" s="6">
        <f t="shared" si="123"/>
        <v>250.64</v>
      </c>
      <c r="Y257" s="2"/>
      <c r="Z257" s="7">
        <f t="shared" si="124"/>
        <v>0</v>
      </c>
    </row>
    <row r="258" spans="1:26" s="24" customFormat="1" hidden="1" outlineLevel="2" x14ac:dyDescent="0.25">
      <c r="A258" s="27"/>
      <c r="B258" s="11" t="str">
        <f>CONCATENATE("          ", "6294", " - ", "TRAVEL OPERATIONAL")</f>
        <v xml:space="preserve">          6294 - TRAVEL OPERATIONAL</v>
      </c>
      <c r="C258" s="11"/>
      <c r="D258" s="6">
        <v>68.67</v>
      </c>
      <c r="E258" s="2"/>
      <c r="F258" s="7">
        <f t="shared" si="117"/>
        <v>2.1429101104380725E-5</v>
      </c>
      <c r="G258" s="2"/>
      <c r="H258" s="6">
        <v>150</v>
      </c>
      <c r="I258" s="2"/>
      <c r="J258" s="7">
        <f t="shared" si="118"/>
        <v>4.6765961935234928E-5</v>
      </c>
      <c r="K258" s="2"/>
      <c r="L258" s="6">
        <f t="shared" si="119"/>
        <v>-81.33</v>
      </c>
      <c r="M258" s="2"/>
      <c r="N258" s="7">
        <f t="shared" si="120"/>
        <v>-0.54220000000000002</v>
      </c>
      <c r="O258" s="11"/>
      <c r="P258" s="6">
        <v>68.67</v>
      </c>
      <c r="Q258" s="2"/>
      <c r="R258" s="7">
        <f t="shared" si="121"/>
        <v>1.7487537054822808E-5</v>
      </c>
      <c r="S258" s="2"/>
      <c r="T258" s="6">
        <v>260</v>
      </c>
      <c r="U258" s="2"/>
      <c r="V258" s="7">
        <f t="shared" si="122"/>
        <v>6.4903562450299509E-5</v>
      </c>
      <c r="W258" s="2"/>
      <c r="X258" s="6">
        <f t="shared" si="123"/>
        <v>-191.32999999999998</v>
      </c>
      <c r="Y258" s="2"/>
      <c r="Z258" s="7">
        <f t="shared" si="124"/>
        <v>-0.73588461538461536</v>
      </c>
    </row>
    <row r="259" spans="1:26" s="24" customFormat="1" hidden="1" outlineLevel="2" x14ac:dyDescent="0.25">
      <c r="A259" s="27"/>
      <c r="B259" s="11" t="str">
        <f>CONCATENATE("          ", "6298", " - ", "VEHICLE MILEAGE")</f>
        <v xml:space="preserve">          6298 - VEHICLE MILEAGE</v>
      </c>
      <c r="C259" s="11"/>
      <c r="D259" s="6">
        <v>15.52</v>
      </c>
      <c r="E259" s="2"/>
      <c r="F259" s="7">
        <f t="shared" si="117"/>
        <v>4.8431578438909102E-6</v>
      </c>
      <c r="G259" s="2"/>
      <c r="H259" s="6"/>
      <c r="I259" s="2"/>
      <c r="J259" s="7">
        <f t="shared" si="118"/>
        <v>0</v>
      </c>
      <c r="K259" s="2"/>
      <c r="L259" s="6">
        <f t="shared" si="119"/>
        <v>15.52</v>
      </c>
      <c r="M259" s="2"/>
      <c r="N259" s="7">
        <f t="shared" si="120"/>
        <v>0</v>
      </c>
      <c r="O259" s="11"/>
      <c r="P259" s="6">
        <v>86.72</v>
      </c>
      <c r="Q259" s="2"/>
      <c r="R259" s="7">
        <f t="shared" si="121"/>
        <v>2.2084159216458916E-5</v>
      </c>
      <c r="S259" s="2"/>
      <c r="T259" s="6">
        <v>450</v>
      </c>
      <c r="U259" s="2"/>
      <c r="V259" s="7">
        <f t="shared" si="122"/>
        <v>1.1233308885628761E-4</v>
      </c>
      <c r="W259" s="2"/>
      <c r="X259" s="6">
        <f t="shared" si="123"/>
        <v>-363.28</v>
      </c>
      <c r="Y259" s="2"/>
      <c r="Z259" s="7">
        <f t="shared" si="124"/>
        <v>-0.80728888888888883</v>
      </c>
    </row>
    <row r="260" spans="1:26" s="26" customFormat="1" outlineLevel="1" collapsed="1" x14ac:dyDescent="0.25">
      <c r="A260" s="25"/>
      <c r="B260" s="13" t="str">
        <f>CONCATENATE("     ","Utilities                                         ")</f>
        <v xml:space="preserve">     Utilities                                         </v>
      </c>
      <c r="C260" s="13"/>
      <c r="D260" s="1">
        <f>SUM(OSRRefD22_24x_0)</f>
        <v>53.78</v>
      </c>
      <c r="E260" s="1"/>
      <c r="F260" s="5">
        <f t="shared" ref="F260:F261" si="125">IF(D$12=0,0,D260/D$12)</f>
        <v>1.6782540518328168E-5</v>
      </c>
      <c r="G260" s="1"/>
      <c r="H260" s="1">
        <f>SUM(OSRRefH22_24x_0)</f>
        <v>5075</v>
      </c>
      <c r="I260" s="1"/>
      <c r="J260" s="5">
        <f t="shared" ref="J260:J261" si="126">IF(H$12=0,0,H260/H$12)</f>
        <v>1.5822483788087817E-3</v>
      </c>
      <c r="K260" s="1"/>
      <c r="L260" s="1">
        <f t="shared" ref="L260:L261" si="127">+D260-H260</f>
        <v>-5021.22</v>
      </c>
      <c r="M260" s="1"/>
      <c r="N260" s="5">
        <f t="shared" ref="N260:N261" si="128">IF(H260=0,0,L260/H260)</f>
        <v>-0.98940295566502467</v>
      </c>
      <c r="O260" s="13"/>
      <c r="P260" s="1">
        <f>SUM(OSRRefP22_24x_0)</f>
        <v>5689.78</v>
      </c>
      <c r="Q260" s="1"/>
      <c r="R260" s="5">
        <f t="shared" ref="R260:R261" si="129">IF(P$12=0,0,P260/P$12)</f>
        <v>1.448962262760881E-3</v>
      </c>
      <c r="S260" s="1"/>
      <c r="T260" s="1">
        <f>SUM(OSRRefT22_24x_0)</f>
        <v>10175</v>
      </c>
      <c r="U260" s="1"/>
      <c r="V260" s="5">
        <f t="shared" ref="V260:V261" si="130">IF(T$12=0,0,T260/T$12)</f>
        <v>2.5399759535838368E-3</v>
      </c>
      <c r="W260" s="1"/>
      <c r="X260" s="1">
        <f t="shared" ref="X260:X261" si="131">+P260-T260</f>
        <v>-4485.22</v>
      </c>
      <c r="Y260" s="1"/>
      <c r="Z260" s="5">
        <f t="shared" ref="Z260:Z261" si="132">IF(T260=0,0,X260/T260)</f>
        <v>-0.44080786240786241</v>
      </c>
    </row>
    <row r="261" spans="1:26" s="24" customFormat="1" hidden="1" outlineLevel="2" x14ac:dyDescent="0.25">
      <c r="A261" s="27"/>
      <c r="B261" s="11" t="str">
        <f>CONCATENATE("          ", "6274", " - ", "UTILITIES")</f>
        <v xml:space="preserve">          6274 - UTILITIES</v>
      </c>
      <c r="C261" s="11"/>
      <c r="D261" s="6">
        <v>53.78</v>
      </c>
      <c r="E261" s="2"/>
      <c r="F261" s="7">
        <f t="shared" si="125"/>
        <v>1.6782540518328168E-5</v>
      </c>
      <c r="G261" s="2"/>
      <c r="H261" s="6">
        <v>5075</v>
      </c>
      <c r="I261" s="2"/>
      <c r="J261" s="7">
        <f t="shared" si="126"/>
        <v>1.5822483788087817E-3</v>
      </c>
      <c r="K261" s="2"/>
      <c r="L261" s="6">
        <f t="shared" si="127"/>
        <v>-5021.22</v>
      </c>
      <c r="M261" s="2"/>
      <c r="N261" s="7">
        <f t="shared" si="128"/>
        <v>-0.98940295566502467</v>
      </c>
      <c r="O261" s="11"/>
      <c r="P261" s="6">
        <v>5689.78</v>
      </c>
      <c r="Q261" s="2"/>
      <c r="R261" s="7">
        <f t="shared" si="129"/>
        <v>1.448962262760881E-3</v>
      </c>
      <c r="S261" s="2"/>
      <c r="T261" s="6">
        <v>10175</v>
      </c>
      <c r="U261" s="2"/>
      <c r="V261" s="7">
        <f t="shared" si="130"/>
        <v>2.5399759535838368E-3</v>
      </c>
      <c r="W261" s="2"/>
      <c r="X261" s="6">
        <f t="shared" si="131"/>
        <v>-4485.22</v>
      </c>
      <c r="Y261" s="2"/>
      <c r="Z261" s="7">
        <f t="shared" si="132"/>
        <v>-0.44080786240786241</v>
      </c>
    </row>
    <row r="262" spans="1:26" s="63" customFormat="1" x14ac:dyDescent="0.25">
      <c r="A262" s="36"/>
      <c r="B262" s="36"/>
      <c r="C262" s="36"/>
      <c r="D262" s="1"/>
      <c r="E262" s="1"/>
      <c r="F262" s="5"/>
      <c r="G262" s="1"/>
      <c r="H262" s="1"/>
      <c r="I262" s="1"/>
      <c r="J262" s="5"/>
      <c r="K262" s="1"/>
      <c r="L262" s="1"/>
      <c r="M262" s="1"/>
      <c r="N262" s="5"/>
      <c r="O262" s="36"/>
      <c r="P262" s="1"/>
      <c r="Q262" s="1"/>
      <c r="R262" s="5"/>
      <c r="S262" s="1"/>
      <c r="T262" s="1"/>
      <c r="U262" s="1"/>
      <c r="V262" s="5"/>
      <c r="W262" s="1"/>
      <c r="X262" s="1"/>
      <c r="Y262" s="1"/>
      <c r="Z262" s="5"/>
    </row>
    <row r="263" spans="1:26" s="23" customFormat="1" collapsed="1" x14ac:dyDescent="0.25">
      <c r="A263" s="10"/>
      <c r="B263" s="28" t="s">
        <v>0</v>
      </c>
      <c r="C263" s="10"/>
      <c r="D263" s="4">
        <f>SUM(OSRRefD25x_0)</f>
        <v>47308.399999999994</v>
      </c>
      <c r="E263" s="4"/>
      <c r="F263" s="12">
        <f t="shared" ref="F263:F272" si="133">IF(D$12=0,0,D263/D$12)</f>
        <v>1.4763018591619119E-2</v>
      </c>
      <c r="G263" s="4"/>
      <c r="H263" s="4">
        <f>SUM(OSRRefH25x_0)</f>
        <v>66900</v>
      </c>
      <c r="I263" s="4"/>
      <c r="J263" s="12">
        <f t="shared" ref="J263:J272" si="134">IF(H$12=0,0,H263/H$12)</f>
        <v>2.0857619023114778E-2</v>
      </c>
      <c r="K263" s="4"/>
      <c r="L263" s="4">
        <f t="shared" ref="L263:L272" si="135">+D263-H263</f>
        <v>-19591.600000000006</v>
      </c>
      <c r="M263" s="4"/>
      <c r="N263" s="12">
        <f t="shared" ref="N263:N272" si="136">IF(H263=0,0,L263/H263)</f>
        <v>-0.29284902840059801</v>
      </c>
      <c r="O263" s="10"/>
      <c r="P263" s="4">
        <f>SUM(OSRRefP25x_0)</f>
        <v>118193.31</v>
      </c>
      <c r="Q263" s="4"/>
      <c r="R263" s="12">
        <f t="shared" ref="R263:R272" si="137">IF(P$12=0,0,P263/P$12)</f>
        <v>3.0099168315962703E-2</v>
      </c>
      <c r="S263" s="4"/>
      <c r="T263" s="4">
        <f>SUM(OSRRefT25x_0)</f>
        <v>127925</v>
      </c>
      <c r="U263" s="4"/>
      <c r="V263" s="12">
        <f t="shared" ref="V263:V272" si="138">IF(T$12=0,0,T263/T$12)</f>
        <v>3.1933800870979093E-2</v>
      </c>
      <c r="W263" s="4"/>
      <c r="X263" s="4">
        <f t="shared" ref="X263:X272" si="139">+P263-T263</f>
        <v>-9731.6900000000023</v>
      </c>
      <c r="Y263" s="4"/>
      <c r="Z263" s="12">
        <f t="shared" ref="Z263:Z272" si="140">IF(T263=0,0,X263/T263)</f>
        <v>-7.607340238420951E-2</v>
      </c>
    </row>
    <row r="264" spans="1:26" s="24" customFormat="1" hidden="1" outlineLevel="1" x14ac:dyDescent="0.25">
      <c r="A264" s="46"/>
      <c r="B264" s="11" t="str">
        <f>CONCATENATE("          ", "4098", " - ", "TAXABLE SALES-GRAD RENTALS")</f>
        <v xml:space="preserve">          4098 - TAXABLE SALES-GRAD RENTALS</v>
      </c>
      <c r="C264" s="11"/>
      <c r="D264" s="2">
        <f>--1552.15</f>
        <v>1552.15</v>
      </c>
      <c r="E264" s="2"/>
      <c r="F264" s="21">
        <f t="shared" si="133"/>
        <v>4.8436259326000499E-4</v>
      </c>
      <c r="G264" s="2"/>
      <c r="H264" s="2"/>
      <c r="I264" s="2"/>
      <c r="J264" s="21">
        <f t="shared" si="134"/>
        <v>0</v>
      </c>
      <c r="K264" s="2"/>
      <c r="L264" s="2">
        <f t="shared" si="135"/>
        <v>1552.15</v>
      </c>
      <c r="M264" s="2"/>
      <c r="N264" s="21">
        <f t="shared" si="136"/>
        <v>0</v>
      </c>
      <c r="O264" s="11"/>
      <c r="P264" s="2">
        <f>--1626.85</f>
        <v>1626.85</v>
      </c>
      <c r="Q264" s="2"/>
      <c r="R264" s="21">
        <f t="shared" si="137"/>
        <v>4.1429444674003901E-4</v>
      </c>
      <c r="S264" s="2"/>
      <c r="T264" s="2"/>
      <c r="U264" s="2"/>
      <c r="V264" s="21">
        <f t="shared" si="138"/>
        <v>0</v>
      </c>
      <c r="W264" s="2"/>
      <c r="X264" s="2">
        <f t="shared" si="139"/>
        <v>1626.85</v>
      </c>
      <c r="Y264" s="2"/>
      <c r="Z264" s="21">
        <f t="shared" si="140"/>
        <v>0</v>
      </c>
    </row>
    <row r="265" spans="1:26" s="24" customFormat="1" hidden="1" outlineLevel="1" x14ac:dyDescent="0.25">
      <c r="A265" s="46"/>
      <c r="B265" s="11" t="str">
        <f>CONCATENATE("          ", "4187", " - ", "NON-TAXABLE SALES-COMPUTER REP")</f>
        <v xml:space="preserve">          4187 - NON-TAXABLE SALES-COMPUTER REP</v>
      </c>
      <c r="C265" s="11"/>
      <c r="D265" s="2">
        <f>--1700.37</f>
        <v>1700.37</v>
      </c>
      <c r="E265" s="2"/>
      <c r="F265" s="21">
        <f t="shared" si="133"/>
        <v>5.3061599890572085E-4</v>
      </c>
      <c r="G265" s="2"/>
      <c r="H265" s="2"/>
      <c r="I265" s="2"/>
      <c r="J265" s="21">
        <f t="shared" si="134"/>
        <v>0</v>
      </c>
      <c r="K265" s="2"/>
      <c r="L265" s="2">
        <f t="shared" si="135"/>
        <v>1700.37</v>
      </c>
      <c r="M265" s="2"/>
      <c r="N265" s="21">
        <f t="shared" si="136"/>
        <v>0</v>
      </c>
      <c r="O265" s="11"/>
      <c r="P265" s="2">
        <f>--2482.26</f>
        <v>2482.2600000000002</v>
      </c>
      <c r="Q265" s="2"/>
      <c r="R265" s="21">
        <f t="shared" si="137"/>
        <v>6.3213359152037955E-4</v>
      </c>
      <c r="S265" s="2"/>
      <c r="T265" s="2"/>
      <c r="U265" s="2"/>
      <c r="V265" s="21">
        <f t="shared" si="138"/>
        <v>0</v>
      </c>
      <c r="W265" s="2"/>
      <c r="X265" s="2">
        <f t="shared" si="139"/>
        <v>2482.2600000000002</v>
      </c>
      <c r="Y265" s="2"/>
      <c r="Z265" s="21">
        <f t="shared" si="140"/>
        <v>0</v>
      </c>
    </row>
    <row r="266" spans="1:26" s="24" customFormat="1" hidden="1" outlineLevel="1" x14ac:dyDescent="0.25">
      <c r="A266" s="46"/>
      <c r="B266" s="11" t="str">
        <f>CONCATENATE("          ", "4197", " - ", "NON-TAXABLE SALES-RETURNED CHE")</f>
        <v xml:space="preserve">          4197 - NON-TAXABLE SALES-RETURNED CHE</v>
      </c>
      <c r="C266" s="11"/>
      <c r="D266" s="2">
        <f>--30</f>
        <v>30</v>
      </c>
      <c r="E266" s="2"/>
      <c r="F266" s="21">
        <f t="shared" si="133"/>
        <v>9.3617741827788218E-6</v>
      </c>
      <c r="G266" s="2"/>
      <c r="H266" s="2"/>
      <c r="I266" s="2"/>
      <c r="J266" s="21">
        <f t="shared" si="134"/>
        <v>0</v>
      </c>
      <c r="K266" s="2"/>
      <c r="L266" s="2">
        <f t="shared" si="135"/>
        <v>30</v>
      </c>
      <c r="M266" s="2"/>
      <c r="N266" s="21">
        <f t="shared" si="136"/>
        <v>0</v>
      </c>
      <c r="O266" s="11"/>
      <c r="P266" s="2">
        <f>--30</f>
        <v>30</v>
      </c>
      <c r="Q266" s="2"/>
      <c r="R266" s="21">
        <f t="shared" si="137"/>
        <v>7.6398152270960268E-6</v>
      </c>
      <c r="S266" s="2"/>
      <c r="T266" s="2"/>
      <c r="U266" s="2"/>
      <c r="V266" s="21">
        <f t="shared" si="138"/>
        <v>0</v>
      </c>
      <c r="W266" s="2"/>
      <c r="X266" s="2">
        <f t="shared" si="139"/>
        <v>30</v>
      </c>
      <c r="Y266" s="2"/>
      <c r="Z266" s="21">
        <f t="shared" si="140"/>
        <v>0</v>
      </c>
    </row>
    <row r="267" spans="1:26" s="24" customFormat="1" hidden="1" outlineLevel="1" x14ac:dyDescent="0.25">
      <c r="A267" s="46"/>
      <c r="B267" s="11" t="str">
        <f>CONCATENATE("          ", "4198", " - ", "NON-TAXABLE SALES-GRAD RENTALS")</f>
        <v xml:space="preserve">          4198 - NON-TAXABLE SALES-GRAD RENTALS</v>
      </c>
      <c r="C267" s="11"/>
      <c r="D267" s="2">
        <f>--210</f>
        <v>210</v>
      </c>
      <c r="E267" s="2"/>
      <c r="F267" s="21">
        <f t="shared" si="133"/>
        <v>6.5532419279451756E-5</v>
      </c>
      <c r="G267" s="2"/>
      <c r="H267" s="2"/>
      <c r="I267" s="2"/>
      <c r="J267" s="21">
        <f t="shared" si="134"/>
        <v>0</v>
      </c>
      <c r="K267" s="2"/>
      <c r="L267" s="2">
        <f t="shared" si="135"/>
        <v>210</v>
      </c>
      <c r="M267" s="2"/>
      <c r="N267" s="21">
        <f t="shared" si="136"/>
        <v>0</v>
      </c>
      <c r="O267" s="11"/>
      <c r="P267" s="2">
        <f>--465</f>
        <v>465</v>
      </c>
      <c r="Q267" s="2"/>
      <c r="R267" s="21">
        <f t="shared" si="137"/>
        <v>1.1841713601998842E-4</v>
      </c>
      <c r="S267" s="2"/>
      <c r="T267" s="2"/>
      <c r="U267" s="2"/>
      <c r="V267" s="21">
        <f t="shared" si="138"/>
        <v>0</v>
      </c>
      <c r="W267" s="2"/>
      <c r="X267" s="2">
        <f t="shared" si="139"/>
        <v>465</v>
      </c>
      <c r="Y267" s="2"/>
      <c r="Z267" s="21">
        <f t="shared" si="140"/>
        <v>0</v>
      </c>
    </row>
    <row r="268" spans="1:26" s="24" customFormat="1" hidden="1" outlineLevel="1" x14ac:dyDescent="0.25">
      <c r="A268" s="46"/>
      <c r="B268" s="11" t="str">
        <f>CONCATENATE("          ", "4387", " - ", "SALES RETURN NON TAXABLE-COMPU")</f>
        <v xml:space="preserve">          4387 - SALES RETURN NON TAXABLE-COMPU</v>
      </c>
      <c r="C268" s="11"/>
      <c r="D268" s="2">
        <f>-2820.7</f>
        <v>-2820.7</v>
      </c>
      <c r="E268" s="2"/>
      <c r="F268" s="21">
        <f t="shared" si="133"/>
        <v>-8.8022521457880741E-4</v>
      </c>
      <c r="G268" s="2"/>
      <c r="H268" s="2"/>
      <c r="I268" s="2"/>
      <c r="J268" s="21">
        <f t="shared" si="134"/>
        <v>0</v>
      </c>
      <c r="K268" s="2"/>
      <c r="L268" s="2">
        <f t="shared" si="135"/>
        <v>-2820.7</v>
      </c>
      <c r="M268" s="2"/>
      <c r="N268" s="21">
        <f t="shared" si="136"/>
        <v>0</v>
      </c>
      <c r="O268" s="11"/>
      <c r="P268" s="2">
        <f>-3451.5</f>
        <v>-3451.5</v>
      </c>
      <c r="Q268" s="2"/>
      <c r="R268" s="21">
        <f t="shared" si="137"/>
        <v>-8.7896074187739787E-4</v>
      </c>
      <c r="S268" s="2"/>
      <c r="T268" s="2"/>
      <c r="U268" s="2"/>
      <c r="V268" s="21">
        <f t="shared" si="138"/>
        <v>0</v>
      </c>
      <c r="W268" s="2"/>
      <c r="X268" s="2">
        <f t="shared" si="139"/>
        <v>-3451.5</v>
      </c>
      <c r="Y268" s="2"/>
      <c r="Z268" s="21">
        <f t="shared" si="140"/>
        <v>0</v>
      </c>
    </row>
    <row r="269" spans="1:26" s="24" customFormat="1" hidden="1" outlineLevel="1" x14ac:dyDescent="0.25">
      <c r="A269" s="46"/>
      <c r="B269" s="11" t="str">
        <f>CONCATENATE("          ", "9150", " - ", "MISC. INCOME")</f>
        <v xml:space="preserve">          9150 - MISC. INCOME</v>
      </c>
      <c r="C269" s="11"/>
      <c r="D269" s="2">
        <f>--25629.17</f>
        <v>25629.17</v>
      </c>
      <c r="E269" s="2"/>
      <c r="F269" s="21">
        <f t="shared" si="133"/>
        <v>7.9978167344016502E-3</v>
      </c>
      <c r="G269" s="2"/>
      <c r="H269" s="2">
        <v>43500</v>
      </c>
      <c r="I269" s="2"/>
      <c r="J269" s="21">
        <f t="shared" si="134"/>
        <v>1.3562128961218129E-2</v>
      </c>
      <c r="K269" s="2"/>
      <c r="L269" s="2">
        <f t="shared" si="135"/>
        <v>-17870.830000000002</v>
      </c>
      <c r="M269" s="2"/>
      <c r="N269" s="21">
        <f t="shared" si="136"/>
        <v>-0.41082367816091958</v>
      </c>
      <c r="O269" s="11"/>
      <c r="P269" s="2">
        <f>--96127.78</f>
        <v>96127.78</v>
      </c>
      <c r="Q269" s="2"/>
      <c r="R269" s="21">
        <f t="shared" si="137"/>
        <v>2.4479949246364565E-2</v>
      </c>
      <c r="S269" s="2"/>
      <c r="T269" s="2">
        <v>74075</v>
      </c>
      <c r="U269" s="2"/>
      <c r="V269" s="21">
        <f t="shared" si="138"/>
        <v>1.8491274571176677E-2</v>
      </c>
      <c r="W269" s="2"/>
      <c r="X269" s="2">
        <f t="shared" si="139"/>
        <v>22052.78</v>
      </c>
      <c r="Y269" s="2"/>
      <c r="Z269" s="21">
        <f t="shared" si="140"/>
        <v>0.29770880863989196</v>
      </c>
    </row>
    <row r="270" spans="1:26" s="24" customFormat="1" hidden="1" outlineLevel="1" x14ac:dyDescent="0.25">
      <c r="A270" s="46"/>
      <c r="B270" s="11" t="str">
        <f>CONCATENATE("          ", "9151", " - ", "MISC. INCOME")</f>
        <v xml:space="preserve">          9151 - MISC. INCOME</v>
      </c>
      <c r="C270" s="11"/>
      <c r="D270" s="2">
        <f>-170.02</f>
        <v>-170.02</v>
      </c>
      <c r="E270" s="2"/>
      <c r="F270" s="21">
        <f t="shared" si="133"/>
        <v>-5.305629488520185E-5</v>
      </c>
      <c r="G270" s="2"/>
      <c r="H270" s="2">
        <v>600</v>
      </c>
      <c r="I270" s="2"/>
      <c r="J270" s="21">
        <f t="shared" si="134"/>
        <v>1.8706384774093971E-4</v>
      </c>
      <c r="K270" s="2"/>
      <c r="L270" s="2">
        <f t="shared" si="135"/>
        <v>-770.02</v>
      </c>
      <c r="M270" s="2"/>
      <c r="N270" s="21">
        <f t="shared" si="136"/>
        <v>-1.2833666666666665</v>
      </c>
      <c r="O270" s="11"/>
      <c r="P270" s="2">
        <f>-264.51</f>
        <v>-264.51</v>
      </c>
      <c r="Q270" s="2"/>
      <c r="R270" s="21">
        <f t="shared" si="137"/>
        <v>-6.7360250857305664E-5</v>
      </c>
      <c r="S270" s="2"/>
      <c r="T270" s="2">
        <v>13450</v>
      </c>
      <c r="U270" s="2"/>
      <c r="V270" s="21">
        <f t="shared" si="138"/>
        <v>3.357511211371263E-3</v>
      </c>
      <c r="W270" s="2"/>
      <c r="X270" s="2">
        <f t="shared" si="139"/>
        <v>-13714.51</v>
      </c>
      <c r="Y270" s="2"/>
      <c r="Z270" s="21">
        <f t="shared" si="140"/>
        <v>-1.0196661710037176</v>
      </c>
    </row>
    <row r="271" spans="1:26" s="24" customFormat="1" hidden="1" outlineLevel="1" x14ac:dyDescent="0.25">
      <c r="A271" s="46"/>
      <c r="B271" s="11" t="str">
        <f>CONCATENATE("          ", "9152", " - ", "MISC. INCOME")</f>
        <v xml:space="preserve">          9152 - MISC. INCOME</v>
      </c>
      <c r="C271" s="11"/>
      <c r="D271" s="2">
        <f>--7.43</f>
        <v>7.43</v>
      </c>
      <c r="E271" s="2"/>
      <c r="F271" s="21">
        <f t="shared" si="133"/>
        <v>2.318599405934888E-6</v>
      </c>
      <c r="G271" s="2"/>
      <c r="H271" s="2"/>
      <c r="I271" s="2"/>
      <c r="J271" s="21">
        <f t="shared" si="134"/>
        <v>0</v>
      </c>
      <c r="K271" s="2"/>
      <c r="L271" s="2">
        <f t="shared" si="135"/>
        <v>7.43</v>
      </c>
      <c r="M271" s="2"/>
      <c r="N271" s="21">
        <f t="shared" si="136"/>
        <v>0</v>
      </c>
      <c r="O271" s="11"/>
      <c r="P271" s="2">
        <f>--7.43</f>
        <v>7.43</v>
      </c>
      <c r="Q271" s="2"/>
      <c r="R271" s="21">
        <f t="shared" si="137"/>
        <v>1.892127571244116E-6</v>
      </c>
      <c r="S271" s="2"/>
      <c r="T271" s="2"/>
      <c r="U271" s="2"/>
      <c r="V271" s="21">
        <f t="shared" si="138"/>
        <v>0</v>
      </c>
      <c r="W271" s="2"/>
      <c r="X271" s="2">
        <f t="shared" si="139"/>
        <v>7.43</v>
      </c>
      <c r="Y271" s="2"/>
      <c r="Z271" s="21">
        <f t="shared" si="140"/>
        <v>0</v>
      </c>
    </row>
    <row r="272" spans="1:26" s="24" customFormat="1" hidden="1" outlineLevel="1" x14ac:dyDescent="0.25">
      <c r="A272" s="46"/>
      <c r="B272" s="11" t="str">
        <f>CONCATENATE("          ", "9160", " - ", "MISC. INCOME")</f>
        <v xml:space="preserve">          9160 - MISC. INCOME</v>
      </c>
      <c r="C272" s="11"/>
      <c r="D272" s="2">
        <f>--21170</f>
        <v>21170</v>
      </c>
      <c r="E272" s="2"/>
      <c r="F272" s="21">
        <f t="shared" si="133"/>
        <v>6.606291981647589E-3</v>
      </c>
      <c r="G272" s="2"/>
      <c r="H272" s="2">
        <v>22800</v>
      </c>
      <c r="I272" s="2"/>
      <c r="J272" s="21">
        <f t="shared" si="134"/>
        <v>7.1084262141557089E-3</v>
      </c>
      <c r="K272" s="2"/>
      <c r="L272" s="2">
        <f t="shared" si="135"/>
        <v>-1630</v>
      </c>
      <c r="M272" s="2"/>
      <c r="N272" s="21">
        <f t="shared" si="136"/>
        <v>-7.1491228070175439E-2</v>
      </c>
      <c r="O272" s="11"/>
      <c r="P272" s="2">
        <f>--21170</f>
        <v>21170</v>
      </c>
      <c r="Q272" s="2"/>
      <c r="R272" s="21">
        <f t="shared" si="137"/>
        <v>5.391162945254096E-3</v>
      </c>
      <c r="S272" s="2"/>
      <c r="T272" s="2">
        <v>40400</v>
      </c>
      <c r="U272" s="2"/>
      <c r="V272" s="21">
        <f t="shared" si="138"/>
        <v>1.0085015088431154E-2</v>
      </c>
      <c r="W272" s="2"/>
      <c r="X272" s="2">
        <f t="shared" si="139"/>
        <v>-19230</v>
      </c>
      <c r="Y272" s="2"/>
      <c r="Z272" s="21">
        <f t="shared" si="140"/>
        <v>-0.47599009900990097</v>
      </c>
    </row>
    <row r="273" spans="1:26" x14ac:dyDescent="0.25">
      <c r="A273" s="9"/>
      <c r="B273" s="10"/>
      <c r="C273" s="10"/>
      <c r="D273" s="3"/>
      <c r="E273" s="3"/>
      <c r="F273" s="8"/>
      <c r="G273" s="3"/>
      <c r="H273" s="3"/>
      <c r="I273" s="3"/>
      <c r="J273" s="8"/>
      <c r="K273" s="3"/>
      <c r="L273" s="3"/>
      <c r="M273" s="3"/>
      <c r="N273" s="8"/>
      <c r="O273" s="10"/>
      <c r="P273" s="3"/>
      <c r="Q273" s="3"/>
      <c r="R273" s="8"/>
      <c r="S273" s="3"/>
      <c r="T273" s="3"/>
      <c r="U273" s="3"/>
      <c r="V273" s="8"/>
      <c r="W273" s="3"/>
      <c r="X273" s="3"/>
      <c r="Y273" s="3"/>
      <c r="Z273" s="8"/>
    </row>
    <row r="274" spans="1:26" s="23" customFormat="1" x14ac:dyDescent="0.25">
      <c r="A274" s="10"/>
      <c r="B274" s="29" t="s">
        <v>3</v>
      </c>
      <c r="C274" s="29"/>
      <c r="D274" s="22">
        <f>+D167-D169+D263</f>
        <v>551266.39000000013</v>
      </c>
      <c r="E274" s="14"/>
      <c r="F274" s="20">
        <f>IF(D$12=0,0,D274/D$12)</f>
        <v>0.1720277152578561</v>
      </c>
      <c r="G274" s="14"/>
      <c r="H274" s="22">
        <f>+H167-H169+H263</f>
        <v>685775.69400165207</v>
      </c>
      <c r="I274" s="14"/>
      <c r="J274" s="20">
        <f>IF(H$12=0,0,H274/H$12)</f>
        <v>0.21380640001193718</v>
      </c>
      <c r="K274" s="15"/>
      <c r="L274" s="22">
        <f>+D274-H274</f>
        <v>-134509.30400165194</v>
      </c>
      <c r="M274" s="15"/>
      <c r="N274" s="20">
        <f>IF(H274=0,0,L274/H274)</f>
        <v>-0.19614183643161884</v>
      </c>
      <c r="O274" s="28"/>
      <c r="P274" s="22">
        <f>+P167-P169+P263</f>
        <v>427390.21000000072</v>
      </c>
      <c r="Q274" s="14"/>
      <c r="R274" s="20">
        <f>IF(P$12=0,0,P274/P$12)</f>
        <v>0.10883940780899247</v>
      </c>
      <c r="S274" s="14"/>
      <c r="T274" s="22">
        <f>+T167-T169+T263</f>
        <v>570234.56659651711</v>
      </c>
      <c r="U274" s="14"/>
      <c r="V274" s="20">
        <f>IF(T$12=0,0,T274/T$12)</f>
        <v>0.14234713386314046</v>
      </c>
      <c r="W274" s="15"/>
      <c r="X274" s="22">
        <f>+P274-T274</f>
        <v>-142844.35659651639</v>
      </c>
      <c r="Y274" s="15"/>
      <c r="Z274" s="20">
        <f>IF(T274=0,0,X274/T274)</f>
        <v>-0.25050104810217383</v>
      </c>
    </row>
    <row r="275" spans="1:26" x14ac:dyDescent="0.25">
      <c r="A275" s="9"/>
      <c r="B275" s="10"/>
      <c r="C275" s="9"/>
      <c r="D275" s="3"/>
      <c r="E275" s="3"/>
      <c r="F275" s="8"/>
      <c r="G275" s="3"/>
      <c r="H275" s="3"/>
      <c r="I275" s="3"/>
      <c r="J275" s="8"/>
      <c r="K275" s="3"/>
      <c r="L275" s="3"/>
      <c r="M275" s="3"/>
      <c r="N275" s="8"/>
      <c r="P275" s="3"/>
      <c r="Q275" s="3"/>
      <c r="R275" s="8"/>
      <c r="S275" s="3"/>
      <c r="T275" s="3"/>
      <c r="U275" s="3"/>
      <c r="V275" s="8"/>
      <c r="W275" s="3"/>
      <c r="X275" s="3"/>
      <c r="Y275" s="3"/>
      <c r="Z275" s="8"/>
    </row>
    <row r="276" spans="1:26" s="23" customFormat="1" x14ac:dyDescent="0.25">
      <c r="A276" s="52"/>
      <c r="B276" s="10" t="s">
        <v>14</v>
      </c>
      <c r="C276" s="10"/>
      <c r="D276" s="4">
        <v>339417.49</v>
      </c>
      <c r="E276" s="4"/>
      <c r="F276" s="12">
        <f>IF(D$12=0,0,D276/D$12)</f>
        <v>0.10591832983551963</v>
      </c>
      <c r="G276" s="4"/>
      <c r="H276" s="4">
        <v>455981</v>
      </c>
      <c r="I276" s="4"/>
      <c r="J276" s="12">
        <f>IF(H$12=0,0,H276/H$12)</f>
        <v>0.1421626005946024</v>
      </c>
      <c r="K276" s="4"/>
      <c r="L276" s="4">
        <f>+D276-H276</f>
        <v>-116563.51000000001</v>
      </c>
      <c r="M276" s="4"/>
      <c r="N276" s="12">
        <f>IF(H276=0,0,L276/H276)</f>
        <v>-0.2556323838054656</v>
      </c>
      <c r="O276" s="10"/>
      <c r="P276" s="4">
        <v>489599.91</v>
      </c>
      <c r="Q276" s="4"/>
      <c r="R276" s="12">
        <f>IF(P$12=0,0,P276/P$12)</f>
        <v>0.12468176158676147</v>
      </c>
      <c r="S276" s="4"/>
      <c r="T276" s="4">
        <v>650576</v>
      </c>
      <c r="U276" s="4"/>
      <c r="V276" s="12">
        <f>IF(T$12=0,0,T276/T$12)</f>
        <v>0.16240269247948483</v>
      </c>
      <c r="W276" s="4"/>
      <c r="X276" s="4">
        <f>+P276-T276</f>
        <v>-160976.09000000003</v>
      </c>
      <c r="Y276" s="4"/>
      <c r="Z276" s="12">
        <f>IF(T276=0,0,X276/T276)</f>
        <v>-0.24743625648655965</v>
      </c>
    </row>
    <row r="277" spans="1:26" x14ac:dyDescent="0.25">
      <c r="A277" s="9"/>
      <c r="B277" s="10"/>
      <c r="C277" s="10"/>
      <c r="D277" s="3"/>
      <c r="E277" s="3"/>
      <c r="F277" s="8"/>
      <c r="G277" s="3"/>
      <c r="H277" s="3"/>
      <c r="I277" s="3"/>
      <c r="J277" s="8"/>
      <c r="K277" s="3"/>
      <c r="L277" s="3"/>
      <c r="M277" s="3"/>
      <c r="N277" s="8"/>
      <c r="O277" s="10"/>
      <c r="P277" s="3"/>
      <c r="Q277" s="3"/>
      <c r="R277" s="8"/>
      <c r="S277" s="3"/>
      <c r="T277" s="3"/>
      <c r="U277" s="3"/>
      <c r="V277" s="8"/>
      <c r="W277" s="3"/>
      <c r="X277" s="3"/>
      <c r="Y277" s="3"/>
      <c r="Z277" s="8"/>
    </row>
    <row r="278" spans="1:26" s="23" customFormat="1" ht="15.75" thickBot="1" x14ac:dyDescent="0.3">
      <c r="A278" s="10"/>
      <c r="B278" s="29" t="s">
        <v>4</v>
      </c>
      <c r="C278" s="29"/>
      <c r="D278" s="31">
        <f>+D274-D276</f>
        <v>211848.90000000014</v>
      </c>
      <c r="E278" s="14"/>
      <c r="F278" s="32">
        <f>IF(D$12=0,0,D278/D$12)</f>
        <v>6.610938542233645E-2</v>
      </c>
      <c r="G278" s="14"/>
      <c r="H278" s="31">
        <f>+H274-H276</f>
        <v>229794.69400165207</v>
      </c>
      <c r="I278" s="14"/>
      <c r="J278" s="32">
        <f>IF(H$12=0,0,H278/H$12)</f>
        <v>7.1643799417334786E-2</v>
      </c>
      <c r="K278" s="15"/>
      <c r="L278" s="31">
        <f>D278-H278</f>
        <v>-17945.794001651928</v>
      </c>
      <c r="M278" s="15"/>
      <c r="N278" s="32">
        <f>IF(H278=0,0,L278/H278)</f>
        <v>-7.8094901536424982E-2</v>
      </c>
      <c r="O278" s="28"/>
      <c r="P278" s="31">
        <f>+P274-P276</f>
        <v>-62209.699999999255</v>
      </c>
      <c r="Q278" s="14"/>
      <c r="R278" s="32">
        <f>IF(P$12=0,0,P278/P$12)</f>
        <v>-1.5842353777769002E-2</v>
      </c>
      <c r="S278" s="14"/>
      <c r="T278" s="31">
        <f>+T274-T276</f>
        <v>-80341.433403482893</v>
      </c>
      <c r="U278" s="14"/>
      <c r="V278" s="32">
        <f>IF(T$12=0,0,T278/T$12)</f>
        <v>-2.0055558616344352E-2</v>
      </c>
      <c r="W278" s="15"/>
      <c r="X278" s="31">
        <f>P278-T278</f>
        <v>18131.733403483639</v>
      </c>
      <c r="Y278" s="15"/>
      <c r="Z278" s="32">
        <f>IF(T278=0,0,X278/T278)</f>
        <v>-0.22568346910645992</v>
      </c>
    </row>
    <row r="279" spans="1:26" ht="15.75" thickTop="1" x14ac:dyDescent="0.25">
      <c r="A279" s="9"/>
      <c r="B279" s="9"/>
      <c r="C279" s="9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x14ac:dyDescent="0.25">
      <c r="A280" s="9"/>
      <c r="B280" s="9"/>
      <c r="C280" s="9"/>
      <c r="D280" s="3"/>
      <c r="E280" s="3"/>
      <c r="F280" s="8"/>
      <c r="G280" s="3"/>
      <c r="H280" s="3"/>
      <c r="I280" s="3"/>
      <c r="J280" s="8"/>
      <c r="K280" s="3"/>
      <c r="L280" s="3"/>
      <c r="M280" s="3"/>
      <c r="N280" s="8"/>
      <c r="P280" s="3"/>
      <c r="Q280" s="3"/>
      <c r="R280" s="8"/>
      <c r="S280" s="3"/>
      <c r="T280" s="3"/>
      <c r="U280" s="3"/>
      <c r="V280" s="8"/>
      <c r="W280" s="3"/>
      <c r="X280" s="3"/>
      <c r="Y280" s="3"/>
      <c r="Z280" s="8"/>
    </row>
    <row r="281" spans="1:26" s="23" customFormat="1" ht="15.75" thickBot="1" x14ac:dyDescent="0.3">
      <c r="A281" s="10"/>
      <c r="B281" s="29" t="s">
        <v>5</v>
      </c>
      <c r="C281" s="29"/>
      <c r="D281" s="33">
        <f>SUM(D278:D280)</f>
        <v>211848.90000000014</v>
      </c>
      <c r="E281" s="14"/>
      <c r="F281" s="35">
        <f>IF(D$12=0,0,D281/D$12)</f>
        <v>6.610938542233645E-2</v>
      </c>
      <c r="G281" s="14"/>
      <c r="H281" s="33">
        <f>SUM(H278:H280)</f>
        <v>229794.69400165207</v>
      </c>
      <c r="I281" s="14"/>
      <c r="J281" s="35">
        <f>IF(H$12=0,0,H281/H$12)</f>
        <v>7.1643799417334786E-2</v>
      </c>
      <c r="K281" s="15"/>
      <c r="L281" s="33">
        <f>+D281-H281</f>
        <v>-17945.794001651928</v>
      </c>
      <c r="M281" s="15"/>
      <c r="N281" s="35">
        <f>IF(H281=0,0,L281/H281)</f>
        <v>-7.8094901536424982E-2</v>
      </c>
      <c r="O281" s="28"/>
      <c r="P281" s="33">
        <f>SUM(P278:P280)</f>
        <v>-62209.699999999255</v>
      </c>
      <c r="Q281" s="14"/>
      <c r="R281" s="35">
        <f>IF(P$12=0,0,P281/P$12)</f>
        <v>-1.5842353777769002E-2</v>
      </c>
      <c r="S281" s="14"/>
      <c r="T281" s="33">
        <f>SUM(T278:T280)</f>
        <v>-80341.433403482893</v>
      </c>
      <c r="U281" s="14"/>
      <c r="V281" s="35">
        <f>IF(T$12=0,0,T281/T$12)</f>
        <v>-2.0055558616344352E-2</v>
      </c>
      <c r="W281" s="15"/>
      <c r="X281" s="33">
        <f>+P281-T281</f>
        <v>18131.733403483639</v>
      </c>
      <c r="Y281" s="15"/>
      <c r="Z281" s="35">
        <f>IF(T281=0,0,X281/T281)</f>
        <v>-0.22568346910645992</v>
      </c>
    </row>
    <row r="282" spans="1:26" ht="15.75" thickTop="1" x14ac:dyDescent="0.25">
      <c r="A282" s="9"/>
      <c r="C282" s="9"/>
      <c r="D282" s="17"/>
      <c r="E282" s="17"/>
      <c r="G282" s="17"/>
      <c r="H282" s="17"/>
      <c r="I282" s="17"/>
      <c r="J282" s="42"/>
      <c r="K282" s="17"/>
      <c r="L282" s="17"/>
      <c r="M282" s="17"/>
      <c r="P282" s="17"/>
      <c r="Q282" s="17"/>
      <c r="R282" s="42"/>
      <c r="S282" s="17"/>
      <c r="T282" s="17"/>
      <c r="U282" s="17"/>
      <c r="V282" s="42"/>
      <c r="W282" s="17"/>
      <c r="X282" s="17"/>
    </row>
    <row r="283" spans="1:26" x14ac:dyDescent="0.25">
      <c r="A283" s="9"/>
      <c r="B283" s="61">
        <v>43732.705442673614</v>
      </c>
      <c r="D283" s="17"/>
      <c r="E283" s="17"/>
      <c r="G283" s="17"/>
      <c r="H283" s="17"/>
      <c r="I283" s="17"/>
      <c r="J283" s="42"/>
      <c r="K283" s="17"/>
      <c r="L283" s="17"/>
      <c r="M283" s="17"/>
      <c r="P283" s="17"/>
      <c r="Q283" s="17"/>
      <c r="R283" s="42"/>
      <c r="S283" s="17"/>
      <c r="T283" s="17"/>
      <c r="U283" s="17"/>
      <c r="V283" s="42"/>
      <c r="W283" s="17"/>
      <c r="X283" s="17"/>
    </row>
    <row r="284" spans="1:26" x14ac:dyDescent="0.25">
      <c r="A284" s="9"/>
      <c r="B284" s="62" t="s">
        <v>314</v>
      </c>
      <c r="D284" s="17"/>
      <c r="E284" s="17"/>
      <c r="G284" s="17"/>
      <c r="H284" s="17"/>
      <c r="I284" s="17"/>
      <c r="J284" s="42"/>
      <c r="K284" s="17"/>
      <c r="L284" s="17"/>
      <c r="M284" s="17"/>
      <c r="P284" s="17"/>
      <c r="Q284" s="17"/>
      <c r="R284" s="42"/>
      <c r="S284" s="17"/>
      <c r="T284" s="17"/>
      <c r="U284" s="17"/>
      <c r="V284" s="42"/>
      <c r="W284" s="17"/>
      <c r="X284" s="17"/>
    </row>
    <row r="285" spans="1:26" x14ac:dyDescent="0.25">
      <c r="A285" s="9"/>
      <c r="B285" s="58"/>
      <c r="D285" s="17"/>
      <c r="E285" s="17"/>
      <c r="G285" s="17"/>
      <c r="H285" s="17"/>
      <c r="I285" s="17"/>
      <c r="J285" s="42"/>
      <c r="K285" s="17"/>
      <c r="L285" s="17"/>
      <c r="M285" s="17"/>
      <c r="P285" s="17"/>
      <c r="Q285" s="17"/>
      <c r="R285" s="42"/>
      <c r="S285" s="17"/>
      <c r="T285" s="17"/>
      <c r="U285" s="17"/>
      <c r="V285" s="42"/>
      <c r="W285" s="17"/>
      <c r="X285" s="17"/>
    </row>
    <row r="286" spans="1:26" x14ac:dyDescent="0.25">
      <c r="D286" s="17"/>
      <c r="E286" s="17"/>
      <c r="G286" s="17"/>
      <c r="H286" s="17"/>
      <c r="I286" s="17"/>
      <c r="J286" s="42"/>
      <c r="K286" s="17"/>
      <c r="L286" s="17"/>
      <c r="M286" s="17"/>
      <c r="P286" s="17"/>
      <c r="Q286" s="17"/>
      <c r="R286" s="42"/>
      <c r="S286" s="17"/>
      <c r="T286" s="17"/>
      <c r="U286" s="17"/>
      <c r="V286" s="42"/>
      <c r="W286" s="17"/>
      <c r="X286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","301", " - ", "Bookstore")</f>
        <v>Department 301 - Bookstore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161084.52999999994</v>
      </c>
      <c r="E18" s="19"/>
      <c r="F18" s="34">
        <f t="shared" ref="F18:F28" si="0">IF(D$12=0,0,D18/D$12)</f>
        <v>0</v>
      </c>
      <c r="G18" s="19"/>
      <c r="H18" s="19">
        <f>SUM(OSRRefH22x_0)</f>
        <v>150361.49538311691</v>
      </c>
      <c r="I18" s="19"/>
      <c r="J18" s="34">
        <f t="shared" ref="J18:J28" si="1">IF(H$12=0,0,H18/H$12)</f>
        <v>0</v>
      </c>
      <c r="K18" s="4"/>
      <c r="L18" s="19">
        <f t="shared" ref="L18:L28" si="2">+D18-H18</f>
        <v>10723.034616883029</v>
      </c>
      <c r="M18" s="4"/>
      <c r="N18" s="34">
        <f t="shared" ref="N18:N28" si="3">IF(H18=0,0,L18/H18)</f>
        <v>7.1315030417601497E-2</v>
      </c>
      <c r="O18" s="10"/>
      <c r="P18" s="19">
        <f>SUM(OSRRefP22x_0)</f>
        <v>285527.59000000003</v>
      </c>
      <c r="Q18" s="19"/>
      <c r="R18" s="34">
        <f t="shared" ref="R18:R28" si="4">IF(P$12=0,0,P18/P$12)</f>
        <v>0</v>
      </c>
      <c r="S18" s="19"/>
      <c r="T18" s="19">
        <f>SUM(OSRRefT22x_0)</f>
        <v>320680.79833857558</v>
      </c>
      <c r="U18" s="19"/>
      <c r="V18" s="34">
        <f t="shared" ref="V18:V28" si="5">IF(T$12=0,0,T18/T$12)</f>
        <v>0</v>
      </c>
      <c r="W18" s="4"/>
      <c r="X18" s="19">
        <f t="shared" ref="X18:X28" si="6">+P18-T18</f>
        <v>-35153.208338575554</v>
      </c>
      <c r="Y18" s="4"/>
      <c r="Z18" s="34">
        <f t="shared" ref="Z18:Z28" si="7">IF(T18=0,0,X18/T18)</f>
        <v>-0.10962055888815865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15027.98</v>
      </c>
      <c r="E19" s="1"/>
      <c r="F19" s="5">
        <f t="shared" si="0"/>
        <v>0</v>
      </c>
      <c r="G19" s="1"/>
      <c r="H19" s="1">
        <f>SUM(OSRRefH22_0x_0)</f>
        <v>13416.794603886137</v>
      </c>
      <c r="I19" s="1"/>
      <c r="J19" s="5">
        <f t="shared" si="1"/>
        <v>0</v>
      </c>
      <c r="K19" s="1"/>
      <c r="L19" s="1">
        <f t="shared" si="2"/>
        <v>1611.1853961138622</v>
      </c>
      <c r="M19" s="1"/>
      <c r="N19" s="5">
        <f t="shared" si="3"/>
        <v>0.12008720739059289</v>
      </c>
      <c r="O19" s="13"/>
      <c r="P19" s="1">
        <f>SUM(OSRRefP22_0x_0)</f>
        <v>29363.340000000004</v>
      </c>
      <c r="Q19" s="1"/>
      <c r="R19" s="5">
        <f t="shared" si="4"/>
        <v>0</v>
      </c>
      <c r="S19" s="1"/>
      <c r="T19" s="1">
        <f>SUM(OSRRefT22_0x_0)</f>
        <v>29523.382522806322</v>
      </c>
      <c r="U19" s="1"/>
      <c r="V19" s="5">
        <f t="shared" si="5"/>
        <v>0</v>
      </c>
      <c r="W19" s="1"/>
      <c r="X19" s="1">
        <f t="shared" si="6"/>
        <v>-160.04252280631772</v>
      </c>
      <c r="Y19" s="1"/>
      <c r="Z19" s="5">
        <f t="shared" si="7"/>
        <v>-5.4208735290642096E-3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4055.31</v>
      </c>
      <c r="E20" s="2"/>
      <c r="F20" s="7">
        <f t="shared" si="0"/>
        <v>0</v>
      </c>
      <c r="G20" s="2"/>
      <c r="H20" s="6">
        <v>2012.4276053169201</v>
      </c>
      <c r="I20" s="2"/>
      <c r="J20" s="7">
        <f t="shared" si="1"/>
        <v>0</v>
      </c>
      <c r="K20" s="2"/>
      <c r="L20" s="6">
        <f t="shared" si="2"/>
        <v>2042.8823946830798</v>
      </c>
      <c r="M20" s="2"/>
      <c r="N20" s="7">
        <f t="shared" si="3"/>
        <v>1.0151333589768381</v>
      </c>
      <c r="O20" s="11"/>
      <c r="P20" s="6">
        <v>6618.05</v>
      </c>
      <c r="Q20" s="2"/>
      <c r="R20" s="7">
        <f t="shared" si="4"/>
        <v>0</v>
      </c>
      <c r="S20" s="2"/>
      <c r="T20" s="6">
        <v>5823.5313072755707</v>
      </c>
      <c r="U20" s="2"/>
      <c r="V20" s="7">
        <f t="shared" si="5"/>
        <v>0</v>
      </c>
      <c r="W20" s="2"/>
      <c r="X20" s="6">
        <f t="shared" si="6"/>
        <v>794.51869272442946</v>
      </c>
      <c r="Y20" s="2"/>
      <c r="Z20" s="7">
        <f t="shared" si="7"/>
        <v>0.136432458383422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743.22</v>
      </c>
      <c r="E21" s="2"/>
      <c r="F21" s="7">
        <f t="shared" si="0"/>
        <v>0</v>
      </c>
      <c r="G21" s="2"/>
      <c r="H21" s="6">
        <v>955.2426904615379</v>
      </c>
      <c r="I21" s="2"/>
      <c r="J21" s="7">
        <f t="shared" si="1"/>
        <v>0</v>
      </c>
      <c r="K21" s="2"/>
      <c r="L21" s="6">
        <f t="shared" si="2"/>
        <v>-212.02269046153788</v>
      </c>
      <c r="M21" s="2"/>
      <c r="N21" s="7">
        <f t="shared" si="3"/>
        <v>-0.2219568833958796</v>
      </c>
      <c r="O21" s="11"/>
      <c r="P21" s="6">
        <v>1090.0899999999999</v>
      </c>
      <c r="Q21" s="2"/>
      <c r="R21" s="7">
        <f t="shared" si="4"/>
        <v>0</v>
      </c>
      <c r="S21" s="2"/>
      <c r="T21" s="6">
        <v>1901.4202722884609</v>
      </c>
      <c r="U21" s="2"/>
      <c r="V21" s="7">
        <f t="shared" si="5"/>
        <v>0</v>
      </c>
      <c r="W21" s="2"/>
      <c r="X21" s="6">
        <f t="shared" si="6"/>
        <v>-811.33027228846095</v>
      </c>
      <c r="Y21" s="2"/>
      <c r="Z21" s="7">
        <f t="shared" si="7"/>
        <v>-0.42669697179150279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5472.97</v>
      </c>
      <c r="E22" s="2"/>
      <c r="F22" s="7">
        <f t="shared" si="0"/>
        <v>0</v>
      </c>
      <c r="G22" s="2"/>
      <c r="H22" s="6">
        <v>5680.25</v>
      </c>
      <c r="I22" s="2"/>
      <c r="J22" s="7">
        <f t="shared" si="1"/>
        <v>0</v>
      </c>
      <c r="K22" s="2"/>
      <c r="L22" s="6">
        <f t="shared" si="2"/>
        <v>-207.27999999999975</v>
      </c>
      <c r="M22" s="2"/>
      <c r="N22" s="7">
        <f t="shared" si="3"/>
        <v>-3.6491351613045155E-2</v>
      </c>
      <c r="O22" s="11"/>
      <c r="P22" s="6">
        <v>10945.94</v>
      </c>
      <c r="Q22" s="2"/>
      <c r="R22" s="7">
        <f t="shared" si="4"/>
        <v>0</v>
      </c>
      <c r="S22" s="2"/>
      <c r="T22" s="6">
        <v>11360.5</v>
      </c>
      <c r="U22" s="2"/>
      <c r="V22" s="7">
        <f t="shared" si="5"/>
        <v>0</v>
      </c>
      <c r="W22" s="2"/>
      <c r="X22" s="6">
        <f t="shared" si="6"/>
        <v>-414.55999999999949</v>
      </c>
      <c r="Y22" s="2"/>
      <c r="Z22" s="7">
        <f t="shared" si="7"/>
        <v>-3.6491351613045155E-2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143.16</v>
      </c>
      <c r="E23" s="2"/>
      <c r="F23" s="7">
        <f t="shared" si="0"/>
        <v>0</v>
      </c>
      <c r="G23" s="2"/>
      <c r="H23" s="6">
        <v>130.71742080000001</v>
      </c>
      <c r="I23" s="2"/>
      <c r="J23" s="7">
        <f t="shared" si="1"/>
        <v>0</v>
      </c>
      <c r="K23" s="2"/>
      <c r="L23" s="6">
        <f t="shared" si="2"/>
        <v>12.442579199999983</v>
      </c>
      <c r="M23" s="2"/>
      <c r="N23" s="7">
        <f t="shared" si="3"/>
        <v>9.518684750548552E-2</v>
      </c>
      <c r="O23" s="11"/>
      <c r="P23" s="6">
        <v>230.79</v>
      </c>
      <c r="Q23" s="2"/>
      <c r="R23" s="7">
        <f t="shared" si="4"/>
        <v>0</v>
      </c>
      <c r="S23" s="2"/>
      <c r="T23" s="6">
        <v>260.19435304999996</v>
      </c>
      <c r="U23" s="2"/>
      <c r="V23" s="7">
        <f t="shared" si="5"/>
        <v>0</v>
      </c>
      <c r="W23" s="2"/>
      <c r="X23" s="6">
        <f t="shared" si="6"/>
        <v>-29.404353049999969</v>
      </c>
      <c r="Y23" s="2"/>
      <c r="Z23" s="7">
        <f t="shared" si="7"/>
        <v>-0.1130091898818016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1730.14</v>
      </c>
      <c r="E24" s="2"/>
      <c r="F24" s="7">
        <f t="shared" si="0"/>
        <v>0</v>
      </c>
      <c r="G24" s="2"/>
      <c r="H24" s="6">
        <v>1762.20433461538</v>
      </c>
      <c r="I24" s="2"/>
      <c r="J24" s="7">
        <f t="shared" si="1"/>
        <v>0</v>
      </c>
      <c r="K24" s="2"/>
      <c r="L24" s="6">
        <f t="shared" si="2"/>
        <v>-32.064334615379948</v>
      </c>
      <c r="M24" s="2"/>
      <c r="N24" s="7">
        <f t="shared" si="3"/>
        <v>-1.8195582649260893E-2</v>
      </c>
      <c r="O24" s="11"/>
      <c r="P24" s="6">
        <v>3460.28</v>
      </c>
      <c r="Q24" s="2"/>
      <c r="R24" s="7">
        <f t="shared" si="4"/>
        <v>0</v>
      </c>
      <c r="S24" s="2"/>
      <c r="T24" s="6">
        <v>3964.9597528846098</v>
      </c>
      <c r="U24" s="2"/>
      <c r="V24" s="7">
        <f t="shared" si="5"/>
        <v>0</v>
      </c>
      <c r="W24" s="2"/>
      <c r="X24" s="6">
        <f t="shared" si="6"/>
        <v>-504.67975288460957</v>
      </c>
      <c r="Y24" s="2"/>
      <c r="Z24" s="7">
        <f t="shared" si="7"/>
        <v>-0.12728496235489961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1533.86</v>
      </c>
      <c r="E26" s="2"/>
      <c r="F26" s="7">
        <f t="shared" si="0"/>
        <v>0</v>
      </c>
      <c r="G26" s="2"/>
      <c r="H26" s="6">
        <v>1238.8804038461501</v>
      </c>
      <c r="I26" s="2"/>
      <c r="J26" s="7">
        <f t="shared" si="1"/>
        <v>0</v>
      </c>
      <c r="K26" s="2"/>
      <c r="L26" s="6">
        <f t="shared" si="2"/>
        <v>294.9795961538498</v>
      </c>
      <c r="M26" s="2"/>
      <c r="N26" s="7">
        <f t="shared" si="3"/>
        <v>0.23810175319431537</v>
      </c>
      <c r="O26" s="11"/>
      <c r="P26" s="6">
        <v>3741.08</v>
      </c>
      <c r="Q26" s="2"/>
      <c r="R26" s="7">
        <f t="shared" si="4"/>
        <v>0</v>
      </c>
      <c r="S26" s="2"/>
      <c r="T26" s="6">
        <v>2787.4809086538398</v>
      </c>
      <c r="U26" s="2"/>
      <c r="V26" s="7">
        <f t="shared" si="5"/>
        <v>0</v>
      </c>
      <c r="W26" s="2"/>
      <c r="X26" s="6">
        <f t="shared" si="6"/>
        <v>953.59909134616009</v>
      </c>
      <c r="Y26" s="2"/>
      <c r="Z26" s="7">
        <f t="shared" si="7"/>
        <v>0.34210067175193043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899.32</v>
      </c>
      <c r="E27" s="2"/>
      <c r="F27" s="7">
        <f t="shared" si="0"/>
        <v>0</v>
      </c>
      <c r="G27" s="2"/>
      <c r="H27" s="6">
        <v>1137.07214884615</v>
      </c>
      <c r="I27" s="2"/>
      <c r="J27" s="7">
        <f t="shared" si="1"/>
        <v>0</v>
      </c>
      <c r="K27" s="2"/>
      <c r="L27" s="6">
        <f t="shared" si="2"/>
        <v>-237.75214884614991</v>
      </c>
      <c r="M27" s="2"/>
      <c r="N27" s="7">
        <f t="shared" si="3"/>
        <v>-0.20909152430424946</v>
      </c>
      <c r="O27" s="11"/>
      <c r="P27" s="6">
        <v>2445.9</v>
      </c>
      <c r="Q27" s="2"/>
      <c r="R27" s="7">
        <f t="shared" si="4"/>
        <v>0</v>
      </c>
      <c r="S27" s="2"/>
      <c r="T27" s="6">
        <v>2425.2959286538398</v>
      </c>
      <c r="U27" s="2"/>
      <c r="V27" s="7">
        <f t="shared" si="5"/>
        <v>0</v>
      </c>
      <c r="W27" s="2"/>
      <c r="X27" s="6">
        <f t="shared" si="6"/>
        <v>20.604071346160254</v>
      </c>
      <c r="Y27" s="2"/>
      <c r="Z27" s="7">
        <f t="shared" si="7"/>
        <v>8.4954875414302699E-3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450</v>
      </c>
      <c r="E28" s="2"/>
      <c r="F28" s="7">
        <f t="shared" si="0"/>
        <v>0</v>
      </c>
      <c r="G28" s="2"/>
      <c r="H28" s="6">
        <v>500</v>
      </c>
      <c r="I28" s="2"/>
      <c r="J28" s="7">
        <f t="shared" si="1"/>
        <v>0</v>
      </c>
      <c r="K28" s="2"/>
      <c r="L28" s="6">
        <f t="shared" si="2"/>
        <v>-50</v>
      </c>
      <c r="M28" s="2"/>
      <c r="N28" s="7">
        <f t="shared" si="3"/>
        <v>-0.1</v>
      </c>
      <c r="O28" s="11"/>
      <c r="P28" s="6">
        <v>831.21</v>
      </c>
      <c r="Q28" s="2"/>
      <c r="R28" s="7">
        <f t="shared" si="4"/>
        <v>0</v>
      </c>
      <c r="S28" s="2"/>
      <c r="T28" s="6">
        <v>1000</v>
      </c>
      <c r="U28" s="2"/>
      <c r="V28" s="7">
        <f t="shared" si="5"/>
        <v>0</v>
      </c>
      <c r="W28" s="2"/>
      <c r="X28" s="6">
        <f t="shared" si="6"/>
        <v>-168.78999999999996</v>
      </c>
      <c r="Y28" s="2"/>
      <c r="Z28" s="7">
        <f t="shared" si="7"/>
        <v>-0.16878999999999997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77708.799999999988</v>
      </c>
      <c r="E29" s="1"/>
      <c r="F29" s="5">
        <f t="shared" ref="F29:F39" si="8">IF(D$12=0,0,D29/D$12)</f>
        <v>0</v>
      </c>
      <c r="G29" s="1"/>
      <c r="H29" s="1">
        <f>SUM(OSRRefH22_1x_0)</f>
        <v>48052.70077923077</v>
      </c>
      <c r="I29" s="1"/>
      <c r="J29" s="5">
        <f t="shared" ref="J29:J39" si="9">IF(H$12=0,0,H29/H$12)</f>
        <v>0</v>
      </c>
      <c r="K29" s="1"/>
      <c r="L29" s="1">
        <f t="shared" ref="L29:L39" si="10">+D29-H29</f>
        <v>29656.099220769218</v>
      </c>
      <c r="M29" s="1"/>
      <c r="N29" s="5">
        <f t="shared" ref="N29:N39" si="11">IF(H29=0,0,L29/H29)</f>
        <v>0.61715780257635611</v>
      </c>
      <c r="O29" s="13"/>
      <c r="P29" s="1">
        <f>SUM(OSRRefP22_1x_0)</f>
        <v>115485.51999999999</v>
      </c>
      <c r="Q29" s="1"/>
      <c r="R29" s="5">
        <f t="shared" ref="R29:R39" si="12">IF(P$12=0,0,P29/P$12)</f>
        <v>0</v>
      </c>
      <c r="S29" s="1"/>
      <c r="T29" s="1">
        <f>SUM(OSRRefT22_1x_0)</f>
        <v>95088.415815769273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20397.104184230717</v>
      </c>
      <c r="Y29" s="1"/>
      <c r="Z29" s="5">
        <f t="shared" ref="Z29:Z39" si="15">IF(T29=0,0,X29/T29)</f>
        <v>0.21450671997469645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10181.280000000001</v>
      </c>
      <c r="E30" s="2"/>
      <c r="F30" s="7">
        <f t="shared" si="8"/>
        <v>0</v>
      </c>
      <c r="G30" s="2"/>
      <c r="H30" s="6">
        <v>9645.4350000000013</v>
      </c>
      <c r="I30" s="2"/>
      <c r="J30" s="7">
        <f t="shared" si="9"/>
        <v>0</v>
      </c>
      <c r="K30" s="2"/>
      <c r="L30" s="6">
        <f t="shared" si="10"/>
        <v>535.84499999999935</v>
      </c>
      <c r="M30" s="2"/>
      <c r="N30" s="7">
        <f t="shared" si="11"/>
        <v>5.5554259605709776E-2</v>
      </c>
      <c r="O30" s="11"/>
      <c r="P30" s="6">
        <v>23041.56</v>
      </c>
      <c r="Q30" s="2"/>
      <c r="R30" s="7">
        <f t="shared" si="12"/>
        <v>0</v>
      </c>
      <c r="S30" s="2"/>
      <c r="T30" s="6">
        <v>21702.228749999998</v>
      </c>
      <c r="U30" s="2"/>
      <c r="V30" s="7">
        <f t="shared" si="13"/>
        <v>0</v>
      </c>
      <c r="W30" s="2"/>
      <c r="X30" s="6">
        <f t="shared" si="14"/>
        <v>1339.3312500000029</v>
      </c>
      <c r="Y30" s="2"/>
      <c r="Z30" s="7">
        <f t="shared" si="15"/>
        <v>6.1713995618998485E-2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10349.57</v>
      </c>
      <c r="E31" s="2"/>
      <c r="F31" s="7">
        <f t="shared" si="8"/>
        <v>0</v>
      </c>
      <c r="G31" s="2"/>
      <c r="H31" s="6">
        <v>8796.2382692307692</v>
      </c>
      <c r="I31" s="2"/>
      <c r="J31" s="7">
        <f t="shared" si="9"/>
        <v>0</v>
      </c>
      <c r="K31" s="2"/>
      <c r="L31" s="6">
        <f t="shared" si="10"/>
        <v>1553.3317307692305</v>
      </c>
      <c r="M31" s="2"/>
      <c r="N31" s="7">
        <f t="shared" si="11"/>
        <v>0.17659045642303517</v>
      </c>
      <c r="O31" s="11"/>
      <c r="P31" s="6">
        <v>16739.32</v>
      </c>
      <c r="Q31" s="2"/>
      <c r="R31" s="7">
        <f t="shared" si="12"/>
        <v>0</v>
      </c>
      <c r="S31" s="2"/>
      <c r="T31" s="6">
        <v>19791.536105769272</v>
      </c>
      <c r="U31" s="2"/>
      <c r="V31" s="7">
        <f t="shared" si="13"/>
        <v>0</v>
      </c>
      <c r="W31" s="2"/>
      <c r="X31" s="6">
        <f t="shared" si="14"/>
        <v>-3052.216105769272</v>
      </c>
      <c r="Y31" s="2"/>
      <c r="Z31" s="7">
        <f t="shared" si="15"/>
        <v>-0.15421825215878746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5631.0275099999999</v>
      </c>
      <c r="I33" s="2"/>
      <c r="J33" s="7">
        <f t="shared" si="9"/>
        <v>0</v>
      </c>
      <c r="K33" s="2"/>
      <c r="L33" s="6">
        <f t="shared" si="10"/>
        <v>-5631.0275099999999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12154.650960000001</v>
      </c>
      <c r="U33" s="2"/>
      <c r="V33" s="7">
        <f t="shared" si="13"/>
        <v>0</v>
      </c>
      <c r="W33" s="2"/>
      <c r="X33" s="6">
        <f t="shared" si="14"/>
        <v>-12154.650960000001</v>
      </c>
      <c r="Y33" s="2"/>
      <c r="Z33" s="7">
        <f t="shared" si="15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8218.24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8218.24</v>
      </c>
      <c r="M34" s="2"/>
      <c r="N34" s="7">
        <f t="shared" si="11"/>
        <v>0</v>
      </c>
      <c r="O34" s="11"/>
      <c r="P34" s="6">
        <v>16487.48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16487.48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>
        <v>2346.19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2346.19</v>
      </c>
      <c r="M35" s="2"/>
      <c r="N35" s="7">
        <f t="shared" si="11"/>
        <v>0</v>
      </c>
      <c r="O35" s="11"/>
      <c r="P35" s="6">
        <v>3727.13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3727.13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46310.52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46310.52</v>
      </c>
      <c r="M36" s="2"/>
      <c r="N36" s="7">
        <f t="shared" si="11"/>
        <v>0</v>
      </c>
      <c r="O36" s="11"/>
      <c r="P36" s="6">
        <v>55187.03</v>
      </c>
      <c r="Q36" s="2"/>
      <c r="R36" s="7">
        <f t="shared" si="12"/>
        <v>0</v>
      </c>
      <c r="S36" s="2"/>
      <c r="T36" s="6">
        <v>17460</v>
      </c>
      <c r="U36" s="2"/>
      <c r="V36" s="7">
        <f t="shared" si="13"/>
        <v>0</v>
      </c>
      <c r="W36" s="2"/>
      <c r="X36" s="6">
        <f t="shared" si="14"/>
        <v>37727.03</v>
      </c>
      <c r="Y36" s="2"/>
      <c r="Z36" s="7">
        <f t="shared" si="15"/>
        <v>2.1607691867124856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303</v>
      </c>
      <c r="E37" s="2"/>
      <c r="F37" s="7">
        <f t="shared" si="8"/>
        <v>0</v>
      </c>
      <c r="G37" s="2"/>
      <c r="H37" s="6">
        <v>23980</v>
      </c>
      <c r="I37" s="2"/>
      <c r="J37" s="7">
        <f t="shared" si="9"/>
        <v>0</v>
      </c>
      <c r="K37" s="2"/>
      <c r="L37" s="6">
        <f t="shared" si="10"/>
        <v>-23677</v>
      </c>
      <c r="M37" s="2"/>
      <c r="N37" s="7">
        <f t="shared" si="11"/>
        <v>-0.98736447039199338</v>
      </c>
      <c r="O37" s="11"/>
      <c r="P37" s="6">
        <v>303</v>
      </c>
      <c r="Q37" s="2"/>
      <c r="R37" s="7">
        <f t="shared" si="12"/>
        <v>0</v>
      </c>
      <c r="S37" s="2"/>
      <c r="T37" s="6">
        <v>23980</v>
      </c>
      <c r="U37" s="2"/>
      <c r="V37" s="7">
        <f t="shared" si="13"/>
        <v>0</v>
      </c>
      <c r="W37" s="2"/>
      <c r="X37" s="6">
        <f t="shared" si="14"/>
        <v>-23677</v>
      </c>
      <c r="Y37" s="2"/>
      <c r="Z37" s="7">
        <f t="shared" si="15"/>
        <v>-0.98736447039199338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664.49</v>
      </c>
      <c r="E40" s="1"/>
      <c r="F40" s="5">
        <f t="shared" ref="F40:F49" si="16">IF(D$12=0,0,D40/D$12)</f>
        <v>0</v>
      </c>
      <c r="G40" s="1"/>
      <c r="H40" s="1">
        <f>SUM(OSRRefH22_2x_0)</f>
        <v>1700</v>
      </c>
      <c r="I40" s="1"/>
      <c r="J40" s="5">
        <f t="shared" ref="J40:J49" si="17">IF(H$12=0,0,H40/H$12)</f>
        <v>0</v>
      </c>
      <c r="K40" s="1"/>
      <c r="L40" s="1">
        <f t="shared" ref="L40:L49" si="18">+D40-H40</f>
        <v>-1035.51</v>
      </c>
      <c r="M40" s="1"/>
      <c r="N40" s="5">
        <f t="shared" ref="N40:N49" si="19">IF(H40=0,0,L40/H40)</f>
        <v>-0.60912352941176473</v>
      </c>
      <c r="O40" s="13"/>
      <c r="P40" s="1">
        <f>SUM(OSRRefP22_2x_0)</f>
        <v>775.79</v>
      </c>
      <c r="Q40" s="1"/>
      <c r="R40" s="5">
        <f t="shared" ref="R40:R49" si="20">IF(P$12=0,0,P40/P$12)</f>
        <v>0</v>
      </c>
      <c r="S40" s="1"/>
      <c r="T40" s="1">
        <f>SUM(OSRRefT22_2x_0)</f>
        <v>4900</v>
      </c>
      <c r="U40" s="1"/>
      <c r="V40" s="5">
        <f t="shared" ref="V40:V49" si="21">IF(T$12=0,0,T40/T$12)</f>
        <v>0</v>
      </c>
      <c r="W40" s="1"/>
      <c r="X40" s="1">
        <f t="shared" ref="X40:X49" si="22">+P40-T40</f>
        <v>-4124.21</v>
      </c>
      <c r="Y40" s="1"/>
      <c r="Z40" s="5">
        <f t="shared" ref="Z40:Z49" si="23">IF(T40=0,0,X40/T40)</f>
        <v>-0.8416755102040816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664.49</v>
      </c>
      <c r="E41" s="2"/>
      <c r="F41" s="7">
        <f t="shared" si="16"/>
        <v>0</v>
      </c>
      <c r="G41" s="2"/>
      <c r="H41" s="6">
        <v>1700</v>
      </c>
      <c r="I41" s="2"/>
      <c r="J41" s="7">
        <f t="shared" si="17"/>
        <v>0</v>
      </c>
      <c r="K41" s="2"/>
      <c r="L41" s="6">
        <f t="shared" si="18"/>
        <v>-1035.51</v>
      </c>
      <c r="M41" s="2"/>
      <c r="N41" s="7">
        <f t="shared" si="19"/>
        <v>-0.60912352941176473</v>
      </c>
      <c r="O41" s="11"/>
      <c r="P41" s="6">
        <v>775.79</v>
      </c>
      <c r="Q41" s="2"/>
      <c r="R41" s="7">
        <f t="shared" si="20"/>
        <v>0</v>
      </c>
      <c r="S41" s="2"/>
      <c r="T41" s="6">
        <v>4900</v>
      </c>
      <c r="U41" s="2"/>
      <c r="V41" s="7">
        <f t="shared" si="21"/>
        <v>0</v>
      </c>
      <c r="W41" s="2"/>
      <c r="X41" s="6">
        <f t="shared" si="22"/>
        <v>-4124.21</v>
      </c>
      <c r="Y41" s="2"/>
      <c r="Z41" s="7">
        <f t="shared" si="23"/>
        <v>-0.8416755102040816</v>
      </c>
    </row>
    <row r="42" spans="1:26" s="26" customFormat="1" outlineLevel="1" collapsed="1" x14ac:dyDescent="0.25">
      <c r="A42" s="25"/>
      <c r="B42" s="13" t="str">
        <f>CONCATENATE("     ","Bad Debts/Over/Short                              ")</f>
        <v xml:space="preserve">     Bad Debts/Over/Short                              </v>
      </c>
      <c r="C42" s="13"/>
      <c r="D42" s="1">
        <f>SUM(OSRRefD22_3x_0)</f>
        <v>-90.22</v>
      </c>
      <c r="E42" s="1"/>
      <c r="F42" s="5">
        <f t="shared" si="16"/>
        <v>0</v>
      </c>
      <c r="G42" s="1"/>
      <c r="H42" s="1">
        <f>SUM(OSRRefH22_3x_0)</f>
        <v>125</v>
      </c>
      <c r="I42" s="1"/>
      <c r="J42" s="5">
        <f t="shared" si="17"/>
        <v>0</v>
      </c>
      <c r="K42" s="1"/>
      <c r="L42" s="1">
        <f t="shared" si="18"/>
        <v>-215.22</v>
      </c>
      <c r="M42" s="1"/>
      <c r="N42" s="5">
        <f t="shared" si="19"/>
        <v>-1.72176</v>
      </c>
      <c r="O42" s="13"/>
      <c r="P42" s="1">
        <f>SUM(OSRRefP22_3x_0)</f>
        <v>-103.17</v>
      </c>
      <c r="Q42" s="1"/>
      <c r="R42" s="5">
        <f t="shared" si="20"/>
        <v>0</v>
      </c>
      <c r="S42" s="1"/>
      <c r="T42" s="1">
        <f>SUM(OSRRefT22_3x_0)</f>
        <v>250</v>
      </c>
      <c r="U42" s="1"/>
      <c r="V42" s="5">
        <f t="shared" si="21"/>
        <v>0</v>
      </c>
      <c r="W42" s="1"/>
      <c r="X42" s="1">
        <f t="shared" si="22"/>
        <v>-353.17</v>
      </c>
      <c r="Y42" s="1"/>
      <c r="Z42" s="5">
        <f t="shared" si="23"/>
        <v>-1.4126800000000002</v>
      </c>
    </row>
    <row r="43" spans="1:26" s="24" customFormat="1" hidden="1" outlineLevel="2" x14ac:dyDescent="0.25">
      <c r="A43" s="27"/>
      <c r="B43" s="11" t="str">
        <f>CONCATENATE("          ", "6272", " - ", "CASH (OVER/SHORT)")</f>
        <v xml:space="preserve">          6272 - CASH (OVER/SHORT)</v>
      </c>
      <c r="C43" s="11"/>
      <c r="D43" s="6">
        <v>-90.22</v>
      </c>
      <c r="E43" s="2"/>
      <c r="F43" s="7">
        <f t="shared" si="16"/>
        <v>0</v>
      </c>
      <c r="G43" s="2"/>
      <c r="H43" s="6">
        <v>125</v>
      </c>
      <c r="I43" s="2"/>
      <c r="J43" s="7">
        <f t="shared" si="17"/>
        <v>0</v>
      </c>
      <c r="K43" s="2"/>
      <c r="L43" s="6">
        <f t="shared" si="18"/>
        <v>-215.22</v>
      </c>
      <c r="M43" s="2"/>
      <c r="N43" s="7">
        <f t="shared" si="19"/>
        <v>-1.72176</v>
      </c>
      <c r="O43" s="11"/>
      <c r="P43" s="6">
        <v>-103.17</v>
      </c>
      <c r="Q43" s="2"/>
      <c r="R43" s="7">
        <f t="shared" si="20"/>
        <v>0</v>
      </c>
      <c r="S43" s="2"/>
      <c r="T43" s="6">
        <v>250</v>
      </c>
      <c r="U43" s="2"/>
      <c r="V43" s="7">
        <f t="shared" si="21"/>
        <v>0</v>
      </c>
      <c r="W43" s="2"/>
      <c r="X43" s="6">
        <f t="shared" si="22"/>
        <v>-353.17</v>
      </c>
      <c r="Y43" s="2"/>
      <c r="Z43" s="7">
        <f t="shared" si="23"/>
        <v>-1.4126800000000002</v>
      </c>
    </row>
    <row r="44" spans="1:26" s="26" customFormat="1" outlineLevel="1" collapsed="1" x14ac:dyDescent="0.25">
      <c r="A44" s="25"/>
      <c r="B44" s="13" t="str">
        <f>CONCATENATE("     ","Bank/card Fees                                    ")</f>
        <v xml:space="preserve">     Bank/card Fees                                    </v>
      </c>
      <c r="C44" s="13"/>
      <c r="D44" s="1">
        <f>SUM(OSRRefD22_4x_0)</f>
        <v>32865.67</v>
      </c>
      <c r="E44" s="1"/>
      <c r="F44" s="5">
        <f t="shared" si="16"/>
        <v>0</v>
      </c>
      <c r="G44" s="1"/>
      <c r="H44" s="1">
        <f>SUM(OSRRefH22_4x_0)</f>
        <v>30000</v>
      </c>
      <c r="I44" s="1"/>
      <c r="J44" s="5">
        <f t="shared" si="17"/>
        <v>0</v>
      </c>
      <c r="K44" s="1"/>
      <c r="L44" s="1">
        <f t="shared" si="18"/>
        <v>2865.6699999999983</v>
      </c>
      <c r="M44" s="1"/>
      <c r="N44" s="5">
        <f t="shared" si="19"/>
        <v>9.5522333333333279E-2</v>
      </c>
      <c r="O44" s="13"/>
      <c r="P44" s="1">
        <f>SUM(OSRRefP22_4x_0)</f>
        <v>37973.85</v>
      </c>
      <c r="Q44" s="1"/>
      <c r="R44" s="5">
        <f t="shared" si="20"/>
        <v>0</v>
      </c>
      <c r="S44" s="1"/>
      <c r="T44" s="1">
        <f>SUM(OSRRefT22_4x_0)</f>
        <v>34400</v>
      </c>
      <c r="U44" s="1"/>
      <c r="V44" s="5">
        <f t="shared" si="21"/>
        <v>0</v>
      </c>
      <c r="W44" s="1"/>
      <c r="X44" s="1">
        <f t="shared" si="22"/>
        <v>3573.8499999999985</v>
      </c>
      <c r="Y44" s="1"/>
      <c r="Z44" s="5">
        <f t="shared" si="23"/>
        <v>0.10389098837209298</v>
      </c>
    </row>
    <row r="45" spans="1:26" s="24" customFormat="1" hidden="1" outlineLevel="2" x14ac:dyDescent="0.25">
      <c r="A45" s="27"/>
      <c r="B45" s="11" t="str">
        <f>CONCATENATE("          ", "6381", " - ", "BANK/CREDIT CARD FEES")</f>
        <v xml:space="preserve">          6381 - BANK/CREDIT CARD FEES</v>
      </c>
      <c r="C45" s="11"/>
      <c r="D45" s="6">
        <v>32865.67</v>
      </c>
      <c r="E45" s="2"/>
      <c r="F45" s="7">
        <f t="shared" si="16"/>
        <v>0</v>
      </c>
      <c r="G45" s="2"/>
      <c r="H45" s="6">
        <v>30000</v>
      </c>
      <c r="I45" s="2"/>
      <c r="J45" s="7">
        <f t="shared" si="17"/>
        <v>0</v>
      </c>
      <c r="K45" s="2"/>
      <c r="L45" s="6">
        <f t="shared" si="18"/>
        <v>2865.6699999999983</v>
      </c>
      <c r="M45" s="2"/>
      <c r="N45" s="7">
        <f t="shared" si="19"/>
        <v>9.5522333333333279E-2</v>
      </c>
      <c r="O45" s="11"/>
      <c r="P45" s="6">
        <v>37973.85</v>
      </c>
      <c r="Q45" s="2"/>
      <c r="R45" s="7">
        <f t="shared" si="20"/>
        <v>0</v>
      </c>
      <c r="S45" s="2"/>
      <c r="T45" s="6">
        <v>34400</v>
      </c>
      <c r="U45" s="2"/>
      <c r="V45" s="7">
        <f t="shared" si="21"/>
        <v>0</v>
      </c>
      <c r="W45" s="2"/>
      <c r="X45" s="6">
        <f t="shared" si="22"/>
        <v>3573.8499999999985</v>
      </c>
      <c r="Y45" s="2"/>
      <c r="Z45" s="7">
        <f t="shared" si="23"/>
        <v>0.10389098837209298</v>
      </c>
    </row>
    <row r="46" spans="1:26" s="26" customFormat="1" outlineLevel="1" collapsed="1" x14ac:dyDescent="0.25">
      <c r="A46" s="25"/>
      <c r="B46" s="13" t="str">
        <f>CONCATENATE("     ","Depreciation                                      ")</f>
        <v xml:space="preserve">     Depreciation                                      </v>
      </c>
      <c r="C46" s="13"/>
      <c r="D46" s="1">
        <f>SUM(OSRRefD22_5x_0)</f>
        <v>29607.43</v>
      </c>
      <c r="E46" s="1"/>
      <c r="F46" s="5">
        <f t="shared" si="16"/>
        <v>0</v>
      </c>
      <c r="G46" s="1"/>
      <c r="H46" s="1">
        <f>SUM(OSRRefH22_5x_0)</f>
        <v>30202</v>
      </c>
      <c r="I46" s="1"/>
      <c r="J46" s="5">
        <f t="shared" si="17"/>
        <v>0</v>
      </c>
      <c r="K46" s="1"/>
      <c r="L46" s="1">
        <f t="shared" si="18"/>
        <v>-594.56999999999971</v>
      </c>
      <c r="M46" s="1"/>
      <c r="N46" s="5">
        <f t="shared" si="19"/>
        <v>-1.9686444606317452E-2</v>
      </c>
      <c r="O46" s="13"/>
      <c r="P46" s="1">
        <f>SUM(OSRRefP22_5x_0)</f>
        <v>59214.86</v>
      </c>
      <c r="Q46" s="1"/>
      <c r="R46" s="5">
        <f t="shared" si="20"/>
        <v>0</v>
      </c>
      <c r="S46" s="1"/>
      <c r="T46" s="1">
        <f>SUM(OSRRefT22_5x_0)</f>
        <v>60404</v>
      </c>
      <c r="U46" s="1"/>
      <c r="V46" s="5">
        <f t="shared" si="21"/>
        <v>0</v>
      </c>
      <c r="W46" s="1"/>
      <c r="X46" s="1">
        <f t="shared" si="22"/>
        <v>-1189.1399999999994</v>
      </c>
      <c r="Y46" s="1"/>
      <c r="Z46" s="5">
        <f t="shared" si="23"/>
        <v>-1.9686444606317452E-2</v>
      </c>
    </row>
    <row r="47" spans="1:26" s="24" customFormat="1" hidden="1" outlineLevel="2" x14ac:dyDescent="0.25">
      <c r="A47" s="27"/>
      <c r="B47" s="11" t="str">
        <f>CONCATENATE("          ", "6321", " - ", "BUILDING DEPRECIATION")</f>
        <v xml:space="preserve">          6321 - BUILDING DEPRECIATION</v>
      </c>
      <c r="C47" s="11"/>
      <c r="D47" s="6">
        <v>16396.52</v>
      </c>
      <c r="E47" s="2"/>
      <c r="F47" s="7">
        <f t="shared" si="16"/>
        <v>0</v>
      </c>
      <c r="G47" s="2"/>
      <c r="H47" s="6">
        <v>16453</v>
      </c>
      <c r="I47" s="2"/>
      <c r="J47" s="7">
        <f t="shared" si="17"/>
        <v>0</v>
      </c>
      <c r="K47" s="2"/>
      <c r="L47" s="6">
        <f t="shared" si="18"/>
        <v>-56.479999999999563</v>
      </c>
      <c r="M47" s="2"/>
      <c r="N47" s="7">
        <f t="shared" si="19"/>
        <v>-3.432808606333165E-3</v>
      </c>
      <c r="O47" s="11"/>
      <c r="P47" s="6">
        <v>32793.040000000001</v>
      </c>
      <c r="Q47" s="2"/>
      <c r="R47" s="7">
        <f t="shared" si="20"/>
        <v>0</v>
      </c>
      <c r="S47" s="2"/>
      <c r="T47" s="6">
        <v>32906</v>
      </c>
      <c r="U47" s="2"/>
      <c r="V47" s="7">
        <f t="shared" si="21"/>
        <v>0</v>
      </c>
      <c r="W47" s="2"/>
      <c r="X47" s="6">
        <f t="shared" si="22"/>
        <v>-112.95999999999913</v>
      </c>
      <c r="Y47" s="2"/>
      <c r="Z47" s="7">
        <f t="shared" si="23"/>
        <v>-3.432808606333165E-3</v>
      </c>
    </row>
    <row r="48" spans="1:26" s="24" customFormat="1" hidden="1" outlineLevel="2" x14ac:dyDescent="0.25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13210.91</v>
      </c>
      <c r="E48" s="2"/>
      <c r="F48" s="7">
        <f t="shared" si="16"/>
        <v>0</v>
      </c>
      <c r="G48" s="2"/>
      <c r="H48" s="6">
        <v>13049</v>
      </c>
      <c r="I48" s="2"/>
      <c r="J48" s="7">
        <f t="shared" si="17"/>
        <v>0</v>
      </c>
      <c r="K48" s="2"/>
      <c r="L48" s="6">
        <f t="shared" si="18"/>
        <v>161.90999999999985</v>
      </c>
      <c r="M48" s="2"/>
      <c r="N48" s="7">
        <f t="shared" si="19"/>
        <v>1.2407847344624098E-2</v>
      </c>
      <c r="O48" s="11"/>
      <c r="P48" s="6">
        <v>26421.82</v>
      </c>
      <c r="Q48" s="2"/>
      <c r="R48" s="7">
        <f t="shared" si="20"/>
        <v>0</v>
      </c>
      <c r="S48" s="2"/>
      <c r="T48" s="6">
        <v>26098</v>
      </c>
      <c r="U48" s="2"/>
      <c r="V48" s="7">
        <f t="shared" si="21"/>
        <v>0</v>
      </c>
      <c r="W48" s="2"/>
      <c r="X48" s="6">
        <f t="shared" si="22"/>
        <v>323.81999999999971</v>
      </c>
      <c r="Y48" s="2"/>
      <c r="Z48" s="7">
        <f t="shared" si="23"/>
        <v>1.2407847344624098E-2</v>
      </c>
    </row>
    <row r="49" spans="1:26" s="24" customFormat="1" hidden="1" outlineLevel="2" x14ac:dyDescent="0.25">
      <c r="A49" s="27"/>
      <c r="B49" s="11" t="str">
        <f>CONCATENATE("          ", "6324", " - ", "FURNITURE + FIXT DEPRECIATION")</f>
        <v xml:space="preserve">          6324 - FURNITURE + FIXT DEPRECIATION</v>
      </c>
      <c r="C49" s="11"/>
      <c r="D49" s="6"/>
      <c r="E49" s="2"/>
      <c r="F49" s="7">
        <f t="shared" si="16"/>
        <v>0</v>
      </c>
      <c r="G49" s="2"/>
      <c r="H49" s="6">
        <v>700</v>
      </c>
      <c r="I49" s="2"/>
      <c r="J49" s="7">
        <f t="shared" si="17"/>
        <v>0</v>
      </c>
      <c r="K49" s="2"/>
      <c r="L49" s="6">
        <f t="shared" si="18"/>
        <v>-700</v>
      </c>
      <c r="M49" s="2"/>
      <c r="N49" s="7">
        <f t="shared" si="19"/>
        <v>-1</v>
      </c>
      <c r="O49" s="11"/>
      <c r="P49" s="6"/>
      <c r="Q49" s="2"/>
      <c r="R49" s="7">
        <f t="shared" si="20"/>
        <v>0</v>
      </c>
      <c r="S49" s="2"/>
      <c r="T49" s="6">
        <v>1400</v>
      </c>
      <c r="U49" s="2"/>
      <c r="V49" s="7">
        <f t="shared" si="21"/>
        <v>0</v>
      </c>
      <c r="W49" s="2"/>
      <c r="X49" s="6">
        <f t="shared" si="22"/>
        <v>-1400</v>
      </c>
      <c r="Y49" s="2"/>
      <c r="Z49" s="7">
        <f t="shared" si="23"/>
        <v>-1</v>
      </c>
    </row>
    <row r="50" spans="1:26" s="26" customFormat="1" outlineLevel="1" collapsed="1" x14ac:dyDescent="0.25">
      <c r="A50" s="25"/>
      <c r="B50" s="13" t="str">
        <f>CONCATENATE("     ","Discounts and Markdowns                           ")</f>
        <v xml:space="preserve">     Discounts and Markdowns                           </v>
      </c>
      <c r="C50" s="13"/>
      <c r="D50" s="1">
        <f>SUM(OSRRefD22_6x_0)</f>
        <v>-269.88</v>
      </c>
      <c r="E50" s="1"/>
      <c r="F50" s="5">
        <f t="shared" ref="F50:F52" si="24">IF(D$12=0,0,D50/D$12)</f>
        <v>0</v>
      </c>
      <c r="G50" s="1"/>
      <c r="H50" s="1">
        <f>SUM(OSRRefH22_6x_0)</f>
        <v>-400</v>
      </c>
      <c r="I50" s="1"/>
      <c r="J50" s="5">
        <f t="shared" ref="J50:J52" si="25">IF(H$12=0,0,H50/H$12)</f>
        <v>0</v>
      </c>
      <c r="K50" s="1"/>
      <c r="L50" s="1">
        <f t="shared" ref="L50:L52" si="26">+D50-H50</f>
        <v>130.12</v>
      </c>
      <c r="M50" s="1"/>
      <c r="N50" s="5">
        <f t="shared" ref="N50:N52" si="27">IF(H50=0,0,L50/H50)</f>
        <v>-0.32530000000000003</v>
      </c>
      <c r="O50" s="13"/>
      <c r="P50" s="1">
        <f>SUM(OSRRefP22_6x_0)</f>
        <v>-661.59</v>
      </c>
      <c r="Q50" s="1"/>
      <c r="R50" s="5">
        <f t="shared" ref="R50:R52" si="28">IF(P$12=0,0,P50/P$12)</f>
        <v>0</v>
      </c>
      <c r="S50" s="1"/>
      <c r="T50" s="1">
        <f>SUM(OSRRefT22_6x_0)</f>
        <v>-800</v>
      </c>
      <c r="U50" s="1"/>
      <c r="V50" s="5">
        <f t="shared" ref="V50:V52" si="29">IF(T$12=0,0,T50/T$12)</f>
        <v>0</v>
      </c>
      <c r="W50" s="1"/>
      <c r="X50" s="1">
        <f t="shared" ref="X50:X52" si="30">+P50-T50</f>
        <v>138.40999999999997</v>
      </c>
      <c r="Y50" s="1"/>
      <c r="Z50" s="5">
        <f t="shared" ref="Z50:Z52" si="31">IF(T50=0,0,X50/T50)</f>
        <v>-0.17301249999999996</v>
      </c>
    </row>
    <row r="51" spans="1:26" s="24" customFormat="1" hidden="1" outlineLevel="2" x14ac:dyDescent="0.25">
      <c r="A51" s="27"/>
      <c r="B51" s="11" t="str">
        <f>CONCATENATE("          ", "6382", " - ", "DISCOUNTS/MARK DOWNS")</f>
        <v xml:space="preserve">          6382 - DISCOUNTS/MARK DOWNS</v>
      </c>
      <c r="C51" s="11"/>
      <c r="D51" s="6"/>
      <c r="E51" s="2"/>
      <c r="F51" s="7">
        <f t="shared" si="24"/>
        <v>0</v>
      </c>
      <c r="G51" s="2"/>
      <c r="H51" s="6">
        <v>-400</v>
      </c>
      <c r="I51" s="2"/>
      <c r="J51" s="7">
        <f t="shared" si="25"/>
        <v>0</v>
      </c>
      <c r="K51" s="2"/>
      <c r="L51" s="6">
        <f t="shared" si="26"/>
        <v>400</v>
      </c>
      <c r="M51" s="2"/>
      <c r="N51" s="7">
        <f t="shared" si="27"/>
        <v>-1</v>
      </c>
      <c r="O51" s="11"/>
      <c r="P51" s="6">
        <v>52</v>
      </c>
      <c r="Q51" s="2"/>
      <c r="R51" s="7">
        <f t="shared" si="28"/>
        <v>0</v>
      </c>
      <c r="S51" s="2"/>
      <c r="T51" s="6">
        <v>-800</v>
      </c>
      <c r="U51" s="2"/>
      <c r="V51" s="7">
        <f t="shared" si="29"/>
        <v>0</v>
      </c>
      <c r="W51" s="2"/>
      <c r="X51" s="6">
        <f t="shared" si="30"/>
        <v>852</v>
      </c>
      <c r="Y51" s="2"/>
      <c r="Z51" s="7">
        <f t="shared" si="31"/>
        <v>-1.0649999999999999</v>
      </c>
    </row>
    <row r="52" spans="1:26" s="24" customFormat="1" hidden="1" outlineLevel="2" x14ac:dyDescent="0.25">
      <c r="A52" s="27"/>
      <c r="B52" s="11" t="str">
        <f>CONCATENATE("          ", "9175", " - ", "EARNED DISCOUNTS")</f>
        <v xml:space="preserve">          9175 - EARNED DISCOUNTS</v>
      </c>
      <c r="C52" s="11"/>
      <c r="D52" s="6">
        <v>-269.88</v>
      </c>
      <c r="E52" s="2"/>
      <c r="F52" s="7">
        <f t="shared" si="24"/>
        <v>0</v>
      </c>
      <c r="G52" s="2"/>
      <c r="H52" s="6"/>
      <c r="I52" s="2"/>
      <c r="J52" s="7">
        <f t="shared" si="25"/>
        <v>0</v>
      </c>
      <c r="K52" s="2"/>
      <c r="L52" s="6">
        <f t="shared" si="26"/>
        <v>-269.88</v>
      </c>
      <c r="M52" s="2"/>
      <c r="N52" s="7">
        <f t="shared" si="27"/>
        <v>0</v>
      </c>
      <c r="O52" s="11"/>
      <c r="P52" s="6">
        <v>-713.59</v>
      </c>
      <c r="Q52" s="2"/>
      <c r="R52" s="7">
        <f t="shared" si="28"/>
        <v>0</v>
      </c>
      <c r="S52" s="2"/>
      <c r="T52" s="6"/>
      <c r="U52" s="2"/>
      <c r="V52" s="7">
        <f t="shared" si="29"/>
        <v>0</v>
      </c>
      <c r="W52" s="2"/>
      <c r="X52" s="6">
        <f t="shared" si="30"/>
        <v>-713.59</v>
      </c>
      <c r="Y52" s="2"/>
      <c r="Z52" s="7">
        <f t="shared" si="31"/>
        <v>0</v>
      </c>
    </row>
    <row r="53" spans="1:26" s="26" customFormat="1" outlineLevel="1" collapsed="1" x14ac:dyDescent="0.25">
      <c r="A53" s="25"/>
      <c r="B53" s="13" t="str">
        <f>CONCATENATE("     ","Donations                                         ")</f>
        <v xml:space="preserve">     Donations                                         </v>
      </c>
      <c r="C53" s="13"/>
      <c r="D53" s="1">
        <f>SUM(OSRRefD22_7x_0)</f>
        <v>2691.56</v>
      </c>
      <c r="E53" s="1"/>
      <c r="F53" s="5">
        <f t="shared" ref="F53:F55" si="32">IF(D$12=0,0,D53/D$12)</f>
        <v>0</v>
      </c>
      <c r="G53" s="1"/>
      <c r="H53" s="1">
        <f>SUM(OSRRefH22_7x_0)</f>
        <v>1000</v>
      </c>
      <c r="I53" s="1"/>
      <c r="J53" s="5">
        <f t="shared" ref="J53:J55" si="33">IF(H$12=0,0,H53/H$12)</f>
        <v>0</v>
      </c>
      <c r="K53" s="1"/>
      <c r="L53" s="1">
        <f t="shared" ref="L53:L55" si="34">+D53-H53</f>
        <v>1691.56</v>
      </c>
      <c r="M53" s="1"/>
      <c r="N53" s="5">
        <f t="shared" ref="N53:N55" si="35">IF(H53=0,0,L53/H53)</f>
        <v>1.69156</v>
      </c>
      <c r="O53" s="13"/>
      <c r="P53" s="1">
        <f>SUM(OSRRefP22_7x_0)</f>
        <v>3616.98</v>
      </c>
      <c r="Q53" s="1"/>
      <c r="R53" s="5">
        <f t="shared" ref="R53:R55" si="36">IF(P$12=0,0,P53/P$12)</f>
        <v>0</v>
      </c>
      <c r="S53" s="1"/>
      <c r="T53" s="1">
        <f>SUM(OSRRefT22_7x_0)</f>
        <v>2000</v>
      </c>
      <c r="U53" s="1"/>
      <c r="V53" s="5">
        <f t="shared" ref="V53:V55" si="37">IF(T$12=0,0,T53/T$12)</f>
        <v>0</v>
      </c>
      <c r="W53" s="1"/>
      <c r="X53" s="1">
        <f t="shared" ref="X53:X55" si="38">+P53-T53</f>
        <v>1616.98</v>
      </c>
      <c r="Y53" s="1"/>
      <c r="Z53" s="5">
        <f t="shared" ref="Z53:Z55" si="39">IF(T53=0,0,X53/T53)</f>
        <v>0.80849000000000004</v>
      </c>
    </row>
    <row r="54" spans="1:26" s="24" customFormat="1" hidden="1" outlineLevel="2" x14ac:dyDescent="0.25">
      <c r="A54" s="27"/>
      <c r="B54" s="11" t="str">
        <f>CONCATENATE("          ", "6395", " - ", "DONATION-OFF CAMPUS")</f>
        <v xml:space="preserve">          6395 - DONATION-OFF CAMPUS</v>
      </c>
      <c r="C54" s="11"/>
      <c r="D54" s="6"/>
      <c r="E54" s="2"/>
      <c r="F54" s="7">
        <f t="shared" si="32"/>
        <v>0</v>
      </c>
      <c r="G54" s="2"/>
      <c r="H54" s="6">
        <v>1000</v>
      </c>
      <c r="I54" s="2"/>
      <c r="J54" s="7">
        <f t="shared" si="33"/>
        <v>0</v>
      </c>
      <c r="K54" s="2"/>
      <c r="L54" s="6">
        <f t="shared" si="34"/>
        <v>-1000</v>
      </c>
      <c r="M54" s="2"/>
      <c r="N54" s="7">
        <f t="shared" si="35"/>
        <v>-1</v>
      </c>
      <c r="O54" s="11"/>
      <c r="P54" s="6"/>
      <c r="Q54" s="2"/>
      <c r="R54" s="7">
        <f t="shared" si="36"/>
        <v>0</v>
      </c>
      <c r="S54" s="2"/>
      <c r="T54" s="6">
        <v>2000</v>
      </c>
      <c r="U54" s="2"/>
      <c r="V54" s="7">
        <f t="shared" si="37"/>
        <v>0</v>
      </c>
      <c r="W54" s="2"/>
      <c r="X54" s="6">
        <f t="shared" si="38"/>
        <v>-2000</v>
      </c>
      <c r="Y54" s="2"/>
      <c r="Z54" s="7">
        <f t="shared" si="39"/>
        <v>-1</v>
      </c>
    </row>
    <row r="55" spans="1:26" s="24" customFormat="1" hidden="1" outlineLevel="2" x14ac:dyDescent="0.25">
      <c r="A55" s="27"/>
      <c r="B55" s="11" t="str">
        <f>CONCATENATE("          ", "6399", " - ", "DONATION-ON CAMPUS")</f>
        <v xml:space="preserve">          6399 - DONATION-ON CAMPUS</v>
      </c>
      <c r="C55" s="11"/>
      <c r="D55" s="6">
        <v>2691.56</v>
      </c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2691.56</v>
      </c>
      <c r="M55" s="2"/>
      <c r="N55" s="7">
        <f t="shared" si="35"/>
        <v>0</v>
      </c>
      <c r="O55" s="11"/>
      <c r="P55" s="6">
        <v>3616.98</v>
      </c>
      <c r="Q55" s="2"/>
      <c r="R55" s="7">
        <f t="shared" si="36"/>
        <v>0</v>
      </c>
      <c r="S55" s="2"/>
      <c r="T55" s="6"/>
      <c r="U55" s="2"/>
      <c r="V55" s="7">
        <f t="shared" si="37"/>
        <v>0</v>
      </c>
      <c r="W55" s="2"/>
      <c r="X55" s="6">
        <f t="shared" si="38"/>
        <v>3616.98</v>
      </c>
      <c r="Y55" s="2"/>
      <c r="Z55" s="7">
        <f t="shared" si="39"/>
        <v>0</v>
      </c>
    </row>
    <row r="56" spans="1:26" s="26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SUM(OSRRefD22_8x_0)</f>
        <v>57.33</v>
      </c>
      <c r="E56" s="1"/>
      <c r="F56" s="5">
        <f t="shared" ref="F56:F73" si="40">IF(D$12=0,0,D56/D$12)</f>
        <v>0</v>
      </c>
      <c r="G56" s="1"/>
      <c r="H56" s="1">
        <f>SUM(OSRRefH22_8x_0)</f>
        <v>200</v>
      </c>
      <c r="I56" s="1"/>
      <c r="J56" s="5">
        <f t="shared" ref="J56:J73" si="41">IF(H$12=0,0,H56/H$12)</f>
        <v>0</v>
      </c>
      <c r="K56" s="1"/>
      <c r="L56" s="1">
        <f t="shared" ref="L56:L73" si="42">+D56-H56</f>
        <v>-142.67000000000002</v>
      </c>
      <c r="M56" s="1"/>
      <c r="N56" s="5">
        <f t="shared" ref="N56:N73" si="43">IF(H56=0,0,L56/H56)</f>
        <v>-0.71335000000000004</v>
      </c>
      <c r="O56" s="13"/>
      <c r="P56" s="1">
        <f>SUM(OSRRefP22_8x_0)</f>
        <v>316.95999999999998</v>
      </c>
      <c r="Q56" s="1"/>
      <c r="R56" s="5">
        <f t="shared" ref="R56:R73" si="44">IF(P$12=0,0,P56/P$12)</f>
        <v>0</v>
      </c>
      <c r="S56" s="1"/>
      <c r="T56" s="1">
        <f>SUM(OSRRefT22_8x_0)</f>
        <v>400</v>
      </c>
      <c r="U56" s="1"/>
      <c r="V56" s="5">
        <f t="shared" ref="V56:V73" si="45">IF(T$12=0,0,T56/T$12)</f>
        <v>0</v>
      </c>
      <c r="W56" s="1"/>
      <c r="X56" s="1">
        <f t="shared" ref="X56:X73" si="46">+P56-T56</f>
        <v>-83.04000000000002</v>
      </c>
      <c r="Y56" s="1"/>
      <c r="Z56" s="5">
        <f t="shared" ref="Z56:Z73" si="47">IF(T56=0,0,X56/T56)</f>
        <v>-0.20760000000000006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>
        <v>57.33</v>
      </c>
      <c r="E57" s="2"/>
      <c r="F57" s="7">
        <f t="shared" si="40"/>
        <v>0</v>
      </c>
      <c r="G57" s="2"/>
      <c r="H57" s="6">
        <v>200</v>
      </c>
      <c r="I57" s="2"/>
      <c r="J57" s="7">
        <f t="shared" si="41"/>
        <v>0</v>
      </c>
      <c r="K57" s="2"/>
      <c r="L57" s="6">
        <f t="shared" si="42"/>
        <v>-142.67000000000002</v>
      </c>
      <c r="M57" s="2"/>
      <c r="N57" s="7">
        <f t="shared" si="43"/>
        <v>-0.71335000000000004</v>
      </c>
      <c r="O57" s="11"/>
      <c r="P57" s="6">
        <v>316.95999999999998</v>
      </c>
      <c r="Q57" s="2"/>
      <c r="R57" s="7">
        <f t="shared" si="44"/>
        <v>0</v>
      </c>
      <c r="S57" s="2"/>
      <c r="T57" s="6">
        <v>400</v>
      </c>
      <c r="U57" s="2"/>
      <c r="V57" s="7">
        <f t="shared" si="45"/>
        <v>0</v>
      </c>
      <c r="W57" s="2"/>
      <c r="X57" s="6">
        <f t="shared" si="46"/>
        <v>-83.04000000000002</v>
      </c>
      <c r="Y57" s="2"/>
      <c r="Z57" s="7">
        <f t="shared" si="47"/>
        <v>-0.20760000000000006</v>
      </c>
    </row>
    <row r="58" spans="1:26" s="26" customFormat="1" outlineLevel="1" collapsed="1" x14ac:dyDescent="0.25">
      <c r="A58" s="25"/>
      <c r="B58" s="13" t="str">
        <f>CONCATENATE("     ","Freight out/Postage                               ")</f>
        <v xml:space="preserve">     Freight out/Postage                               </v>
      </c>
      <c r="C58" s="13"/>
      <c r="D58" s="1">
        <f>SUM(OSRRefD22_9x_0)</f>
        <v>0</v>
      </c>
      <c r="E58" s="1"/>
      <c r="F58" s="5">
        <f t="shared" si="40"/>
        <v>0</v>
      </c>
      <c r="G58" s="1"/>
      <c r="H58" s="1">
        <f>SUM(OSRRefH22_9x_0)</f>
        <v>30</v>
      </c>
      <c r="I58" s="1"/>
      <c r="J58" s="5">
        <f t="shared" si="41"/>
        <v>0</v>
      </c>
      <c r="K58" s="1"/>
      <c r="L58" s="1">
        <f t="shared" si="42"/>
        <v>-30</v>
      </c>
      <c r="M58" s="1"/>
      <c r="N58" s="5">
        <f t="shared" si="43"/>
        <v>-1</v>
      </c>
      <c r="O58" s="13"/>
      <c r="P58" s="1">
        <f>SUM(OSRRefP22_9x_0)</f>
        <v>0</v>
      </c>
      <c r="Q58" s="1"/>
      <c r="R58" s="5">
        <f t="shared" si="44"/>
        <v>0</v>
      </c>
      <c r="S58" s="1"/>
      <c r="T58" s="1">
        <f>SUM(OSRRefT22_9x_0)</f>
        <v>60</v>
      </c>
      <c r="U58" s="1"/>
      <c r="V58" s="5">
        <f t="shared" si="45"/>
        <v>0</v>
      </c>
      <c r="W58" s="1"/>
      <c r="X58" s="1">
        <f t="shared" si="46"/>
        <v>-60</v>
      </c>
      <c r="Y58" s="1"/>
      <c r="Z58" s="5">
        <f t="shared" si="47"/>
        <v>-1</v>
      </c>
    </row>
    <row r="59" spans="1:26" s="24" customFormat="1" hidden="1" outlineLevel="2" x14ac:dyDescent="0.25">
      <c r="A59" s="27"/>
      <c r="B59" s="11" t="str">
        <f>CONCATENATE("          ", "6307", " - ", "POSTAGE")</f>
        <v xml:space="preserve">          6307 - POSTAGE</v>
      </c>
      <c r="C59" s="11"/>
      <c r="D59" s="6"/>
      <c r="E59" s="2"/>
      <c r="F59" s="7">
        <f t="shared" si="40"/>
        <v>0</v>
      </c>
      <c r="G59" s="2"/>
      <c r="H59" s="6">
        <v>30</v>
      </c>
      <c r="I59" s="2"/>
      <c r="J59" s="7">
        <f t="shared" si="41"/>
        <v>0</v>
      </c>
      <c r="K59" s="2"/>
      <c r="L59" s="6">
        <f t="shared" si="42"/>
        <v>-30</v>
      </c>
      <c r="M59" s="2"/>
      <c r="N59" s="7">
        <f t="shared" si="43"/>
        <v>-1</v>
      </c>
      <c r="O59" s="11"/>
      <c r="P59" s="6"/>
      <c r="Q59" s="2"/>
      <c r="R59" s="7">
        <f t="shared" si="44"/>
        <v>0</v>
      </c>
      <c r="S59" s="2"/>
      <c r="T59" s="6">
        <v>60</v>
      </c>
      <c r="U59" s="2"/>
      <c r="V59" s="7">
        <f t="shared" si="45"/>
        <v>0</v>
      </c>
      <c r="W59" s="2"/>
      <c r="X59" s="6">
        <f t="shared" si="46"/>
        <v>-60</v>
      </c>
      <c r="Y59" s="2"/>
      <c r="Z59" s="7">
        <f t="shared" si="47"/>
        <v>-1</v>
      </c>
    </row>
    <row r="60" spans="1:26" s="26" customFormat="1" outlineLevel="1" collapsed="1" x14ac:dyDescent="0.25">
      <c r="A60" s="25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SUM(OSRRefD22_10x_0)</f>
        <v>-15111.76</v>
      </c>
      <c r="E60" s="1"/>
      <c r="F60" s="5">
        <f t="shared" si="40"/>
        <v>0</v>
      </c>
      <c r="G60" s="1"/>
      <c r="H60" s="1">
        <f>SUM(OSRRefH22_10x_0)</f>
        <v>100</v>
      </c>
      <c r="I60" s="1"/>
      <c r="J60" s="5">
        <f t="shared" si="41"/>
        <v>0</v>
      </c>
      <c r="K60" s="1"/>
      <c r="L60" s="1">
        <f t="shared" si="42"/>
        <v>-15211.76</v>
      </c>
      <c r="M60" s="1"/>
      <c r="N60" s="5">
        <f t="shared" si="43"/>
        <v>-152.11760000000001</v>
      </c>
      <c r="O60" s="13"/>
      <c r="P60" s="1">
        <f>SUM(OSRRefP22_10x_0)</f>
        <v>-15037.969999999998</v>
      </c>
      <c r="Q60" s="1"/>
      <c r="R60" s="5">
        <f t="shared" si="44"/>
        <v>0</v>
      </c>
      <c r="S60" s="1"/>
      <c r="T60" s="1">
        <f>SUM(OSRRefT22_10x_0)</f>
        <v>200</v>
      </c>
      <c r="U60" s="1"/>
      <c r="V60" s="5">
        <f t="shared" si="45"/>
        <v>0</v>
      </c>
      <c r="W60" s="1"/>
      <c r="X60" s="1">
        <f t="shared" si="46"/>
        <v>-15237.969999999998</v>
      </c>
      <c r="Y60" s="1"/>
      <c r="Z60" s="5">
        <f t="shared" si="47"/>
        <v>-76.189849999999993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>
        <v>-15111.76</v>
      </c>
      <c r="E61" s="2"/>
      <c r="F61" s="7">
        <f t="shared" si="40"/>
        <v>0</v>
      </c>
      <c r="G61" s="2"/>
      <c r="H61" s="6">
        <v>100</v>
      </c>
      <c r="I61" s="2"/>
      <c r="J61" s="7">
        <f t="shared" si="41"/>
        <v>0</v>
      </c>
      <c r="K61" s="2"/>
      <c r="L61" s="6">
        <f t="shared" si="42"/>
        <v>-15211.76</v>
      </c>
      <c r="M61" s="2"/>
      <c r="N61" s="7">
        <f t="shared" si="43"/>
        <v>-152.11760000000001</v>
      </c>
      <c r="O61" s="11"/>
      <c r="P61" s="6">
        <v>-15037.969999999998</v>
      </c>
      <c r="Q61" s="2"/>
      <c r="R61" s="7">
        <f t="shared" si="44"/>
        <v>0</v>
      </c>
      <c r="S61" s="2"/>
      <c r="T61" s="6">
        <v>200</v>
      </c>
      <c r="U61" s="2"/>
      <c r="V61" s="7">
        <f t="shared" si="45"/>
        <v>0</v>
      </c>
      <c r="W61" s="2"/>
      <c r="X61" s="6">
        <f t="shared" si="46"/>
        <v>-15237.969999999998</v>
      </c>
      <c r="Y61" s="2"/>
      <c r="Z61" s="7">
        <f t="shared" si="47"/>
        <v>-76.189849999999993</v>
      </c>
    </row>
    <row r="62" spans="1:26" s="26" customFormat="1" outlineLevel="1" collapsed="1" x14ac:dyDescent="0.25">
      <c r="A62" s="25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SUM(OSRRefD22_11x_0)</f>
        <v>3883.56</v>
      </c>
      <c r="E62" s="1"/>
      <c r="F62" s="5">
        <f t="shared" si="40"/>
        <v>0</v>
      </c>
      <c r="G62" s="1"/>
      <c r="H62" s="1">
        <f>SUM(OSRRefH22_11x_0)</f>
        <v>3660</v>
      </c>
      <c r="I62" s="1"/>
      <c r="J62" s="5">
        <f t="shared" si="41"/>
        <v>0</v>
      </c>
      <c r="K62" s="1"/>
      <c r="L62" s="1">
        <f t="shared" si="42"/>
        <v>223.55999999999995</v>
      </c>
      <c r="M62" s="1"/>
      <c r="N62" s="5">
        <f t="shared" si="43"/>
        <v>6.1081967213114742E-2</v>
      </c>
      <c r="O62" s="13"/>
      <c r="P62" s="1">
        <f>SUM(OSRRefP22_11x_0)</f>
        <v>7767.12</v>
      </c>
      <c r="Q62" s="1"/>
      <c r="R62" s="5">
        <f t="shared" si="44"/>
        <v>0</v>
      </c>
      <c r="S62" s="1"/>
      <c r="T62" s="1">
        <f>SUM(OSRRefT22_11x_0)</f>
        <v>7320</v>
      </c>
      <c r="U62" s="1"/>
      <c r="V62" s="5">
        <f t="shared" si="45"/>
        <v>0</v>
      </c>
      <c r="W62" s="1"/>
      <c r="X62" s="1">
        <f t="shared" si="46"/>
        <v>447.11999999999989</v>
      </c>
      <c r="Y62" s="1"/>
      <c r="Z62" s="5">
        <f t="shared" si="47"/>
        <v>6.1081967213114742E-2</v>
      </c>
    </row>
    <row r="63" spans="1:26" s="24" customFormat="1" hidden="1" outlineLevel="2" x14ac:dyDescent="0.25">
      <c r="A63" s="27"/>
      <c r="B63" s="11" t="str">
        <f>CONCATENATE("          ", "6314", " - ", "LIABILITY INSURANCE")</f>
        <v xml:space="preserve">          6314 - LIABILITY INSURANCE</v>
      </c>
      <c r="C63" s="11"/>
      <c r="D63" s="6">
        <v>3883.56</v>
      </c>
      <c r="E63" s="2"/>
      <c r="F63" s="7">
        <f t="shared" si="40"/>
        <v>0</v>
      </c>
      <c r="G63" s="2"/>
      <c r="H63" s="6">
        <v>3660</v>
      </c>
      <c r="I63" s="2"/>
      <c r="J63" s="7">
        <f t="shared" si="41"/>
        <v>0</v>
      </c>
      <c r="K63" s="2"/>
      <c r="L63" s="6">
        <f t="shared" si="42"/>
        <v>223.55999999999995</v>
      </c>
      <c r="M63" s="2"/>
      <c r="N63" s="7">
        <f t="shared" si="43"/>
        <v>6.1081967213114742E-2</v>
      </c>
      <c r="O63" s="11"/>
      <c r="P63" s="6">
        <v>7767.12</v>
      </c>
      <c r="Q63" s="2"/>
      <c r="R63" s="7">
        <f t="shared" si="44"/>
        <v>0</v>
      </c>
      <c r="S63" s="2"/>
      <c r="T63" s="6">
        <v>7320</v>
      </c>
      <c r="U63" s="2"/>
      <c r="V63" s="7">
        <f t="shared" si="45"/>
        <v>0</v>
      </c>
      <c r="W63" s="2"/>
      <c r="X63" s="6">
        <f t="shared" si="46"/>
        <v>447.11999999999989</v>
      </c>
      <c r="Y63" s="2"/>
      <c r="Z63" s="7">
        <f t="shared" si="47"/>
        <v>6.1081967213114742E-2</v>
      </c>
    </row>
    <row r="64" spans="1:26" s="26" customFormat="1" outlineLevel="1" collapsed="1" x14ac:dyDescent="0.25">
      <c r="A64" s="25"/>
      <c r="B64" s="13" t="str">
        <f>CONCATENATE("     ","Inventory Adjustment                              ")</f>
        <v xml:space="preserve">     Inventory Adjustment                              </v>
      </c>
      <c r="C64" s="13"/>
      <c r="D64" s="1">
        <f>SUM(OSRRefD22_12x_0)</f>
        <v>0</v>
      </c>
      <c r="E64" s="1"/>
      <c r="F64" s="5">
        <f t="shared" si="40"/>
        <v>0</v>
      </c>
      <c r="G64" s="1"/>
      <c r="H64" s="1">
        <f>SUM(OSRRefH22_12x_0)</f>
        <v>0</v>
      </c>
      <c r="I64" s="1"/>
      <c r="J64" s="5">
        <f t="shared" si="41"/>
        <v>0</v>
      </c>
      <c r="K64" s="1"/>
      <c r="L64" s="1">
        <f t="shared" si="42"/>
        <v>0</v>
      </c>
      <c r="M64" s="1"/>
      <c r="N64" s="5">
        <f t="shared" si="43"/>
        <v>0</v>
      </c>
      <c r="O64" s="13"/>
      <c r="P64" s="1">
        <f>SUM(OSRRefP22_12x_0)</f>
        <v>0</v>
      </c>
      <c r="Q64" s="1"/>
      <c r="R64" s="5">
        <f t="shared" si="44"/>
        <v>0</v>
      </c>
      <c r="S64" s="1"/>
      <c r="T64" s="1">
        <f>SUM(OSRRefT22_12x_0)</f>
        <v>0</v>
      </c>
      <c r="U64" s="1"/>
      <c r="V64" s="5">
        <f t="shared" si="45"/>
        <v>0</v>
      </c>
      <c r="W64" s="1"/>
      <c r="X64" s="1">
        <f t="shared" si="46"/>
        <v>0</v>
      </c>
      <c r="Y64" s="1"/>
      <c r="Z64" s="5">
        <f t="shared" si="47"/>
        <v>0</v>
      </c>
    </row>
    <row r="65" spans="1:26" s="24" customFormat="1" hidden="1" outlineLevel="2" x14ac:dyDescent="0.25">
      <c r="A65" s="27"/>
      <c r="B65" s="11" t="str">
        <f>CONCATENATE("          ", "6408", " - ", "INVENTORY ADJUSTMENT")</f>
        <v xml:space="preserve">          6408 - INVENTORY ADJUSTMENT</v>
      </c>
      <c r="C65" s="11"/>
      <c r="D65" s="6"/>
      <c r="E65" s="2"/>
      <c r="F65" s="7">
        <f t="shared" si="40"/>
        <v>0</v>
      </c>
      <c r="G65" s="2"/>
      <c r="H65" s="6">
        <v>0</v>
      </c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1"/>
      <c r="P65" s="6"/>
      <c r="Q65" s="2"/>
      <c r="R65" s="7">
        <f t="shared" si="44"/>
        <v>0</v>
      </c>
      <c r="S65" s="2"/>
      <c r="T65" s="6">
        <v>0</v>
      </c>
      <c r="U65" s="2"/>
      <c r="V65" s="7">
        <f t="shared" si="45"/>
        <v>0</v>
      </c>
      <c r="W65" s="2"/>
      <c r="X65" s="6">
        <f t="shared" si="46"/>
        <v>0</v>
      </c>
      <c r="Y65" s="2"/>
      <c r="Z65" s="7">
        <f t="shared" si="47"/>
        <v>0</v>
      </c>
    </row>
    <row r="66" spans="1:26" s="26" customFormat="1" outlineLevel="1" collapsed="1" x14ac:dyDescent="0.25">
      <c r="A66" s="25"/>
      <c r="B66" s="13" t="str">
        <f>CONCATENATE("     ","Professional Services                             ")</f>
        <v xml:space="preserve">     Professional Services                             </v>
      </c>
      <c r="C66" s="13"/>
      <c r="D66" s="1">
        <f>SUM(OSRRefD22_13x_0)</f>
        <v>0</v>
      </c>
      <c r="E66" s="1"/>
      <c r="F66" s="5">
        <f t="shared" si="40"/>
        <v>0</v>
      </c>
      <c r="G66" s="1"/>
      <c r="H66" s="1">
        <f>SUM(OSRRefH22_13x_0)</f>
        <v>900</v>
      </c>
      <c r="I66" s="1"/>
      <c r="J66" s="5">
        <f t="shared" si="41"/>
        <v>0</v>
      </c>
      <c r="K66" s="1"/>
      <c r="L66" s="1">
        <f t="shared" si="42"/>
        <v>-900</v>
      </c>
      <c r="M66" s="1"/>
      <c r="N66" s="5">
        <f t="shared" si="43"/>
        <v>-1</v>
      </c>
      <c r="O66" s="13"/>
      <c r="P66" s="1">
        <f>SUM(OSRRefP22_13x_0)</f>
        <v>4658.41</v>
      </c>
      <c r="Q66" s="1"/>
      <c r="R66" s="5">
        <f t="shared" si="44"/>
        <v>0</v>
      </c>
      <c r="S66" s="1"/>
      <c r="T66" s="1">
        <f>SUM(OSRRefT22_13x_0)</f>
        <v>1800</v>
      </c>
      <c r="U66" s="1"/>
      <c r="V66" s="5">
        <f t="shared" si="45"/>
        <v>0</v>
      </c>
      <c r="W66" s="1"/>
      <c r="X66" s="1">
        <f t="shared" si="46"/>
        <v>2858.41</v>
      </c>
      <c r="Y66" s="1"/>
      <c r="Z66" s="5">
        <f t="shared" si="47"/>
        <v>1.5880055555555554</v>
      </c>
    </row>
    <row r="67" spans="1:26" s="24" customFormat="1" hidden="1" outlineLevel="2" x14ac:dyDescent="0.25">
      <c r="A67" s="27"/>
      <c r="B67" s="11" t="str">
        <f>CONCATENATE("          ", "6336", " - ", "PROFESSIONAL SERVICES")</f>
        <v xml:space="preserve">          6336 - PROFESSIONAL SERVICES</v>
      </c>
      <c r="C67" s="11"/>
      <c r="D67" s="6"/>
      <c r="E67" s="2"/>
      <c r="F67" s="7">
        <f t="shared" si="40"/>
        <v>0</v>
      </c>
      <c r="G67" s="2"/>
      <c r="H67" s="6">
        <v>900</v>
      </c>
      <c r="I67" s="2"/>
      <c r="J67" s="7">
        <f t="shared" si="41"/>
        <v>0</v>
      </c>
      <c r="K67" s="2"/>
      <c r="L67" s="6">
        <f t="shared" si="42"/>
        <v>-900</v>
      </c>
      <c r="M67" s="2"/>
      <c r="N67" s="7">
        <f t="shared" si="43"/>
        <v>-1</v>
      </c>
      <c r="O67" s="11"/>
      <c r="P67" s="6">
        <v>4658.41</v>
      </c>
      <c r="Q67" s="2"/>
      <c r="R67" s="7">
        <f t="shared" si="44"/>
        <v>0</v>
      </c>
      <c r="S67" s="2"/>
      <c r="T67" s="6">
        <v>1800</v>
      </c>
      <c r="U67" s="2"/>
      <c r="V67" s="7">
        <f t="shared" si="45"/>
        <v>0</v>
      </c>
      <c r="W67" s="2"/>
      <c r="X67" s="6">
        <f t="shared" si="46"/>
        <v>2858.41</v>
      </c>
      <c r="Y67" s="2"/>
      <c r="Z67" s="7">
        <f t="shared" si="47"/>
        <v>1.5880055555555554</v>
      </c>
    </row>
    <row r="68" spans="1:26" s="26" customFormat="1" outlineLevel="1" collapsed="1" x14ac:dyDescent="0.25">
      <c r="A68" s="25"/>
      <c r="B68" s="13" t="str">
        <f>CONCATENATE("     ","Rent                                              ")</f>
        <v xml:space="preserve">     Rent                                              </v>
      </c>
      <c r="C68" s="13"/>
      <c r="D68" s="1">
        <f>SUM(OSRRefD22_14x_0)</f>
        <v>-800</v>
      </c>
      <c r="E68" s="1"/>
      <c r="F68" s="5">
        <f t="shared" si="40"/>
        <v>0</v>
      </c>
      <c r="G68" s="1"/>
      <c r="H68" s="1">
        <f>SUM(OSRRefH22_14x_0)</f>
        <v>-800</v>
      </c>
      <c r="I68" s="1"/>
      <c r="J68" s="5">
        <f t="shared" si="41"/>
        <v>0</v>
      </c>
      <c r="K68" s="1"/>
      <c r="L68" s="1">
        <f t="shared" si="42"/>
        <v>0</v>
      </c>
      <c r="M68" s="1"/>
      <c r="N68" s="5">
        <f t="shared" si="43"/>
        <v>0</v>
      </c>
      <c r="O68" s="13"/>
      <c r="P68" s="1">
        <f>SUM(OSRRefP22_14x_0)</f>
        <v>-1600</v>
      </c>
      <c r="Q68" s="1"/>
      <c r="R68" s="5">
        <f t="shared" si="44"/>
        <v>0</v>
      </c>
      <c r="S68" s="1"/>
      <c r="T68" s="1">
        <f>SUM(OSRRefT22_14x_0)</f>
        <v>-1600</v>
      </c>
      <c r="U68" s="1"/>
      <c r="V68" s="5">
        <f t="shared" si="45"/>
        <v>0</v>
      </c>
      <c r="W68" s="1"/>
      <c r="X68" s="1">
        <f t="shared" si="46"/>
        <v>0</v>
      </c>
      <c r="Y68" s="1"/>
      <c r="Z68" s="5">
        <f t="shared" si="47"/>
        <v>0</v>
      </c>
    </row>
    <row r="69" spans="1:26" s="24" customFormat="1" hidden="1" outlineLevel="2" x14ac:dyDescent="0.25">
      <c r="A69" s="27"/>
      <c r="B69" s="11" t="str">
        <f>CONCATENATE("          ", "6273", " - ", "RENT")</f>
        <v xml:space="preserve">          6273 - RENT</v>
      </c>
      <c r="C69" s="11"/>
      <c r="D69" s="6">
        <v>-800</v>
      </c>
      <c r="E69" s="2"/>
      <c r="F69" s="7">
        <f t="shared" si="40"/>
        <v>0</v>
      </c>
      <c r="G69" s="2"/>
      <c r="H69" s="6">
        <v>-800</v>
      </c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>
        <v>-1600</v>
      </c>
      <c r="Q69" s="2"/>
      <c r="R69" s="7">
        <f t="shared" si="44"/>
        <v>0</v>
      </c>
      <c r="S69" s="2"/>
      <c r="T69" s="6">
        <v>-1600</v>
      </c>
      <c r="U69" s="2"/>
      <c r="V69" s="7">
        <f t="shared" si="45"/>
        <v>0</v>
      </c>
      <c r="W69" s="2"/>
      <c r="X69" s="6">
        <f t="shared" si="46"/>
        <v>0</v>
      </c>
      <c r="Y69" s="2"/>
      <c r="Z69" s="7">
        <f t="shared" si="47"/>
        <v>0</v>
      </c>
    </row>
    <row r="70" spans="1:26" s="26" customFormat="1" outlineLevel="1" collapsed="1" x14ac:dyDescent="0.25">
      <c r="A70" s="25"/>
      <c r="B70" s="13" t="str">
        <f>CONCATENATE("     ","Repair and Maintenance                            ")</f>
        <v xml:space="preserve">     Repair and Maintenance                            </v>
      </c>
      <c r="C70" s="13"/>
      <c r="D70" s="1">
        <f>SUM(OSRRefD22_15x_0)</f>
        <v>9035.91</v>
      </c>
      <c r="E70" s="1"/>
      <c r="F70" s="5">
        <f t="shared" si="40"/>
        <v>0</v>
      </c>
      <c r="G70" s="1"/>
      <c r="H70" s="1">
        <f>SUM(OSRRefH22_15x_0)</f>
        <v>7000</v>
      </c>
      <c r="I70" s="1"/>
      <c r="J70" s="5">
        <f t="shared" si="41"/>
        <v>0</v>
      </c>
      <c r="K70" s="1"/>
      <c r="L70" s="1">
        <f t="shared" si="42"/>
        <v>2035.9099999999999</v>
      </c>
      <c r="M70" s="1"/>
      <c r="N70" s="5">
        <f t="shared" si="43"/>
        <v>0.29084428571428567</v>
      </c>
      <c r="O70" s="13"/>
      <c r="P70" s="1">
        <f>SUM(OSRRefP22_15x_0)</f>
        <v>25818.36</v>
      </c>
      <c r="Q70" s="1"/>
      <c r="R70" s="5">
        <f t="shared" si="44"/>
        <v>0</v>
      </c>
      <c r="S70" s="1"/>
      <c r="T70" s="1">
        <f>SUM(OSRRefT22_15x_0)</f>
        <v>56285</v>
      </c>
      <c r="U70" s="1"/>
      <c r="V70" s="5">
        <f t="shared" si="45"/>
        <v>0</v>
      </c>
      <c r="W70" s="1"/>
      <c r="X70" s="1">
        <f t="shared" si="46"/>
        <v>-30466.639999999999</v>
      </c>
      <c r="Y70" s="1"/>
      <c r="Z70" s="5">
        <f t="shared" si="47"/>
        <v>-0.54129235142577947</v>
      </c>
    </row>
    <row r="71" spans="1:26" s="24" customFormat="1" hidden="1" outlineLevel="2" x14ac:dyDescent="0.25">
      <c r="A71" s="27"/>
      <c r="B71" s="11" t="str">
        <f>CONCATENATE("          ", "6371", " - ", "COMPUTER SOFTWARE MAINTENANCE")</f>
        <v xml:space="preserve">          6371 - COMPUTER SOFTWARE MAINTENANCE</v>
      </c>
      <c r="C71" s="11"/>
      <c r="D71" s="6">
        <v>7887.25</v>
      </c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7887.25</v>
      </c>
      <c r="M71" s="2"/>
      <c r="N71" s="7">
        <f t="shared" si="43"/>
        <v>0</v>
      </c>
      <c r="O71" s="11"/>
      <c r="P71" s="6">
        <v>8488.25</v>
      </c>
      <c r="Q71" s="2"/>
      <c r="R71" s="7">
        <f t="shared" si="44"/>
        <v>0</v>
      </c>
      <c r="S71" s="2"/>
      <c r="T71" s="6">
        <v>48535</v>
      </c>
      <c r="U71" s="2"/>
      <c r="V71" s="7">
        <f t="shared" si="45"/>
        <v>0</v>
      </c>
      <c r="W71" s="2"/>
      <c r="X71" s="6">
        <f t="shared" si="46"/>
        <v>-40046.75</v>
      </c>
      <c r="Y71" s="2"/>
      <c r="Z71" s="7">
        <f t="shared" si="47"/>
        <v>-0.82511074482332336</v>
      </c>
    </row>
    <row r="72" spans="1:26" s="24" customFormat="1" hidden="1" outlineLevel="2" x14ac:dyDescent="0.25">
      <c r="A72" s="27"/>
      <c r="B72" s="11" t="str">
        <f>CONCATENATE("          ", "6373", " - ", "MAINTENANCE CONTRACTS")</f>
        <v xml:space="preserve">          6373 - MAINTENANCE CONTRACTS</v>
      </c>
      <c r="C72" s="11"/>
      <c r="D72" s="6"/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0</v>
      </c>
      <c r="M72" s="2"/>
      <c r="N72" s="7">
        <f t="shared" si="43"/>
        <v>0</v>
      </c>
      <c r="O72" s="11"/>
      <c r="P72" s="6">
        <v>516</v>
      </c>
      <c r="Q72" s="2"/>
      <c r="R72" s="7">
        <f t="shared" si="44"/>
        <v>0</v>
      </c>
      <c r="S72" s="2"/>
      <c r="T72" s="6"/>
      <c r="U72" s="2"/>
      <c r="V72" s="7">
        <f t="shared" si="45"/>
        <v>0</v>
      </c>
      <c r="W72" s="2"/>
      <c r="X72" s="6">
        <f t="shared" si="46"/>
        <v>516</v>
      </c>
      <c r="Y72" s="2"/>
      <c r="Z72" s="7">
        <f t="shared" si="47"/>
        <v>0</v>
      </c>
    </row>
    <row r="73" spans="1:26" s="24" customFormat="1" hidden="1" outlineLevel="2" x14ac:dyDescent="0.25">
      <c r="A73" s="27"/>
      <c r="B73" s="11" t="str">
        <f>CONCATENATE("          ", "6375", " - ", "OUTSIDE REPAIRS &amp; MAINTENANCE")</f>
        <v xml:space="preserve">          6375 - OUTSIDE REPAIRS &amp; MAINTENANCE</v>
      </c>
      <c r="C73" s="11"/>
      <c r="D73" s="6">
        <v>1148.6600000000001</v>
      </c>
      <c r="E73" s="2"/>
      <c r="F73" s="7">
        <f t="shared" si="40"/>
        <v>0</v>
      </c>
      <c r="G73" s="2"/>
      <c r="H73" s="6">
        <v>7000</v>
      </c>
      <c r="I73" s="2"/>
      <c r="J73" s="7">
        <f t="shared" si="41"/>
        <v>0</v>
      </c>
      <c r="K73" s="2"/>
      <c r="L73" s="6">
        <f t="shared" si="42"/>
        <v>-5851.34</v>
      </c>
      <c r="M73" s="2"/>
      <c r="N73" s="7">
        <f t="shared" si="43"/>
        <v>-0.83590571428571425</v>
      </c>
      <c r="O73" s="11"/>
      <c r="P73" s="6">
        <v>16814.11</v>
      </c>
      <c r="Q73" s="2"/>
      <c r="R73" s="7">
        <f t="shared" si="44"/>
        <v>0</v>
      </c>
      <c r="S73" s="2"/>
      <c r="T73" s="6">
        <v>7750</v>
      </c>
      <c r="U73" s="2"/>
      <c r="V73" s="7">
        <f t="shared" si="45"/>
        <v>0</v>
      </c>
      <c r="W73" s="2"/>
      <c r="X73" s="6">
        <f t="shared" si="46"/>
        <v>9064.11</v>
      </c>
      <c r="Y73" s="2"/>
      <c r="Z73" s="7">
        <f t="shared" si="47"/>
        <v>1.1695625806451613</v>
      </c>
    </row>
    <row r="74" spans="1:26" s="26" customFormat="1" outlineLevel="1" collapsed="1" x14ac:dyDescent="0.25">
      <c r="A74" s="25"/>
      <c r="B74" s="13" t="str">
        <f>CONCATENATE("     ","Services                                          ")</f>
        <v xml:space="preserve">     Services                                          </v>
      </c>
      <c r="C74" s="13"/>
      <c r="D74" s="1">
        <f>SUM(OSRRefD22_16x_0)</f>
        <v>4180.04</v>
      </c>
      <c r="E74" s="1"/>
      <c r="F74" s="5">
        <f t="shared" ref="F74:F77" si="48">IF(D$12=0,0,D74/D$12)</f>
        <v>0</v>
      </c>
      <c r="G74" s="1"/>
      <c r="H74" s="1">
        <f>SUM(OSRRefH22_16x_0)</f>
        <v>4100</v>
      </c>
      <c r="I74" s="1"/>
      <c r="J74" s="5">
        <f t="shared" ref="J74:J77" si="49">IF(H$12=0,0,H74/H$12)</f>
        <v>0</v>
      </c>
      <c r="K74" s="1"/>
      <c r="L74" s="1">
        <f t="shared" ref="L74:L77" si="50">+D74-H74</f>
        <v>80.039999999999964</v>
      </c>
      <c r="M74" s="1"/>
      <c r="N74" s="5">
        <f t="shared" ref="N74:N77" si="51">IF(H74=0,0,L74/H74)</f>
        <v>1.9521951219512185E-2</v>
      </c>
      <c r="O74" s="13"/>
      <c r="P74" s="1">
        <f>SUM(OSRRefP22_16x_0)</f>
        <v>8360.08</v>
      </c>
      <c r="Q74" s="1"/>
      <c r="R74" s="5">
        <f t="shared" ref="R74:R77" si="52">IF(P$12=0,0,P74/P$12)</f>
        <v>0</v>
      </c>
      <c r="S74" s="1"/>
      <c r="T74" s="1">
        <f>SUM(OSRRefT22_16x_0)</f>
        <v>8200</v>
      </c>
      <c r="U74" s="1"/>
      <c r="V74" s="5">
        <f t="shared" ref="V74:V77" si="53">IF(T$12=0,0,T74/T$12)</f>
        <v>0</v>
      </c>
      <c r="W74" s="1"/>
      <c r="X74" s="1">
        <f t="shared" ref="X74:X77" si="54">+P74-T74</f>
        <v>160.07999999999993</v>
      </c>
      <c r="Y74" s="1"/>
      <c r="Z74" s="5">
        <f t="shared" ref="Z74:Z77" si="55">IF(T74=0,0,X74/T74)</f>
        <v>1.9521951219512185E-2</v>
      </c>
    </row>
    <row r="75" spans="1:26" s="24" customFormat="1" hidden="1" outlineLevel="2" x14ac:dyDescent="0.25">
      <c r="A75" s="27"/>
      <c r="B75" s="11" t="str">
        <f>CONCATENATE("          ", "6282", " - ", "JANITORIAL/EXTERMINATOR EXPENS")</f>
        <v xml:space="preserve">          6282 - JANITORIAL/EXTERMINATOR EXPENS</v>
      </c>
      <c r="C75" s="11"/>
      <c r="D75" s="6">
        <v>222.5</v>
      </c>
      <c r="E75" s="2"/>
      <c r="F75" s="7">
        <f t="shared" si="48"/>
        <v>0</v>
      </c>
      <c r="G75" s="2"/>
      <c r="H75" s="6"/>
      <c r="I75" s="2"/>
      <c r="J75" s="7">
        <f t="shared" si="49"/>
        <v>0</v>
      </c>
      <c r="K75" s="2"/>
      <c r="L75" s="6">
        <f t="shared" si="50"/>
        <v>222.5</v>
      </c>
      <c r="M75" s="2"/>
      <c r="N75" s="7">
        <f t="shared" si="51"/>
        <v>0</v>
      </c>
      <c r="O75" s="11"/>
      <c r="P75" s="6">
        <v>445</v>
      </c>
      <c r="Q75" s="2"/>
      <c r="R75" s="7">
        <f t="shared" si="52"/>
        <v>0</v>
      </c>
      <c r="S75" s="2"/>
      <c r="T75" s="6"/>
      <c r="U75" s="2"/>
      <c r="V75" s="7">
        <f t="shared" si="53"/>
        <v>0</v>
      </c>
      <c r="W75" s="2"/>
      <c r="X75" s="6">
        <f t="shared" si="54"/>
        <v>445</v>
      </c>
      <c r="Y75" s="2"/>
      <c r="Z75" s="7">
        <f t="shared" si="55"/>
        <v>0</v>
      </c>
    </row>
    <row r="76" spans="1:26" s="24" customFormat="1" hidden="1" outlineLevel="2" x14ac:dyDescent="0.25">
      <c r="A76" s="27"/>
      <c r="B76" s="11" t="str">
        <f>CONCATENATE("          ", "6283", " - ", "PLANT SERVICE")</f>
        <v xml:space="preserve">          6283 - PLANT SERVICE</v>
      </c>
      <c r="C76" s="11"/>
      <c r="D76" s="6">
        <v>121.11</v>
      </c>
      <c r="E76" s="2"/>
      <c r="F76" s="7">
        <f t="shared" si="48"/>
        <v>0</v>
      </c>
      <c r="G76" s="2"/>
      <c r="H76" s="6"/>
      <c r="I76" s="2"/>
      <c r="J76" s="7">
        <f t="shared" si="49"/>
        <v>0</v>
      </c>
      <c r="K76" s="2"/>
      <c r="L76" s="6">
        <f t="shared" si="50"/>
        <v>121.11</v>
      </c>
      <c r="M76" s="2"/>
      <c r="N76" s="7">
        <f t="shared" si="51"/>
        <v>0</v>
      </c>
      <c r="O76" s="11"/>
      <c r="P76" s="6">
        <v>242.22</v>
      </c>
      <c r="Q76" s="2"/>
      <c r="R76" s="7">
        <f t="shared" si="52"/>
        <v>0</v>
      </c>
      <c r="S76" s="2"/>
      <c r="T76" s="6"/>
      <c r="U76" s="2"/>
      <c r="V76" s="7">
        <f t="shared" si="53"/>
        <v>0</v>
      </c>
      <c r="W76" s="2"/>
      <c r="X76" s="6">
        <f t="shared" si="54"/>
        <v>242.22</v>
      </c>
      <c r="Y76" s="2"/>
      <c r="Z76" s="7">
        <f t="shared" si="55"/>
        <v>0</v>
      </c>
    </row>
    <row r="77" spans="1:26" s="24" customFormat="1" hidden="1" outlineLevel="2" x14ac:dyDescent="0.25">
      <c r="A77" s="27"/>
      <c r="B77" s="11" t="str">
        <f>CONCATENATE("          ", "6285", " - ", "JANITORIAL SERVICES")</f>
        <v xml:space="preserve">          6285 - JANITORIAL SERVICES</v>
      </c>
      <c r="C77" s="11"/>
      <c r="D77" s="6">
        <v>3836.43</v>
      </c>
      <c r="E77" s="2"/>
      <c r="F77" s="7">
        <f t="shared" si="48"/>
        <v>0</v>
      </c>
      <c r="G77" s="2"/>
      <c r="H77" s="6">
        <v>4100</v>
      </c>
      <c r="I77" s="2"/>
      <c r="J77" s="7">
        <f t="shared" si="49"/>
        <v>0</v>
      </c>
      <c r="K77" s="2"/>
      <c r="L77" s="6">
        <f t="shared" si="50"/>
        <v>-263.57000000000016</v>
      </c>
      <c r="M77" s="2"/>
      <c r="N77" s="7">
        <f t="shared" si="51"/>
        <v>-6.4285365853658571E-2</v>
      </c>
      <c r="O77" s="11"/>
      <c r="P77" s="6">
        <v>7672.86</v>
      </c>
      <c r="Q77" s="2"/>
      <c r="R77" s="7">
        <f t="shared" si="52"/>
        <v>0</v>
      </c>
      <c r="S77" s="2"/>
      <c r="T77" s="6">
        <v>8200</v>
      </c>
      <c r="U77" s="2"/>
      <c r="V77" s="7">
        <f t="shared" si="53"/>
        <v>0</v>
      </c>
      <c r="W77" s="2"/>
      <c r="X77" s="6">
        <f t="shared" si="54"/>
        <v>-527.14000000000033</v>
      </c>
      <c r="Y77" s="2"/>
      <c r="Z77" s="7">
        <f t="shared" si="55"/>
        <v>-6.4285365853658571E-2</v>
      </c>
    </row>
    <row r="78" spans="1:26" s="26" customFormat="1" outlineLevel="1" collapsed="1" x14ac:dyDescent="0.25">
      <c r="A78" s="25"/>
      <c r="B78" s="13" t="str">
        <f>CONCATENATE("     ","Subscriptions &amp; Dues                              ")</f>
        <v xml:space="preserve">     Subscriptions &amp; Dues                              </v>
      </c>
      <c r="C78" s="13"/>
      <c r="D78" s="1">
        <f>SUM(OSRRefD22_17x_0)</f>
        <v>159.97999999999999</v>
      </c>
      <c r="E78" s="1"/>
      <c r="F78" s="5">
        <f t="shared" ref="F78:F80" si="56">IF(D$12=0,0,D78/D$12)</f>
        <v>0</v>
      </c>
      <c r="G78" s="1"/>
      <c r="H78" s="1">
        <f>SUM(OSRRefH22_17x_0)</f>
        <v>200</v>
      </c>
      <c r="I78" s="1"/>
      <c r="J78" s="5">
        <f t="shared" ref="J78:J80" si="57">IF(H$12=0,0,H78/H$12)</f>
        <v>0</v>
      </c>
      <c r="K78" s="1"/>
      <c r="L78" s="1">
        <f t="shared" ref="L78:L80" si="58">+D78-H78</f>
        <v>-40.02000000000001</v>
      </c>
      <c r="M78" s="1"/>
      <c r="N78" s="5">
        <f t="shared" ref="N78:N80" si="59">IF(H78=0,0,L78/H78)</f>
        <v>-0.20010000000000006</v>
      </c>
      <c r="O78" s="13"/>
      <c r="P78" s="1">
        <f>SUM(OSRRefP22_17x_0)</f>
        <v>319.95999999999998</v>
      </c>
      <c r="Q78" s="1"/>
      <c r="R78" s="5">
        <f t="shared" ref="R78:R80" si="60">IF(P$12=0,0,P78/P$12)</f>
        <v>0</v>
      </c>
      <c r="S78" s="1"/>
      <c r="T78" s="1">
        <f>SUM(OSRRefT22_17x_0)</f>
        <v>400</v>
      </c>
      <c r="U78" s="1"/>
      <c r="V78" s="5">
        <f t="shared" ref="V78:V80" si="61">IF(T$12=0,0,T78/T$12)</f>
        <v>0</v>
      </c>
      <c r="W78" s="1"/>
      <c r="X78" s="1">
        <f t="shared" ref="X78:X80" si="62">+P78-T78</f>
        <v>-80.04000000000002</v>
      </c>
      <c r="Y78" s="1"/>
      <c r="Z78" s="5">
        <f t="shared" ref="Z78:Z80" si="63">IF(T78=0,0,X78/T78)</f>
        <v>-0.20010000000000006</v>
      </c>
    </row>
    <row r="79" spans="1:26" s="24" customFormat="1" hidden="1" outlineLevel="2" x14ac:dyDescent="0.25">
      <c r="A79" s="27"/>
      <c r="B79" s="11" t="str">
        <f>CONCATENATE("          ", "6258", " - ", "MEMBERSHIP DUES")</f>
        <v xml:space="preserve">          6258 - MEMBERSHIP DUES</v>
      </c>
      <c r="C79" s="11"/>
      <c r="D79" s="6"/>
      <c r="E79" s="2"/>
      <c r="F79" s="7">
        <f t="shared" si="56"/>
        <v>0</v>
      </c>
      <c r="G79" s="2"/>
      <c r="H79" s="6">
        <v>200</v>
      </c>
      <c r="I79" s="2"/>
      <c r="J79" s="7">
        <f t="shared" si="57"/>
        <v>0</v>
      </c>
      <c r="K79" s="2"/>
      <c r="L79" s="6">
        <f t="shared" si="58"/>
        <v>-200</v>
      </c>
      <c r="M79" s="2"/>
      <c r="N79" s="7">
        <f t="shared" si="59"/>
        <v>-1</v>
      </c>
      <c r="O79" s="11"/>
      <c r="P79" s="6"/>
      <c r="Q79" s="2"/>
      <c r="R79" s="7">
        <f t="shared" si="60"/>
        <v>0</v>
      </c>
      <c r="S79" s="2"/>
      <c r="T79" s="6">
        <v>400</v>
      </c>
      <c r="U79" s="2"/>
      <c r="V79" s="7">
        <f t="shared" si="61"/>
        <v>0</v>
      </c>
      <c r="W79" s="2"/>
      <c r="X79" s="6">
        <f t="shared" si="62"/>
        <v>-400</v>
      </c>
      <c r="Y79" s="2"/>
      <c r="Z79" s="7">
        <f t="shared" si="63"/>
        <v>-1</v>
      </c>
    </row>
    <row r="80" spans="1:26" s="24" customFormat="1" hidden="1" outlineLevel="2" x14ac:dyDescent="0.25">
      <c r="A80" s="27"/>
      <c r="B80" s="11" t="str">
        <f>CONCATENATE("          ", "6275", " - ", "SUBSCRIPTIONS")</f>
        <v xml:space="preserve">          6275 - SUBSCRIPTIONS</v>
      </c>
      <c r="C80" s="11"/>
      <c r="D80" s="6">
        <v>159.97999999999999</v>
      </c>
      <c r="E80" s="2"/>
      <c r="F80" s="7">
        <f t="shared" si="56"/>
        <v>0</v>
      </c>
      <c r="G80" s="2"/>
      <c r="H80" s="6"/>
      <c r="I80" s="2"/>
      <c r="J80" s="7">
        <f t="shared" si="57"/>
        <v>0</v>
      </c>
      <c r="K80" s="2"/>
      <c r="L80" s="6">
        <f t="shared" si="58"/>
        <v>159.97999999999999</v>
      </c>
      <c r="M80" s="2"/>
      <c r="N80" s="7">
        <f t="shared" si="59"/>
        <v>0</v>
      </c>
      <c r="O80" s="11"/>
      <c r="P80" s="6">
        <v>319.95999999999998</v>
      </c>
      <c r="Q80" s="2"/>
      <c r="R80" s="7">
        <f t="shared" si="60"/>
        <v>0</v>
      </c>
      <c r="S80" s="2"/>
      <c r="T80" s="6"/>
      <c r="U80" s="2"/>
      <c r="V80" s="7">
        <f t="shared" si="61"/>
        <v>0</v>
      </c>
      <c r="W80" s="2"/>
      <c r="X80" s="6">
        <f t="shared" si="62"/>
        <v>319.95999999999998</v>
      </c>
      <c r="Y80" s="2"/>
      <c r="Z80" s="7">
        <f t="shared" si="63"/>
        <v>0</v>
      </c>
    </row>
    <row r="81" spans="1:26" s="26" customFormat="1" outlineLevel="1" collapsed="1" x14ac:dyDescent="0.25">
      <c r="A81" s="25"/>
      <c r="B81" s="13" t="str">
        <f>CONCATENATE("     ","Supplies                                          ")</f>
        <v xml:space="preserve">     Supplies                                          </v>
      </c>
      <c r="C81" s="13"/>
      <c r="D81" s="1">
        <f>SUM(OSRRefD22_18x_0)</f>
        <v>-5649.6999999999989</v>
      </c>
      <c r="E81" s="1"/>
      <c r="F81" s="5">
        <f t="shared" ref="F81:F87" si="64">IF(D$12=0,0,D81/D$12)</f>
        <v>0</v>
      </c>
      <c r="G81" s="1"/>
      <c r="H81" s="1">
        <f>SUM(OSRRefH22_18x_0)</f>
        <v>4250</v>
      </c>
      <c r="I81" s="1"/>
      <c r="J81" s="5">
        <f t="shared" ref="J81:J87" si="65">IF(H$12=0,0,H81/H$12)</f>
        <v>0</v>
      </c>
      <c r="K81" s="1"/>
      <c r="L81" s="1">
        <f t="shared" ref="L81:L87" si="66">+D81-H81</f>
        <v>-9899.6999999999989</v>
      </c>
      <c r="M81" s="1"/>
      <c r="N81" s="5">
        <f t="shared" ref="N81:N87" si="67">IF(H81=0,0,L81/H81)</f>
        <v>-2.3293411764705878</v>
      </c>
      <c r="O81" s="13"/>
      <c r="P81" s="1">
        <f>SUM(OSRRefP22_18x_0)</f>
        <v>-4247.8500000000004</v>
      </c>
      <c r="Q81" s="1"/>
      <c r="R81" s="5">
        <f t="shared" ref="R81:R87" si="68">IF(P$12=0,0,P81/P$12)</f>
        <v>0</v>
      </c>
      <c r="S81" s="1"/>
      <c r="T81" s="1">
        <f>SUM(OSRRefT22_18x_0)</f>
        <v>8600</v>
      </c>
      <c r="U81" s="1"/>
      <c r="V81" s="5">
        <f t="shared" ref="V81:V87" si="69">IF(T$12=0,0,T81/T$12)</f>
        <v>0</v>
      </c>
      <c r="W81" s="1"/>
      <c r="X81" s="1">
        <f t="shared" ref="X81:X87" si="70">+P81-T81</f>
        <v>-12847.85</v>
      </c>
      <c r="Y81" s="1"/>
      <c r="Z81" s="5">
        <f t="shared" ref="Z81:Z87" si="71">IF(T81=0,0,X81/T81)</f>
        <v>-1.493936046511628</v>
      </c>
    </row>
    <row r="82" spans="1:26" s="24" customFormat="1" hidden="1" outlineLevel="2" x14ac:dyDescent="0.25">
      <c r="A82" s="27"/>
      <c r="B82" s="11" t="str">
        <f>CONCATENATE("          ", "6234", " - ", "EXPENDABLE SUPPLIES &amp; EQUIPMEN")</f>
        <v xml:space="preserve">          6234 - EXPENDABLE SUPPLIES &amp; EQUIPMEN</v>
      </c>
      <c r="C82" s="11"/>
      <c r="D82" s="6">
        <v>14.02</v>
      </c>
      <c r="E82" s="2"/>
      <c r="F82" s="7">
        <f t="shared" si="64"/>
        <v>0</v>
      </c>
      <c r="G82" s="2"/>
      <c r="H82" s="6"/>
      <c r="I82" s="2"/>
      <c r="J82" s="7">
        <f t="shared" si="65"/>
        <v>0</v>
      </c>
      <c r="K82" s="2"/>
      <c r="L82" s="6">
        <f t="shared" si="66"/>
        <v>14.02</v>
      </c>
      <c r="M82" s="2"/>
      <c r="N82" s="7">
        <f t="shared" si="67"/>
        <v>0</v>
      </c>
      <c r="O82" s="11"/>
      <c r="P82" s="6">
        <v>714.78</v>
      </c>
      <c r="Q82" s="2"/>
      <c r="R82" s="7">
        <f t="shared" si="68"/>
        <v>0</v>
      </c>
      <c r="S82" s="2"/>
      <c r="T82" s="6"/>
      <c r="U82" s="2"/>
      <c r="V82" s="7">
        <f t="shared" si="69"/>
        <v>0</v>
      </c>
      <c r="W82" s="2"/>
      <c r="X82" s="6">
        <f t="shared" si="70"/>
        <v>714.78</v>
      </c>
      <c r="Y82" s="2"/>
      <c r="Z82" s="7">
        <f t="shared" si="71"/>
        <v>0</v>
      </c>
    </row>
    <row r="83" spans="1:26" s="24" customFormat="1" hidden="1" outlineLevel="2" x14ac:dyDescent="0.25">
      <c r="A83" s="27"/>
      <c r="B83" s="11" t="str">
        <f>CONCATENATE("          ", "6237", " - ", "JANITORIAL SUPPLIES")</f>
        <v xml:space="preserve">          6237 - JANITORIAL SUPPLIES</v>
      </c>
      <c r="C83" s="11"/>
      <c r="D83" s="6">
        <v>326.57</v>
      </c>
      <c r="E83" s="2"/>
      <c r="F83" s="7">
        <f t="shared" si="64"/>
        <v>0</v>
      </c>
      <c r="G83" s="2"/>
      <c r="H83" s="6"/>
      <c r="I83" s="2"/>
      <c r="J83" s="7">
        <f t="shared" si="65"/>
        <v>0</v>
      </c>
      <c r="K83" s="2"/>
      <c r="L83" s="6">
        <f t="shared" si="66"/>
        <v>326.57</v>
      </c>
      <c r="M83" s="2"/>
      <c r="N83" s="7">
        <f t="shared" si="67"/>
        <v>0</v>
      </c>
      <c r="O83" s="11"/>
      <c r="P83" s="6">
        <v>775.4</v>
      </c>
      <c r="Q83" s="2"/>
      <c r="R83" s="7">
        <f t="shared" si="68"/>
        <v>0</v>
      </c>
      <c r="S83" s="2"/>
      <c r="T83" s="6"/>
      <c r="U83" s="2"/>
      <c r="V83" s="7">
        <f t="shared" si="69"/>
        <v>0</v>
      </c>
      <c r="W83" s="2"/>
      <c r="X83" s="6">
        <f t="shared" si="70"/>
        <v>775.4</v>
      </c>
      <c r="Y83" s="2"/>
      <c r="Z83" s="7">
        <f t="shared" si="71"/>
        <v>0</v>
      </c>
    </row>
    <row r="84" spans="1:26" s="24" customFormat="1" hidden="1" outlineLevel="2" x14ac:dyDescent="0.25">
      <c r="A84" s="27"/>
      <c r="B84" s="11" t="str">
        <f>CONCATENATE("          ", "6241", " - ", "OFFICE EXPENSE")</f>
        <v xml:space="preserve">          6241 - OFFICE EXPENSE</v>
      </c>
      <c r="C84" s="11"/>
      <c r="D84" s="6">
        <v>2242.21</v>
      </c>
      <c r="E84" s="2"/>
      <c r="F84" s="7">
        <f t="shared" si="64"/>
        <v>0</v>
      </c>
      <c r="G84" s="2"/>
      <c r="H84" s="6"/>
      <c r="I84" s="2"/>
      <c r="J84" s="7">
        <f t="shared" si="65"/>
        <v>0</v>
      </c>
      <c r="K84" s="2"/>
      <c r="L84" s="6">
        <f t="shared" si="66"/>
        <v>2242.21</v>
      </c>
      <c r="M84" s="2"/>
      <c r="N84" s="7">
        <f t="shared" si="67"/>
        <v>0</v>
      </c>
      <c r="O84" s="11"/>
      <c r="P84" s="6">
        <v>2592.33</v>
      </c>
      <c r="Q84" s="2"/>
      <c r="R84" s="7">
        <f t="shared" si="68"/>
        <v>0</v>
      </c>
      <c r="S84" s="2"/>
      <c r="T84" s="6"/>
      <c r="U84" s="2"/>
      <c r="V84" s="7">
        <f t="shared" si="69"/>
        <v>0</v>
      </c>
      <c r="W84" s="2"/>
      <c r="X84" s="6">
        <f t="shared" si="70"/>
        <v>2592.33</v>
      </c>
      <c r="Y84" s="2"/>
      <c r="Z84" s="7">
        <f t="shared" si="71"/>
        <v>0</v>
      </c>
    </row>
    <row r="85" spans="1:26" s="24" customFormat="1" hidden="1" outlineLevel="2" x14ac:dyDescent="0.25">
      <c r="A85" s="27"/>
      <c r="B85" s="11" t="str">
        <f>CONCATENATE("          ", "6245", " - ", "PRINTING")</f>
        <v xml:space="preserve">          6245 - PRINTING</v>
      </c>
      <c r="C85" s="11"/>
      <c r="D85" s="6">
        <v>19.73</v>
      </c>
      <c r="E85" s="2"/>
      <c r="F85" s="7">
        <f t="shared" si="64"/>
        <v>0</v>
      </c>
      <c r="G85" s="2"/>
      <c r="H85" s="6"/>
      <c r="I85" s="2"/>
      <c r="J85" s="7">
        <f t="shared" si="65"/>
        <v>0</v>
      </c>
      <c r="K85" s="2"/>
      <c r="L85" s="6">
        <f t="shared" si="66"/>
        <v>19.73</v>
      </c>
      <c r="M85" s="2"/>
      <c r="N85" s="7">
        <f t="shared" si="67"/>
        <v>0</v>
      </c>
      <c r="O85" s="11"/>
      <c r="P85" s="6">
        <v>19.73</v>
      </c>
      <c r="Q85" s="2"/>
      <c r="R85" s="7">
        <f t="shared" si="68"/>
        <v>0</v>
      </c>
      <c r="S85" s="2"/>
      <c r="T85" s="6"/>
      <c r="U85" s="2"/>
      <c r="V85" s="7">
        <f t="shared" si="69"/>
        <v>0</v>
      </c>
      <c r="W85" s="2"/>
      <c r="X85" s="6">
        <f t="shared" si="70"/>
        <v>19.73</v>
      </c>
      <c r="Y85" s="2"/>
      <c r="Z85" s="7">
        <f t="shared" si="71"/>
        <v>0</v>
      </c>
    </row>
    <row r="86" spans="1:26" s="24" customFormat="1" hidden="1" outlineLevel="2" x14ac:dyDescent="0.25">
      <c r="A86" s="27"/>
      <c r="B86" s="11" t="str">
        <f>CONCATENATE("          ", "6247", " - ", "STORE SUPPLIES")</f>
        <v xml:space="preserve">          6247 - STORE SUPPLIES</v>
      </c>
      <c r="C86" s="11"/>
      <c r="D86" s="6">
        <v>-8252.23</v>
      </c>
      <c r="E86" s="2"/>
      <c r="F86" s="7">
        <f t="shared" si="64"/>
        <v>0</v>
      </c>
      <c r="G86" s="2"/>
      <c r="H86" s="6">
        <v>3250</v>
      </c>
      <c r="I86" s="2"/>
      <c r="J86" s="7">
        <f t="shared" si="65"/>
        <v>0</v>
      </c>
      <c r="K86" s="2"/>
      <c r="L86" s="6">
        <f t="shared" si="66"/>
        <v>-11502.23</v>
      </c>
      <c r="M86" s="2"/>
      <c r="N86" s="7">
        <f t="shared" si="67"/>
        <v>-3.5391476923076923</v>
      </c>
      <c r="O86" s="11"/>
      <c r="P86" s="6">
        <v>-8350.09</v>
      </c>
      <c r="Q86" s="2"/>
      <c r="R86" s="7">
        <f t="shared" si="68"/>
        <v>0</v>
      </c>
      <c r="S86" s="2"/>
      <c r="T86" s="6">
        <v>6600</v>
      </c>
      <c r="U86" s="2"/>
      <c r="V86" s="7">
        <f t="shared" si="69"/>
        <v>0</v>
      </c>
      <c r="W86" s="2"/>
      <c r="X86" s="6">
        <f t="shared" si="70"/>
        <v>-14950.09</v>
      </c>
      <c r="Y86" s="2"/>
      <c r="Z86" s="7">
        <f t="shared" si="71"/>
        <v>-2.2651651515151516</v>
      </c>
    </row>
    <row r="87" spans="1:26" s="24" customFormat="1" hidden="1" outlineLevel="2" x14ac:dyDescent="0.25">
      <c r="A87" s="27"/>
      <c r="B87" s="11" t="str">
        <f>CONCATENATE("          ", "6248", " - ", "UNIFORMS")</f>
        <v xml:space="preserve">          6248 - UNIFORMS</v>
      </c>
      <c r="C87" s="11"/>
      <c r="D87" s="6"/>
      <c r="E87" s="2"/>
      <c r="F87" s="7">
        <f t="shared" si="64"/>
        <v>0</v>
      </c>
      <c r="G87" s="2"/>
      <c r="H87" s="6">
        <v>1000</v>
      </c>
      <c r="I87" s="2"/>
      <c r="J87" s="7">
        <f t="shared" si="65"/>
        <v>0</v>
      </c>
      <c r="K87" s="2"/>
      <c r="L87" s="6">
        <f t="shared" si="66"/>
        <v>-1000</v>
      </c>
      <c r="M87" s="2"/>
      <c r="N87" s="7">
        <f t="shared" si="67"/>
        <v>-1</v>
      </c>
      <c r="O87" s="11"/>
      <c r="P87" s="6"/>
      <c r="Q87" s="2"/>
      <c r="R87" s="7">
        <f t="shared" si="68"/>
        <v>0</v>
      </c>
      <c r="S87" s="2"/>
      <c r="T87" s="6">
        <v>2000</v>
      </c>
      <c r="U87" s="2"/>
      <c r="V87" s="7">
        <f t="shared" si="69"/>
        <v>0</v>
      </c>
      <c r="W87" s="2"/>
      <c r="X87" s="6">
        <f t="shared" si="70"/>
        <v>-2000</v>
      </c>
      <c r="Y87" s="2"/>
      <c r="Z87" s="7">
        <f t="shared" si="71"/>
        <v>-1</v>
      </c>
    </row>
    <row r="88" spans="1:26" s="26" customFormat="1" outlineLevel="1" collapsed="1" x14ac:dyDescent="0.25">
      <c r="A88" s="25"/>
      <c r="B88" s="13" t="str">
        <f>CONCATENATE("     ","Telephone/Data Lines                              ")</f>
        <v xml:space="preserve">     Telephone/Data Lines                              </v>
      </c>
      <c r="C88" s="13"/>
      <c r="D88" s="1">
        <f>SUM(OSRRefD22_19x_0)</f>
        <v>507.66</v>
      </c>
      <c r="E88" s="1"/>
      <c r="F88" s="5">
        <f t="shared" ref="F88:F94" si="72">IF(D$12=0,0,D88/D$12)</f>
        <v>0</v>
      </c>
      <c r="G88" s="1"/>
      <c r="H88" s="1">
        <f>SUM(OSRRefH22_19x_0)</f>
        <v>500</v>
      </c>
      <c r="I88" s="1"/>
      <c r="J88" s="5">
        <f t="shared" ref="J88:J94" si="73">IF(H$12=0,0,H88/H$12)</f>
        <v>0</v>
      </c>
      <c r="K88" s="1"/>
      <c r="L88" s="1">
        <f t="shared" ref="L88:L94" si="74">+D88-H88</f>
        <v>7.660000000000025</v>
      </c>
      <c r="M88" s="1"/>
      <c r="N88" s="5">
        <f t="shared" ref="N88:N94" si="75">IF(H88=0,0,L88/H88)</f>
        <v>1.5320000000000051E-2</v>
      </c>
      <c r="O88" s="13"/>
      <c r="P88" s="1">
        <f>SUM(OSRRefP22_19x_0)</f>
        <v>905.02</v>
      </c>
      <c r="Q88" s="1"/>
      <c r="R88" s="5">
        <f t="shared" ref="R88:R94" si="76">IF(P$12=0,0,P88/P$12)</f>
        <v>0</v>
      </c>
      <c r="S88" s="1"/>
      <c r="T88" s="1">
        <f>SUM(OSRRefT22_19x_0)</f>
        <v>1000</v>
      </c>
      <c r="U88" s="1"/>
      <c r="V88" s="5">
        <f t="shared" ref="V88:V94" si="77">IF(T$12=0,0,T88/T$12)</f>
        <v>0</v>
      </c>
      <c r="W88" s="1"/>
      <c r="X88" s="1">
        <f t="shared" ref="X88:X94" si="78">+P88-T88</f>
        <v>-94.980000000000018</v>
      </c>
      <c r="Y88" s="1"/>
      <c r="Z88" s="5">
        <f t="shared" ref="Z88:Z94" si="79">IF(T88=0,0,X88/T88)</f>
        <v>-9.4980000000000023E-2</v>
      </c>
    </row>
    <row r="89" spans="1:26" s="24" customFormat="1" hidden="1" outlineLevel="2" x14ac:dyDescent="0.25">
      <c r="A89" s="27"/>
      <c r="B89" s="11" t="str">
        <f>CONCATENATE("          ", "6309", " - ", "TELEPHONE")</f>
        <v xml:space="preserve">          6309 - TELEPHONE</v>
      </c>
      <c r="C89" s="11"/>
      <c r="D89" s="6">
        <v>507.66</v>
      </c>
      <c r="E89" s="2"/>
      <c r="F89" s="7">
        <f t="shared" si="72"/>
        <v>0</v>
      </c>
      <c r="G89" s="2"/>
      <c r="H89" s="6">
        <v>500</v>
      </c>
      <c r="I89" s="2"/>
      <c r="J89" s="7">
        <f t="shared" si="73"/>
        <v>0</v>
      </c>
      <c r="K89" s="2"/>
      <c r="L89" s="6">
        <f t="shared" si="74"/>
        <v>7.660000000000025</v>
      </c>
      <c r="M89" s="2"/>
      <c r="N89" s="7">
        <f t="shared" si="75"/>
        <v>1.5320000000000051E-2</v>
      </c>
      <c r="O89" s="11"/>
      <c r="P89" s="6">
        <v>905.02</v>
      </c>
      <c r="Q89" s="2"/>
      <c r="R89" s="7">
        <f t="shared" si="76"/>
        <v>0</v>
      </c>
      <c r="S89" s="2"/>
      <c r="T89" s="6">
        <v>1000</v>
      </c>
      <c r="U89" s="2"/>
      <c r="V89" s="7">
        <f t="shared" si="77"/>
        <v>0</v>
      </c>
      <c r="W89" s="2"/>
      <c r="X89" s="6">
        <f t="shared" si="78"/>
        <v>-94.980000000000018</v>
      </c>
      <c r="Y89" s="2"/>
      <c r="Z89" s="7">
        <f t="shared" si="79"/>
        <v>-9.4980000000000023E-2</v>
      </c>
    </row>
    <row r="90" spans="1:26" s="26" customFormat="1" outlineLevel="1" collapsed="1" x14ac:dyDescent="0.25">
      <c r="A90" s="25"/>
      <c r="B90" s="13" t="str">
        <f>CONCATENATE("     ","Training                                          ")</f>
        <v xml:space="preserve">     Training                                          </v>
      </c>
      <c r="C90" s="13"/>
      <c r="D90" s="1">
        <f>SUM(OSRRefD22_20x_0)</f>
        <v>6500</v>
      </c>
      <c r="E90" s="1"/>
      <c r="F90" s="5">
        <f t="shared" si="72"/>
        <v>0</v>
      </c>
      <c r="G90" s="1"/>
      <c r="H90" s="1">
        <f>SUM(OSRRefH22_20x_0)</f>
        <v>1125</v>
      </c>
      <c r="I90" s="1"/>
      <c r="J90" s="5">
        <f t="shared" si="73"/>
        <v>0</v>
      </c>
      <c r="K90" s="1"/>
      <c r="L90" s="1">
        <f t="shared" si="74"/>
        <v>5375</v>
      </c>
      <c r="M90" s="1"/>
      <c r="N90" s="5">
        <f t="shared" si="75"/>
        <v>4.7777777777777777</v>
      </c>
      <c r="O90" s="13"/>
      <c r="P90" s="1">
        <f>SUM(OSRRefP22_20x_0)</f>
        <v>6671.56</v>
      </c>
      <c r="Q90" s="1"/>
      <c r="R90" s="5">
        <f t="shared" si="76"/>
        <v>0</v>
      </c>
      <c r="S90" s="1"/>
      <c r="T90" s="1">
        <f>SUM(OSRRefT22_20x_0)</f>
        <v>2250</v>
      </c>
      <c r="U90" s="1"/>
      <c r="V90" s="5">
        <f t="shared" si="77"/>
        <v>0</v>
      </c>
      <c r="W90" s="1"/>
      <c r="X90" s="1">
        <f t="shared" si="78"/>
        <v>4421.5600000000004</v>
      </c>
      <c r="Y90" s="1"/>
      <c r="Z90" s="5">
        <f t="shared" si="79"/>
        <v>1.9651377777777779</v>
      </c>
    </row>
    <row r="91" spans="1:26" s="24" customFormat="1" hidden="1" outlineLevel="2" x14ac:dyDescent="0.25">
      <c r="A91" s="27"/>
      <c r="B91" s="11" t="str">
        <f>CONCATENATE("          ", "6376", " - ", "TRAINING")</f>
        <v xml:space="preserve">          6376 - TRAINING</v>
      </c>
      <c r="C91" s="11"/>
      <c r="D91" s="6">
        <v>6500</v>
      </c>
      <c r="E91" s="2"/>
      <c r="F91" s="7">
        <f t="shared" si="72"/>
        <v>0</v>
      </c>
      <c r="G91" s="2"/>
      <c r="H91" s="6">
        <v>1125</v>
      </c>
      <c r="I91" s="2"/>
      <c r="J91" s="7">
        <f t="shared" si="73"/>
        <v>0</v>
      </c>
      <c r="K91" s="2"/>
      <c r="L91" s="6">
        <f t="shared" si="74"/>
        <v>5375</v>
      </c>
      <c r="M91" s="2"/>
      <c r="N91" s="7">
        <f t="shared" si="75"/>
        <v>4.7777777777777777</v>
      </c>
      <c r="O91" s="11"/>
      <c r="P91" s="6">
        <v>6671.56</v>
      </c>
      <c r="Q91" s="2"/>
      <c r="R91" s="7">
        <f t="shared" si="76"/>
        <v>0</v>
      </c>
      <c r="S91" s="2"/>
      <c r="T91" s="6">
        <v>2250</v>
      </c>
      <c r="U91" s="2"/>
      <c r="V91" s="7">
        <f t="shared" si="77"/>
        <v>0</v>
      </c>
      <c r="W91" s="2"/>
      <c r="X91" s="6">
        <f t="shared" si="78"/>
        <v>4421.5600000000004</v>
      </c>
      <c r="Y91" s="2"/>
      <c r="Z91" s="7">
        <f t="shared" si="79"/>
        <v>1.9651377777777779</v>
      </c>
    </row>
    <row r="92" spans="1:26" s="26" customFormat="1" outlineLevel="1" collapsed="1" x14ac:dyDescent="0.25">
      <c r="A92" s="25"/>
      <c r="B92" s="13" t="str">
        <f>CONCATENATE("     ","Travel                                            ")</f>
        <v xml:space="preserve">     Travel                                            </v>
      </c>
      <c r="C92" s="13"/>
      <c r="D92" s="1">
        <f>SUM(OSRRefD22_21x_0)</f>
        <v>115.67999999999999</v>
      </c>
      <c r="E92" s="1"/>
      <c r="F92" s="5">
        <f t="shared" si="72"/>
        <v>0</v>
      </c>
      <c r="G92" s="1"/>
      <c r="H92" s="1">
        <f>SUM(OSRRefH22_21x_0)</f>
        <v>0</v>
      </c>
      <c r="I92" s="1"/>
      <c r="J92" s="5">
        <f t="shared" si="73"/>
        <v>0</v>
      </c>
      <c r="K92" s="1"/>
      <c r="L92" s="1">
        <f t="shared" si="74"/>
        <v>115.67999999999999</v>
      </c>
      <c r="M92" s="1"/>
      <c r="N92" s="5">
        <f t="shared" si="75"/>
        <v>0</v>
      </c>
      <c r="O92" s="13"/>
      <c r="P92" s="1">
        <f>SUM(OSRRefP22_21x_0)</f>
        <v>337.36</v>
      </c>
      <c r="Q92" s="1"/>
      <c r="R92" s="5">
        <f t="shared" si="76"/>
        <v>0</v>
      </c>
      <c r="S92" s="1"/>
      <c r="T92" s="1">
        <f>SUM(OSRRefT22_21x_0)</f>
        <v>0</v>
      </c>
      <c r="U92" s="1"/>
      <c r="V92" s="5">
        <f t="shared" si="77"/>
        <v>0</v>
      </c>
      <c r="W92" s="1"/>
      <c r="X92" s="1">
        <f t="shared" si="78"/>
        <v>337.36</v>
      </c>
      <c r="Y92" s="1"/>
      <c r="Z92" s="5">
        <f t="shared" si="79"/>
        <v>0</v>
      </c>
    </row>
    <row r="93" spans="1:26" s="24" customFormat="1" hidden="1" outlineLevel="2" x14ac:dyDescent="0.25">
      <c r="A93" s="27"/>
      <c r="B93" s="11" t="str">
        <f>CONCATENATE("          ", "6292", " - ", "TRAVEL/CONFERENCE")</f>
        <v xml:space="preserve">          6292 - TRAVEL/CONFERENCE</v>
      </c>
      <c r="C93" s="11"/>
      <c r="D93" s="6">
        <v>100.16</v>
      </c>
      <c r="E93" s="2"/>
      <c r="F93" s="7">
        <f t="shared" si="72"/>
        <v>0</v>
      </c>
      <c r="G93" s="2"/>
      <c r="H93" s="6"/>
      <c r="I93" s="2"/>
      <c r="J93" s="7">
        <f t="shared" si="73"/>
        <v>0</v>
      </c>
      <c r="K93" s="2"/>
      <c r="L93" s="6">
        <f t="shared" si="74"/>
        <v>100.16</v>
      </c>
      <c r="M93" s="2"/>
      <c r="N93" s="7">
        <f t="shared" si="75"/>
        <v>0</v>
      </c>
      <c r="O93" s="11"/>
      <c r="P93" s="6">
        <v>250.64</v>
      </c>
      <c r="Q93" s="2"/>
      <c r="R93" s="7">
        <f t="shared" si="76"/>
        <v>0</v>
      </c>
      <c r="S93" s="2"/>
      <c r="T93" s="6"/>
      <c r="U93" s="2"/>
      <c r="V93" s="7">
        <f t="shared" si="77"/>
        <v>0</v>
      </c>
      <c r="W93" s="2"/>
      <c r="X93" s="6">
        <f t="shared" si="78"/>
        <v>250.64</v>
      </c>
      <c r="Y93" s="2"/>
      <c r="Z93" s="7">
        <f t="shared" si="79"/>
        <v>0</v>
      </c>
    </row>
    <row r="94" spans="1:26" s="24" customFormat="1" hidden="1" outlineLevel="2" x14ac:dyDescent="0.25">
      <c r="A94" s="27"/>
      <c r="B94" s="11" t="str">
        <f>CONCATENATE("          ", "6298", " - ", "VEHICLE MILEAGE")</f>
        <v xml:space="preserve">          6298 - VEHICLE MILEAGE</v>
      </c>
      <c r="C94" s="11"/>
      <c r="D94" s="6">
        <v>15.52</v>
      </c>
      <c r="E94" s="2"/>
      <c r="F94" s="7">
        <f t="shared" si="72"/>
        <v>0</v>
      </c>
      <c r="G94" s="2"/>
      <c r="H94" s="6"/>
      <c r="I94" s="2"/>
      <c r="J94" s="7">
        <f t="shared" si="73"/>
        <v>0</v>
      </c>
      <c r="K94" s="2"/>
      <c r="L94" s="6">
        <f t="shared" si="74"/>
        <v>15.52</v>
      </c>
      <c r="M94" s="2"/>
      <c r="N94" s="7">
        <f t="shared" si="75"/>
        <v>0</v>
      </c>
      <c r="O94" s="11"/>
      <c r="P94" s="6">
        <v>86.72</v>
      </c>
      <c r="Q94" s="2"/>
      <c r="R94" s="7">
        <f t="shared" si="76"/>
        <v>0</v>
      </c>
      <c r="S94" s="2"/>
      <c r="T94" s="6"/>
      <c r="U94" s="2"/>
      <c r="V94" s="7">
        <f t="shared" si="77"/>
        <v>0</v>
      </c>
      <c r="W94" s="2"/>
      <c r="X94" s="6">
        <f t="shared" si="78"/>
        <v>86.72</v>
      </c>
      <c r="Y94" s="2"/>
      <c r="Z94" s="7">
        <f t="shared" si="79"/>
        <v>0</v>
      </c>
    </row>
    <row r="95" spans="1:26" s="26" customFormat="1" outlineLevel="1" collapsed="1" x14ac:dyDescent="0.25">
      <c r="A95" s="25"/>
      <c r="B95" s="13" t="str">
        <f>CONCATENATE("     ","Utilities                                         ")</f>
        <v xml:space="preserve">     Utilities                                         </v>
      </c>
      <c r="C95" s="13"/>
      <c r="D95" s="1">
        <f>SUM(OSRRefD22_22x_0)</f>
        <v>0</v>
      </c>
      <c r="E95" s="1"/>
      <c r="F95" s="5">
        <f t="shared" ref="F95:F96" si="80">IF(D$12=0,0,D95/D$12)</f>
        <v>0</v>
      </c>
      <c r="G95" s="1"/>
      <c r="H95" s="1">
        <f>SUM(OSRRefH22_22x_0)</f>
        <v>5000</v>
      </c>
      <c r="I95" s="1"/>
      <c r="J95" s="5">
        <f t="shared" ref="J95:J96" si="81">IF(H$12=0,0,H95/H$12)</f>
        <v>0</v>
      </c>
      <c r="K95" s="1"/>
      <c r="L95" s="1">
        <f t="shared" ref="L95:L96" si="82">+D95-H95</f>
        <v>-5000</v>
      </c>
      <c r="M95" s="1"/>
      <c r="N95" s="5">
        <f t="shared" ref="N95:N96" si="83">IF(H95=0,0,L95/H95)</f>
        <v>-1</v>
      </c>
      <c r="O95" s="13"/>
      <c r="P95" s="1">
        <f>SUM(OSRRefP22_22x_0)</f>
        <v>5593</v>
      </c>
      <c r="Q95" s="1"/>
      <c r="R95" s="5">
        <f t="shared" ref="R95:R96" si="84">IF(P$12=0,0,P95/P$12)</f>
        <v>0</v>
      </c>
      <c r="S95" s="1"/>
      <c r="T95" s="1">
        <f>SUM(OSRRefT22_22x_0)</f>
        <v>10000</v>
      </c>
      <c r="U95" s="1"/>
      <c r="V95" s="5">
        <f t="shared" ref="V95:V96" si="85">IF(T$12=0,0,T95/T$12)</f>
        <v>0</v>
      </c>
      <c r="W95" s="1"/>
      <c r="X95" s="1">
        <f t="shared" ref="X95:X96" si="86">+P95-T95</f>
        <v>-4407</v>
      </c>
      <c r="Y95" s="1"/>
      <c r="Z95" s="5">
        <f t="shared" ref="Z95:Z96" si="87">IF(T95=0,0,X95/T95)</f>
        <v>-0.44069999999999998</v>
      </c>
    </row>
    <row r="96" spans="1:26" s="24" customFormat="1" hidden="1" outlineLevel="2" x14ac:dyDescent="0.25">
      <c r="A96" s="27"/>
      <c r="B96" s="11" t="str">
        <f>CONCATENATE("          ", "6274", " - ", "UTILITIES")</f>
        <v xml:space="preserve">          6274 - UTILITIES</v>
      </c>
      <c r="C96" s="11"/>
      <c r="D96" s="6"/>
      <c r="E96" s="2"/>
      <c r="F96" s="7">
        <f t="shared" si="80"/>
        <v>0</v>
      </c>
      <c r="G96" s="2"/>
      <c r="H96" s="6">
        <v>5000</v>
      </c>
      <c r="I96" s="2"/>
      <c r="J96" s="7">
        <f t="shared" si="81"/>
        <v>0</v>
      </c>
      <c r="K96" s="2"/>
      <c r="L96" s="6">
        <f t="shared" si="82"/>
        <v>-5000</v>
      </c>
      <c r="M96" s="2"/>
      <c r="N96" s="7">
        <f t="shared" si="83"/>
        <v>-1</v>
      </c>
      <c r="O96" s="11"/>
      <c r="P96" s="6">
        <v>5593</v>
      </c>
      <c r="Q96" s="2"/>
      <c r="R96" s="7">
        <f t="shared" si="84"/>
        <v>0</v>
      </c>
      <c r="S96" s="2"/>
      <c r="T96" s="6">
        <v>10000</v>
      </c>
      <c r="U96" s="2"/>
      <c r="V96" s="7">
        <f t="shared" si="85"/>
        <v>0</v>
      </c>
      <c r="W96" s="2"/>
      <c r="X96" s="6">
        <f t="shared" si="86"/>
        <v>-4407</v>
      </c>
      <c r="Y96" s="2"/>
      <c r="Z96" s="7">
        <f t="shared" si="87"/>
        <v>-0.44069999999999998</v>
      </c>
    </row>
    <row r="97" spans="1:26" s="63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8" t="s">
        <v>0</v>
      </c>
      <c r="C98" s="10"/>
      <c r="D98" s="4">
        <f>SUM(OSRRefD25x_0)</f>
        <v>7183.0899999999992</v>
      </c>
      <c r="E98" s="4"/>
      <c r="F98" s="12">
        <f t="shared" ref="F98:F101" si="88">IF(D$12=0,0,D98/D$12)</f>
        <v>0</v>
      </c>
      <c r="G98" s="4"/>
      <c r="H98" s="4">
        <f>SUM(OSRRefH25x_0)</f>
        <v>24000</v>
      </c>
      <c r="I98" s="4"/>
      <c r="J98" s="12">
        <f t="shared" ref="J98:J101" si="89">IF(H$12=0,0,H98/H$12)</f>
        <v>0</v>
      </c>
      <c r="K98" s="4"/>
      <c r="L98" s="4">
        <f t="shared" ref="L98:L101" si="90">+D98-H98</f>
        <v>-16816.91</v>
      </c>
      <c r="M98" s="4"/>
      <c r="N98" s="12">
        <f t="shared" ref="N98:N101" si="91">IF(H98=0,0,L98/H98)</f>
        <v>-0.7007045833333333</v>
      </c>
      <c r="O98" s="10"/>
      <c r="P98" s="4">
        <f>SUM(OSRRefP25x_0)</f>
        <v>54649.919999999998</v>
      </c>
      <c r="Q98" s="4"/>
      <c r="R98" s="12">
        <f t="shared" ref="R98:R101" si="92">IF(P$12=0,0,P98/P$12)</f>
        <v>0</v>
      </c>
      <c r="S98" s="4"/>
      <c r="T98" s="4">
        <f>SUM(OSRRefT25x_0)</f>
        <v>48000</v>
      </c>
      <c r="U98" s="4"/>
      <c r="V98" s="12">
        <f t="shared" ref="V98:V101" si="93">IF(T$12=0,0,T98/T$12)</f>
        <v>0</v>
      </c>
      <c r="W98" s="4"/>
      <c r="X98" s="4">
        <f t="shared" ref="X98:X101" si="94">+P98-T98</f>
        <v>6649.9199999999983</v>
      </c>
      <c r="Y98" s="4"/>
      <c r="Z98" s="12">
        <f t="shared" ref="Z98:Z101" si="95">IF(T98=0,0,X98/T98)</f>
        <v>0.13853999999999997</v>
      </c>
    </row>
    <row r="99" spans="1:26" s="24" customFormat="1" hidden="1" outlineLevel="1" x14ac:dyDescent="0.25">
      <c r="A99" s="46"/>
      <c r="B99" s="11" t="str">
        <f>CONCATENATE("          ", "9150", " - ", "MISC. INCOME")</f>
        <v xml:space="preserve">          9150 - MISC. INCOME</v>
      </c>
      <c r="C99" s="11"/>
      <c r="D99" s="2">
        <f>--7353.11</f>
        <v>7353.11</v>
      </c>
      <c r="E99" s="2"/>
      <c r="F99" s="21">
        <f t="shared" si="88"/>
        <v>0</v>
      </c>
      <c r="G99" s="2"/>
      <c r="H99" s="2">
        <v>21500</v>
      </c>
      <c r="I99" s="2"/>
      <c r="J99" s="21">
        <f t="shared" si="89"/>
        <v>0</v>
      </c>
      <c r="K99" s="2"/>
      <c r="L99" s="2">
        <f t="shared" si="90"/>
        <v>-14146.89</v>
      </c>
      <c r="M99" s="2"/>
      <c r="N99" s="21">
        <f t="shared" si="91"/>
        <v>-0.65799488372093018</v>
      </c>
      <c r="O99" s="11"/>
      <c r="P99" s="2">
        <f>--54914.43</f>
        <v>54914.43</v>
      </c>
      <c r="Q99" s="2"/>
      <c r="R99" s="21">
        <f t="shared" si="92"/>
        <v>0</v>
      </c>
      <c r="S99" s="2"/>
      <c r="T99" s="2">
        <v>43000</v>
      </c>
      <c r="U99" s="2"/>
      <c r="V99" s="21">
        <f t="shared" si="93"/>
        <v>0</v>
      </c>
      <c r="W99" s="2"/>
      <c r="X99" s="2">
        <f t="shared" si="94"/>
        <v>11914.43</v>
      </c>
      <c r="Y99" s="2"/>
      <c r="Z99" s="21">
        <f t="shared" si="95"/>
        <v>0.27707976744186047</v>
      </c>
    </row>
    <row r="100" spans="1:26" s="24" customFormat="1" hidden="1" outlineLevel="1" x14ac:dyDescent="0.25">
      <c r="A100" s="46"/>
      <c r="B100" s="11" t="str">
        <f>CONCATENATE("          ", "9151", " - ", "MISC. INCOME")</f>
        <v xml:space="preserve">          9151 - MISC. INCOME</v>
      </c>
      <c r="C100" s="11"/>
      <c r="D100" s="2">
        <f>-170.02</f>
        <v>-170.02</v>
      </c>
      <c r="E100" s="2"/>
      <c r="F100" s="21">
        <f t="shared" si="88"/>
        <v>0</v>
      </c>
      <c r="G100" s="2"/>
      <c r="H100" s="2">
        <v>500</v>
      </c>
      <c r="I100" s="2"/>
      <c r="J100" s="21">
        <f t="shared" si="89"/>
        <v>0</v>
      </c>
      <c r="K100" s="2"/>
      <c r="L100" s="2">
        <f t="shared" si="90"/>
        <v>-670.02</v>
      </c>
      <c r="M100" s="2"/>
      <c r="N100" s="21">
        <f t="shared" si="91"/>
        <v>-1.3400399999999999</v>
      </c>
      <c r="O100" s="11"/>
      <c r="P100" s="2">
        <f>-264.51</f>
        <v>-264.51</v>
      </c>
      <c r="Q100" s="2"/>
      <c r="R100" s="21">
        <f t="shared" si="92"/>
        <v>0</v>
      </c>
      <c r="S100" s="2"/>
      <c r="T100" s="2">
        <v>1000</v>
      </c>
      <c r="U100" s="2"/>
      <c r="V100" s="21">
        <f t="shared" si="93"/>
        <v>0</v>
      </c>
      <c r="W100" s="2"/>
      <c r="X100" s="2">
        <f t="shared" si="94"/>
        <v>-1264.51</v>
      </c>
      <c r="Y100" s="2"/>
      <c r="Z100" s="21">
        <f t="shared" si="95"/>
        <v>-1.26451</v>
      </c>
    </row>
    <row r="101" spans="1:26" s="24" customFormat="1" hidden="1" outlineLevel="1" x14ac:dyDescent="0.25">
      <c r="A101" s="46"/>
      <c r="B101" s="11" t="str">
        <f>CONCATENATE("          ", "9160", " - ", "MISC. INCOME")</f>
        <v xml:space="preserve">          9160 - MISC. INCOME</v>
      </c>
      <c r="C101" s="11"/>
      <c r="D101" s="2">
        <f>0</f>
        <v>0</v>
      </c>
      <c r="E101" s="2"/>
      <c r="F101" s="21">
        <f t="shared" si="88"/>
        <v>0</v>
      </c>
      <c r="G101" s="2"/>
      <c r="H101" s="2">
        <v>2000</v>
      </c>
      <c r="I101" s="2"/>
      <c r="J101" s="21">
        <f t="shared" si="89"/>
        <v>0</v>
      </c>
      <c r="K101" s="2"/>
      <c r="L101" s="2">
        <f t="shared" si="90"/>
        <v>-2000</v>
      </c>
      <c r="M101" s="2"/>
      <c r="N101" s="21">
        <f t="shared" si="91"/>
        <v>-1</v>
      </c>
      <c r="O101" s="11"/>
      <c r="P101" s="2">
        <f>0</f>
        <v>0</v>
      </c>
      <c r="Q101" s="2"/>
      <c r="R101" s="21">
        <f t="shared" si="92"/>
        <v>0</v>
      </c>
      <c r="S101" s="2"/>
      <c r="T101" s="2">
        <v>4000</v>
      </c>
      <c r="U101" s="2"/>
      <c r="V101" s="21">
        <f t="shared" si="93"/>
        <v>0</v>
      </c>
      <c r="W101" s="2"/>
      <c r="X101" s="2">
        <f t="shared" si="94"/>
        <v>-4000</v>
      </c>
      <c r="Y101" s="2"/>
      <c r="Z101" s="21">
        <f t="shared" si="95"/>
        <v>-1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2">
        <f>+D16-D18+D98</f>
        <v>-153901.43999999994</v>
      </c>
      <c r="E103" s="14"/>
      <c r="F103" s="20">
        <f>IF(D$12=0,0,D103/D$12)</f>
        <v>0</v>
      </c>
      <c r="G103" s="14"/>
      <c r="H103" s="22">
        <f>+H16-H18+H98</f>
        <v>-126361.49538311691</v>
      </c>
      <c r="I103" s="14"/>
      <c r="J103" s="20">
        <f>IF(H$12=0,0,H103/H$12)</f>
        <v>0</v>
      </c>
      <c r="K103" s="15"/>
      <c r="L103" s="22">
        <f>+D103-H103</f>
        <v>-27539.944616883033</v>
      </c>
      <c r="M103" s="15"/>
      <c r="N103" s="20">
        <f>IF(H103=0,0,L103/H103)</f>
        <v>0.21794570041597205</v>
      </c>
      <c r="O103" s="28"/>
      <c r="P103" s="22">
        <f>+P16-P18+P98</f>
        <v>-230877.67000000004</v>
      </c>
      <c r="Q103" s="14"/>
      <c r="R103" s="20">
        <f>IF(P$12=0,0,P103/P$12)</f>
        <v>0</v>
      </c>
      <c r="S103" s="14"/>
      <c r="T103" s="22">
        <f>+T16-T18+T98</f>
        <v>-272680.79833857558</v>
      </c>
      <c r="U103" s="14"/>
      <c r="V103" s="20">
        <f>IF(T$12=0,0,T103/T$12)</f>
        <v>0</v>
      </c>
      <c r="W103" s="15"/>
      <c r="X103" s="22">
        <f>+P103-T103</f>
        <v>41803.128338575538</v>
      </c>
      <c r="Y103" s="15"/>
      <c r="Z103" s="20">
        <f>IF(T103=0,0,X103/T103)</f>
        <v>-0.1533042612214684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/>
      <c r="E105" s="4"/>
      <c r="F105" s="12">
        <f>IF(D$12=0,0,D105/D$12)</f>
        <v>0</v>
      </c>
      <c r="G105" s="4"/>
      <c r="H105" s="4"/>
      <c r="I105" s="4"/>
      <c r="J105" s="12">
        <f>IF(H$12=0,0,H105/H$12)</f>
        <v>0</v>
      </c>
      <c r="K105" s="4"/>
      <c r="L105" s="4">
        <f>+D105-H105</f>
        <v>0</v>
      </c>
      <c r="M105" s="4"/>
      <c r="N105" s="12">
        <f>IF(H105=0,0,L105/H105)</f>
        <v>0</v>
      </c>
      <c r="O105" s="10"/>
      <c r="P105" s="4"/>
      <c r="Q105" s="4"/>
      <c r="R105" s="12">
        <f>IF(P$12=0,0,P105/P$12)</f>
        <v>0</v>
      </c>
      <c r="S105" s="4"/>
      <c r="T105" s="4"/>
      <c r="U105" s="4"/>
      <c r="V105" s="12">
        <f>IF(T$12=0,0,T105/T$12)</f>
        <v>0</v>
      </c>
      <c r="W105" s="4"/>
      <c r="X105" s="4">
        <f>+P105-T105</f>
        <v>0</v>
      </c>
      <c r="Y105" s="4"/>
      <c r="Z105" s="12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1">
        <f>+D103-D105</f>
        <v>-153901.43999999994</v>
      </c>
      <c r="E107" s="14"/>
      <c r="F107" s="32">
        <f>IF(D$12=0,0,D107/D$12)</f>
        <v>0</v>
      </c>
      <c r="G107" s="14"/>
      <c r="H107" s="31">
        <f>+H103-H105</f>
        <v>-126361.49538311691</v>
      </c>
      <c r="I107" s="14"/>
      <c r="J107" s="32">
        <f>IF(H$12=0,0,H107/H$12)</f>
        <v>0</v>
      </c>
      <c r="K107" s="15"/>
      <c r="L107" s="31">
        <f>D107-H107</f>
        <v>-27539.944616883033</v>
      </c>
      <c r="M107" s="15"/>
      <c r="N107" s="32">
        <f>IF(H107=0,0,L107/H107)</f>
        <v>0.21794570041597205</v>
      </c>
      <c r="O107" s="28"/>
      <c r="P107" s="31">
        <f>+P103-P105</f>
        <v>-230877.67000000004</v>
      </c>
      <c r="Q107" s="14"/>
      <c r="R107" s="32">
        <f>IF(P$12=0,0,P107/P$12)</f>
        <v>0</v>
      </c>
      <c r="S107" s="14"/>
      <c r="T107" s="31">
        <f>+T103-T105</f>
        <v>-272680.79833857558</v>
      </c>
      <c r="U107" s="14"/>
      <c r="V107" s="32">
        <f>IF(T$12=0,0,T107/T$12)</f>
        <v>0</v>
      </c>
      <c r="W107" s="15"/>
      <c r="X107" s="31">
        <f>P107-T107</f>
        <v>41803.128338575538</v>
      </c>
      <c r="Y107" s="15"/>
      <c r="Z107" s="32">
        <f>IF(T107=0,0,X107/T107)</f>
        <v>-0.1533042612214684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3">
        <f>SUM(D107:D109)</f>
        <v>-153901.43999999994</v>
      </c>
      <c r="E110" s="14"/>
      <c r="F110" s="35">
        <f>IF(D$12=0,0,D110/D$12)</f>
        <v>0</v>
      </c>
      <c r="G110" s="14"/>
      <c r="H110" s="33">
        <f>SUM(H107:H109)</f>
        <v>-126361.49538311691</v>
      </c>
      <c r="I110" s="14"/>
      <c r="J110" s="35">
        <f>IF(H$12=0,0,H110/H$12)</f>
        <v>0</v>
      </c>
      <c r="K110" s="15"/>
      <c r="L110" s="33">
        <f>+D110-H110</f>
        <v>-27539.944616883033</v>
      </c>
      <c r="M110" s="15"/>
      <c r="N110" s="35">
        <f>IF(H110=0,0,L110/H110)</f>
        <v>0.21794570041597205</v>
      </c>
      <c r="O110" s="28"/>
      <c r="P110" s="33">
        <f>SUM(P107:P109)</f>
        <v>-230877.67000000004</v>
      </c>
      <c r="Q110" s="14"/>
      <c r="R110" s="35">
        <f>IF(P$12=0,0,P110/P$12)</f>
        <v>0</v>
      </c>
      <c r="S110" s="14"/>
      <c r="T110" s="33">
        <f>SUM(T107:T109)</f>
        <v>-272680.79833857558</v>
      </c>
      <c r="U110" s="14"/>
      <c r="V110" s="35">
        <f>IF(T$12=0,0,T110/T$12)</f>
        <v>0</v>
      </c>
      <c r="W110" s="15"/>
      <c r="X110" s="33">
        <f>+P110-T110</f>
        <v>41803.128338575538</v>
      </c>
      <c r="Y110" s="15"/>
      <c r="Z110" s="35">
        <f>IF(T110=0,0,X110/T110)</f>
        <v>-0.1533042612214684</v>
      </c>
    </row>
    <row r="111" spans="1:26" ht="15.75" thickTop="1" x14ac:dyDescent="0.25">
      <c r="A111" s="9"/>
      <c r="C111" s="9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61">
        <v>43732.705860532405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62" t="s">
        <v>314</v>
      </c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A114" s="9"/>
      <c r="B114" s="58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25"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","306", " - ", "Warehouse")</f>
        <v>Department 306 - Warehouse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65464.189999999995</v>
      </c>
      <c r="E18" s="19"/>
      <c r="F18" s="34">
        <f t="shared" ref="F18:F28" si="0">IF(D$12=0,0,D18/D$12)</f>
        <v>0</v>
      </c>
      <c r="G18" s="19"/>
      <c r="H18" s="19">
        <f>SUM(OSRRefH22x_0)</f>
        <v>71267.55278263599</v>
      </c>
      <c r="I18" s="19"/>
      <c r="J18" s="34">
        <f t="shared" ref="J18:J28" si="1">IF(H$12=0,0,H18/H$12)</f>
        <v>0</v>
      </c>
      <c r="K18" s="4"/>
      <c r="L18" s="19">
        <f t="shared" ref="L18:L28" si="2">+D18-H18</f>
        <v>-5803.3627826359952</v>
      </c>
      <c r="M18" s="4"/>
      <c r="N18" s="34">
        <f t="shared" ref="N18:N28" si="3">IF(H18=0,0,L18/H18)</f>
        <v>-8.1430644887387771E-2</v>
      </c>
      <c r="O18" s="10"/>
      <c r="P18" s="19">
        <f>SUM(OSRRefP22x_0)</f>
        <v>111418.08</v>
      </c>
      <c r="Q18" s="19"/>
      <c r="R18" s="34">
        <f t="shared" ref="R18:R28" si="4">IF(P$12=0,0,P18/P$12)</f>
        <v>0</v>
      </c>
      <c r="S18" s="19"/>
      <c r="T18" s="19">
        <f>SUM(OSRRefT22x_0)</f>
        <v>119760.605154681</v>
      </c>
      <c r="U18" s="19"/>
      <c r="V18" s="34">
        <f t="shared" ref="V18:V28" si="5">IF(T$12=0,0,T18/T$12)</f>
        <v>0</v>
      </c>
      <c r="W18" s="4"/>
      <c r="X18" s="19">
        <f t="shared" ref="X18:X28" si="6">+P18-T18</f>
        <v>-8342.5251546810032</v>
      </c>
      <c r="Y18" s="4"/>
      <c r="Z18" s="34">
        <f t="shared" ref="Z18:Z28" si="7">IF(T18=0,0,X18/T18)</f>
        <v>-6.9660011686697165E-2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8032.53</v>
      </c>
      <c r="E19" s="1"/>
      <c r="F19" s="5">
        <f t="shared" si="0"/>
        <v>0</v>
      </c>
      <c r="G19" s="1"/>
      <c r="H19" s="1">
        <f>SUM(OSRRefH22_0x_0)</f>
        <v>6601.2776746360005</v>
      </c>
      <c r="I19" s="1"/>
      <c r="J19" s="5">
        <f t="shared" si="1"/>
        <v>0</v>
      </c>
      <c r="K19" s="1"/>
      <c r="L19" s="1">
        <f t="shared" si="2"/>
        <v>1431.2523253639993</v>
      </c>
      <c r="M19" s="1"/>
      <c r="N19" s="5">
        <f t="shared" si="3"/>
        <v>0.21681444046253057</v>
      </c>
      <c r="O19" s="13"/>
      <c r="P19" s="1">
        <f>SUM(OSRRefP22_0x_0)</f>
        <v>15694.820000000002</v>
      </c>
      <c r="Q19" s="1"/>
      <c r="R19" s="5">
        <f t="shared" si="4"/>
        <v>0</v>
      </c>
      <c r="S19" s="1"/>
      <c r="T19" s="1">
        <f>SUM(OSRRefT22_0x_0)</f>
        <v>13696.486161681001</v>
      </c>
      <c r="U19" s="1"/>
      <c r="V19" s="5">
        <f t="shared" si="5"/>
        <v>0</v>
      </c>
      <c r="W19" s="1"/>
      <c r="X19" s="1">
        <f t="shared" si="6"/>
        <v>1998.3338383190003</v>
      </c>
      <c r="Y19" s="1"/>
      <c r="Z19" s="5">
        <f t="shared" si="7"/>
        <v>0.14590120522370098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3423.12</v>
      </c>
      <c r="E20" s="2"/>
      <c r="F20" s="7">
        <f t="shared" si="0"/>
        <v>0</v>
      </c>
      <c r="G20" s="2"/>
      <c r="H20" s="6">
        <v>2357.4406199159998</v>
      </c>
      <c r="I20" s="2"/>
      <c r="J20" s="7">
        <f t="shared" si="1"/>
        <v>0</v>
      </c>
      <c r="K20" s="2"/>
      <c r="L20" s="6">
        <f t="shared" si="2"/>
        <v>1065.6793800840001</v>
      </c>
      <c r="M20" s="2"/>
      <c r="N20" s="7">
        <f t="shared" si="3"/>
        <v>0.45204929917682179</v>
      </c>
      <c r="O20" s="11"/>
      <c r="P20" s="6">
        <v>5774.24</v>
      </c>
      <c r="Q20" s="2"/>
      <c r="R20" s="7">
        <f t="shared" si="4"/>
        <v>0</v>
      </c>
      <c r="S20" s="2"/>
      <c r="T20" s="6">
        <v>5524.7912885610003</v>
      </c>
      <c r="U20" s="2"/>
      <c r="V20" s="7">
        <f t="shared" si="5"/>
        <v>0</v>
      </c>
      <c r="W20" s="2"/>
      <c r="X20" s="6">
        <f t="shared" si="6"/>
        <v>249.44871143899945</v>
      </c>
      <c r="Y20" s="2"/>
      <c r="Z20" s="7">
        <f t="shared" si="7"/>
        <v>4.5150793651785426E-2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906.1</v>
      </c>
      <c r="E21" s="2"/>
      <c r="F21" s="7">
        <f t="shared" si="0"/>
        <v>0</v>
      </c>
      <c r="G21" s="2"/>
      <c r="H21" s="6">
        <v>1211.6801068</v>
      </c>
      <c r="I21" s="2"/>
      <c r="J21" s="7">
        <f t="shared" si="1"/>
        <v>0</v>
      </c>
      <c r="K21" s="2"/>
      <c r="L21" s="6">
        <f t="shared" si="2"/>
        <v>-305.58010679999995</v>
      </c>
      <c r="M21" s="2"/>
      <c r="N21" s="7">
        <f t="shared" si="3"/>
        <v>-0.25219536500192707</v>
      </c>
      <c r="O21" s="11"/>
      <c r="P21" s="6">
        <v>1508.88</v>
      </c>
      <c r="Q21" s="2"/>
      <c r="R21" s="7">
        <f t="shared" si="4"/>
        <v>0</v>
      </c>
      <c r="S21" s="2"/>
      <c r="T21" s="6">
        <v>1998.0339902999999</v>
      </c>
      <c r="U21" s="2"/>
      <c r="V21" s="7">
        <f t="shared" si="5"/>
        <v>0</v>
      </c>
      <c r="W21" s="2"/>
      <c r="X21" s="6">
        <f t="shared" si="6"/>
        <v>-489.1539902999998</v>
      </c>
      <c r="Y21" s="2"/>
      <c r="Z21" s="7">
        <f t="shared" si="7"/>
        <v>-0.24481765208936937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1949.27</v>
      </c>
      <c r="E22" s="2"/>
      <c r="F22" s="7">
        <f t="shared" si="0"/>
        <v>0</v>
      </c>
      <c r="G22" s="2"/>
      <c r="H22" s="6">
        <v>663</v>
      </c>
      <c r="I22" s="2"/>
      <c r="J22" s="7">
        <f t="shared" si="1"/>
        <v>0</v>
      </c>
      <c r="K22" s="2"/>
      <c r="L22" s="6">
        <f t="shared" si="2"/>
        <v>1286.27</v>
      </c>
      <c r="M22" s="2"/>
      <c r="N22" s="7">
        <f t="shared" si="3"/>
        <v>1.9400754147812971</v>
      </c>
      <c r="O22" s="11"/>
      <c r="P22" s="6">
        <v>3898.54</v>
      </c>
      <c r="Q22" s="2"/>
      <c r="R22" s="7">
        <f t="shared" si="4"/>
        <v>0</v>
      </c>
      <c r="S22" s="2"/>
      <c r="T22" s="6">
        <v>1326</v>
      </c>
      <c r="U22" s="2"/>
      <c r="V22" s="7">
        <f t="shared" si="5"/>
        <v>0</v>
      </c>
      <c r="W22" s="2"/>
      <c r="X22" s="6">
        <f t="shared" si="6"/>
        <v>2572.54</v>
      </c>
      <c r="Y22" s="2"/>
      <c r="Z22" s="7">
        <f t="shared" si="7"/>
        <v>1.9400754147812971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116.2</v>
      </c>
      <c r="E23" s="2"/>
      <c r="F23" s="7">
        <f t="shared" si="0"/>
        <v>0</v>
      </c>
      <c r="G23" s="2"/>
      <c r="H23" s="6">
        <v>165.80885671999999</v>
      </c>
      <c r="I23" s="2"/>
      <c r="J23" s="7">
        <f t="shared" si="1"/>
        <v>0</v>
      </c>
      <c r="K23" s="2"/>
      <c r="L23" s="6">
        <f t="shared" si="2"/>
        <v>-49.608856719999991</v>
      </c>
      <c r="M23" s="2"/>
      <c r="N23" s="7">
        <f t="shared" si="3"/>
        <v>-0.29919304493953569</v>
      </c>
      <c r="O23" s="11"/>
      <c r="P23" s="6">
        <v>198.69</v>
      </c>
      <c r="Q23" s="2"/>
      <c r="R23" s="7">
        <f t="shared" si="4"/>
        <v>0</v>
      </c>
      <c r="S23" s="2"/>
      <c r="T23" s="6">
        <v>273.41517762000001</v>
      </c>
      <c r="U23" s="2"/>
      <c r="V23" s="7">
        <f t="shared" si="5"/>
        <v>0</v>
      </c>
      <c r="W23" s="2"/>
      <c r="X23" s="6">
        <f t="shared" si="6"/>
        <v>-74.725177620000011</v>
      </c>
      <c r="Y23" s="2"/>
      <c r="Z23" s="7">
        <f t="shared" si="7"/>
        <v>-0.2733029609784689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691.3</v>
      </c>
      <c r="E24" s="2"/>
      <c r="F24" s="7">
        <f t="shared" si="0"/>
        <v>0</v>
      </c>
      <c r="G24" s="2"/>
      <c r="H24" s="6">
        <v>698.13399919999995</v>
      </c>
      <c r="I24" s="2"/>
      <c r="J24" s="7">
        <f t="shared" si="1"/>
        <v>0</v>
      </c>
      <c r="K24" s="2"/>
      <c r="L24" s="6">
        <f t="shared" si="2"/>
        <v>-6.8339991999999938</v>
      </c>
      <c r="M24" s="2"/>
      <c r="N24" s="7">
        <f t="shared" si="3"/>
        <v>-9.7889505565280522E-3</v>
      </c>
      <c r="O24" s="11"/>
      <c r="P24" s="6">
        <v>1382.6</v>
      </c>
      <c r="Q24" s="2"/>
      <c r="R24" s="7">
        <f t="shared" si="4"/>
        <v>0</v>
      </c>
      <c r="S24" s="2"/>
      <c r="T24" s="6">
        <v>1570.8014982000002</v>
      </c>
      <c r="U24" s="2"/>
      <c r="V24" s="7">
        <f t="shared" si="5"/>
        <v>0</v>
      </c>
      <c r="W24" s="2"/>
      <c r="X24" s="6">
        <f t="shared" si="6"/>
        <v>-188.20149820000029</v>
      </c>
      <c r="Y24" s="2"/>
      <c r="Z24" s="7">
        <f t="shared" si="7"/>
        <v>-0.11981240049469177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280.8</v>
      </c>
      <c r="E26" s="2"/>
      <c r="F26" s="7">
        <f t="shared" si="0"/>
        <v>0</v>
      </c>
      <c r="G26" s="2"/>
      <c r="H26" s="6">
        <v>606.64860399999998</v>
      </c>
      <c r="I26" s="2"/>
      <c r="J26" s="7">
        <f t="shared" si="1"/>
        <v>0</v>
      </c>
      <c r="K26" s="2"/>
      <c r="L26" s="6">
        <f t="shared" si="2"/>
        <v>-325.84860399999997</v>
      </c>
      <c r="M26" s="2"/>
      <c r="N26" s="7">
        <f t="shared" si="3"/>
        <v>-0.53712907579690072</v>
      </c>
      <c r="O26" s="11"/>
      <c r="P26" s="6">
        <v>763.85</v>
      </c>
      <c r="Q26" s="2"/>
      <c r="R26" s="7">
        <f t="shared" si="4"/>
        <v>0</v>
      </c>
      <c r="S26" s="2"/>
      <c r="T26" s="6">
        <v>1364.9593590000002</v>
      </c>
      <c r="U26" s="2"/>
      <c r="V26" s="7">
        <f t="shared" si="5"/>
        <v>0</v>
      </c>
      <c r="W26" s="2"/>
      <c r="X26" s="6">
        <f t="shared" si="6"/>
        <v>-601.10935900000015</v>
      </c>
      <c r="Y26" s="2"/>
      <c r="Z26" s="7">
        <f t="shared" si="7"/>
        <v>-0.44038626867278036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374.44</v>
      </c>
      <c r="E27" s="2"/>
      <c r="F27" s="7">
        <f t="shared" si="0"/>
        <v>0</v>
      </c>
      <c r="G27" s="2"/>
      <c r="H27" s="6">
        <v>898.56548799999996</v>
      </c>
      <c r="I27" s="2"/>
      <c r="J27" s="7">
        <f t="shared" si="1"/>
        <v>0</v>
      </c>
      <c r="K27" s="2"/>
      <c r="L27" s="6">
        <f t="shared" si="2"/>
        <v>-524.1254879999999</v>
      </c>
      <c r="M27" s="2"/>
      <c r="N27" s="7">
        <f t="shared" si="3"/>
        <v>-0.58329136273259574</v>
      </c>
      <c r="O27" s="11"/>
      <c r="P27" s="6">
        <v>1627.51</v>
      </c>
      <c r="Q27" s="2"/>
      <c r="R27" s="7">
        <f t="shared" si="4"/>
        <v>0</v>
      </c>
      <c r="S27" s="2"/>
      <c r="T27" s="6">
        <v>1638.4848480000001</v>
      </c>
      <c r="U27" s="2"/>
      <c r="V27" s="7">
        <f t="shared" si="5"/>
        <v>0</v>
      </c>
      <c r="W27" s="2"/>
      <c r="X27" s="6">
        <f t="shared" si="6"/>
        <v>-10.974848000000065</v>
      </c>
      <c r="Y27" s="2"/>
      <c r="Z27" s="7">
        <f t="shared" si="7"/>
        <v>-6.6981687462025676E-3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291.3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291.3</v>
      </c>
      <c r="M28" s="2"/>
      <c r="N28" s="7">
        <f t="shared" si="3"/>
        <v>0</v>
      </c>
      <c r="O28" s="11"/>
      <c r="P28" s="6">
        <v>540.51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540.51</v>
      </c>
      <c r="Y28" s="2"/>
      <c r="Z28" s="7">
        <f t="shared" si="7"/>
        <v>0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57226.95</v>
      </c>
      <c r="E29" s="1"/>
      <c r="F29" s="5">
        <f t="shared" ref="F29:F39" si="8">IF(D$12=0,0,D29/D$12)</f>
        <v>0</v>
      </c>
      <c r="G29" s="1"/>
      <c r="H29" s="1">
        <f>SUM(OSRRefH22_1x_0)</f>
        <v>62841.275108000002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-5614.3251080000045</v>
      </c>
      <c r="M29" s="1"/>
      <c r="N29" s="5">
        <f t="shared" ref="N29:N39" si="11">IF(H29=0,0,L29/H29)</f>
        <v>-8.9341362000550387E-2</v>
      </c>
      <c r="O29" s="13"/>
      <c r="P29" s="1">
        <f>SUM(OSRRefP22_1x_0)</f>
        <v>95222.37999999999</v>
      </c>
      <c r="Q29" s="1"/>
      <c r="R29" s="5">
        <f t="shared" ref="R29:R39" si="12">IF(P$12=0,0,P29/P$12)</f>
        <v>0</v>
      </c>
      <c r="S29" s="1"/>
      <c r="T29" s="1">
        <f>SUM(OSRRefT22_1x_0)</f>
        <v>103064.118993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-7841.7389930000063</v>
      </c>
      <c r="Y29" s="1"/>
      <c r="Z29" s="5">
        <f t="shared" ref="Z29:Z39" si="15">IF(T29=0,0,X29/T29)</f>
        <v>-7.6086023628966437E-2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3807.2751079999994</v>
      </c>
      <c r="I30" s="2"/>
      <c r="J30" s="7">
        <f t="shared" si="9"/>
        <v>0</v>
      </c>
      <c r="K30" s="2"/>
      <c r="L30" s="6">
        <f t="shared" si="10"/>
        <v>-3807.2751079999994</v>
      </c>
      <c r="M30" s="2"/>
      <c r="N30" s="7">
        <f t="shared" si="11"/>
        <v>-1</v>
      </c>
      <c r="O30" s="11"/>
      <c r="P30" s="6"/>
      <c r="Q30" s="2"/>
      <c r="R30" s="7">
        <f t="shared" si="12"/>
        <v>0</v>
      </c>
      <c r="S30" s="2"/>
      <c r="T30" s="6">
        <v>8566.368993</v>
      </c>
      <c r="U30" s="2"/>
      <c r="V30" s="7">
        <f t="shared" si="13"/>
        <v>0</v>
      </c>
      <c r="W30" s="2"/>
      <c r="X30" s="6">
        <f t="shared" si="14"/>
        <v>-8566.368993</v>
      </c>
      <c r="Y30" s="2"/>
      <c r="Z30" s="7">
        <f t="shared" si="15"/>
        <v>-1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>
        <v>8116.84</v>
      </c>
      <c r="E31" s="2"/>
      <c r="F31" s="7">
        <f t="shared" si="8"/>
        <v>0</v>
      </c>
      <c r="G31" s="2"/>
      <c r="H31" s="6">
        <v>3379.2</v>
      </c>
      <c r="I31" s="2"/>
      <c r="J31" s="7">
        <f t="shared" si="9"/>
        <v>0</v>
      </c>
      <c r="K31" s="2"/>
      <c r="L31" s="6">
        <f t="shared" si="10"/>
        <v>4737.6400000000003</v>
      </c>
      <c r="M31" s="2"/>
      <c r="N31" s="7">
        <f t="shared" si="11"/>
        <v>1.4020004734848486</v>
      </c>
      <c r="O31" s="11"/>
      <c r="P31" s="6">
        <v>17496.68</v>
      </c>
      <c r="Q31" s="2"/>
      <c r="R31" s="7">
        <f t="shared" si="12"/>
        <v>0</v>
      </c>
      <c r="S31" s="2"/>
      <c r="T31" s="6">
        <v>7603.2</v>
      </c>
      <c r="U31" s="2"/>
      <c r="V31" s="7">
        <f t="shared" si="13"/>
        <v>0</v>
      </c>
      <c r="W31" s="2"/>
      <c r="X31" s="6">
        <f t="shared" si="14"/>
        <v>9893.48</v>
      </c>
      <c r="Y31" s="2"/>
      <c r="Z31" s="7">
        <f t="shared" si="15"/>
        <v>1.3012257996632997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3460.8</v>
      </c>
      <c r="I33" s="2"/>
      <c r="J33" s="7">
        <f t="shared" si="9"/>
        <v>0</v>
      </c>
      <c r="K33" s="2"/>
      <c r="L33" s="6">
        <f t="shared" si="10"/>
        <v>-3460.8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7786.8</v>
      </c>
      <c r="U33" s="2"/>
      <c r="V33" s="7">
        <f t="shared" si="13"/>
        <v>0</v>
      </c>
      <c r="W33" s="2"/>
      <c r="X33" s="6">
        <f t="shared" si="14"/>
        <v>-7786.8</v>
      </c>
      <c r="Y33" s="2"/>
      <c r="Z33" s="7">
        <f t="shared" si="15"/>
        <v>-1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2822.66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2822.66</v>
      </c>
      <c r="M34" s="2"/>
      <c r="N34" s="7">
        <f t="shared" si="11"/>
        <v>0</v>
      </c>
      <c r="O34" s="11"/>
      <c r="P34" s="6">
        <v>5226.9399999999996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5226.9399999999996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>
        <v>2679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2679</v>
      </c>
      <c r="M35" s="2"/>
      <c r="N35" s="7">
        <f t="shared" si="11"/>
        <v>0</v>
      </c>
      <c r="O35" s="11"/>
      <c r="P35" s="6">
        <v>4464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4464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>
        <v>42459.45</v>
      </c>
      <c r="E36" s="2"/>
      <c r="F36" s="7">
        <f t="shared" si="8"/>
        <v>0</v>
      </c>
      <c r="G36" s="2"/>
      <c r="H36" s="6">
        <v>19225.5</v>
      </c>
      <c r="I36" s="2"/>
      <c r="J36" s="7">
        <f t="shared" si="9"/>
        <v>0</v>
      </c>
      <c r="K36" s="2"/>
      <c r="L36" s="6">
        <f t="shared" si="10"/>
        <v>23233.949999999997</v>
      </c>
      <c r="M36" s="2"/>
      <c r="N36" s="7">
        <f t="shared" si="11"/>
        <v>1.2084965280486852</v>
      </c>
      <c r="O36" s="11"/>
      <c r="P36" s="6">
        <v>66570.759999999995</v>
      </c>
      <c r="Q36" s="2"/>
      <c r="R36" s="7">
        <f t="shared" si="12"/>
        <v>0</v>
      </c>
      <c r="S36" s="2"/>
      <c r="T36" s="6">
        <v>46139.25</v>
      </c>
      <c r="U36" s="2"/>
      <c r="V36" s="7">
        <f t="shared" si="13"/>
        <v>0</v>
      </c>
      <c r="W36" s="2"/>
      <c r="X36" s="6">
        <f t="shared" si="14"/>
        <v>20431.509999999995</v>
      </c>
      <c r="Y36" s="2"/>
      <c r="Z36" s="7">
        <f t="shared" si="15"/>
        <v>0.44282275936431553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>
        <v>1149</v>
      </c>
      <c r="E37" s="2"/>
      <c r="F37" s="7">
        <f t="shared" si="8"/>
        <v>0</v>
      </c>
      <c r="G37" s="2"/>
      <c r="H37" s="6">
        <v>32968.5</v>
      </c>
      <c r="I37" s="2"/>
      <c r="J37" s="7">
        <f t="shared" si="9"/>
        <v>0</v>
      </c>
      <c r="K37" s="2"/>
      <c r="L37" s="6">
        <f t="shared" si="10"/>
        <v>-31819.5</v>
      </c>
      <c r="M37" s="2"/>
      <c r="N37" s="7">
        <f t="shared" si="11"/>
        <v>-0.96514855088948537</v>
      </c>
      <c r="O37" s="11"/>
      <c r="P37" s="6">
        <v>1464</v>
      </c>
      <c r="Q37" s="2"/>
      <c r="R37" s="7">
        <f t="shared" si="12"/>
        <v>0</v>
      </c>
      <c r="S37" s="2"/>
      <c r="T37" s="6">
        <v>32968.5</v>
      </c>
      <c r="U37" s="2"/>
      <c r="V37" s="7">
        <f t="shared" si="13"/>
        <v>0</v>
      </c>
      <c r="W37" s="2"/>
      <c r="X37" s="6">
        <f t="shared" si="14"/>
        <v>-31504.5</v>
      </c>
      <c r="Y37" s="2"/>
      <c r="Z37" s="7">
        <f t="shared" si="15"/>
        <v>-0.95559397606806495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3" si="16">IF(D$12=0,0,D40/D$12)</f>
        <v>0</v>
      </c>
      <c r="G40" s="1"/>
      <c r="H40" s="1">
        <f>SUM(OSRRefH22_2x_0)</f>
        <v>400</v>
      </c>
      <c r="I40" s="1"/>
      <c r="J40" s="5">
        <f t="shared" ref="J40:J53" si="17">IF(H$12=0,0,H40/H$12)</f>
        <v>0</v>
      </c>
      <c r="K40" s="1"/>
      <c r="L40" s="1">
        <f t="shared" ref="L40:L53" si="18">+D40-H40</f>
        <v>-400</v>
      </c>
      <c r="M40" s="1"/>
      <c r="N40" s="5">
        <f t="shared" ref="N40:N53" si="19">IF(H40=0,0,L40/H40)</f>
        <v>-1</v>
      </c>
      <c r="O40" s="13"/>
      <c r="P40" s="1">
        <f>SUM(OSRRefP22_2x_0)</f>
        <v>138</v>
      </c>
      <c r="Q40" s="1"/>
      <c r="R40" s="5">
        <f t="shared" ref="R40:R53" si="20">IF(P$12=0,0,P40/P$12)</f>
        <v>0</v>
      </c>
      <c r="S40" s="1"/>
      <c r="T40" s="1">
        <f>SUM(OSRRefT22_2x_0)</f>
        <v>400</v>
      </c>
      <c r="U40" s="1"/>
      <c r="V40" s="5">
        <f t="shared" ref="V40:V53" si="21">IF(T$12=0,0,T40/T$12)</f>
        <v>0</v>
      </c>
      <c r="W40" s="1"/>
      <c r="X40" s="1">
        <f t="shared" ref="X40:X53" si="22">+P40-T40</f>
        <v>-262</v>
      </c>
      <c r="Y40" s="1"/>
      <c r="Z40" s="5">
        <f t="shared" ref="Z40:Z53" si="23">IF(T40=0,0,X40/T40)</f>
        <v>-0.65500000000000003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400</v>
      </c>
      <c r="I41" s="2"/>
      <c r="J41" s="7">
        <f t="shared" si="17"/>
        <v>0</v>
      </c>
      <c r="K41" s="2"/>
      <c r="L41" s="6">
        <f t="shared" si="18"/>
        <v>-400</v>
      </c>
      <c r="M41" s="2"/>
      <c r="N41" s="7">
        <f t="shared" si="19"/>
        <v>-1</v>
      </c>
      <c r="O41" s="11"/>
      <c r="P41" s="6">
        <v>138</v>
      </c>
      <c r="Q41" s="2"/>
      <c r="R41" s="7">
        <f t="shared" si="20"/>
        <v>0</v>
      </c>
      <c r="S41" s="2"/>
      <c r="T41" s="6">
        <v>400</v>
      </c>
      <c r="U41" s="2"/>
      <c r="V41" s="7">
        <f t="shared" si="21"/>
        <v>0</v>
      </c>
      <c r="W41" s="2"/>
      <c r="X41" s="6">
        <f t="shared" si="22"/>
        <v>-262</v>
      </c>
      <c r="Y41" s="2"/>
      <c r="Z41" s="7">
        <f t="shared" si="23"/>
        <v>-0.65500000000000003</v>
      </c>
    </row>
    <row r="42" spans="1:26" s="26" customFormat="1" outlineLevel="1" collapsed="1" x14ac:dyDescent="0.25">
      <c r="A42" s="25"/>
      <c r="B42" s="13" t="str">
        <f>CONCATENATE("     ","Employees' Appreciation                           ")</f>
        <v xml:space="preserve">     Employees' Appreciation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50</v>
      </c>
      <c r="I42" s="1"/>
      <c r="J42" s="5">
        <f t="shared" si="17"/>
        <v>0</v>
      </c>
      <c r="K42" s="1"/>
      <c r="L42" s="1">
        <f t="shared" si="18"/>
        <v>-50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100</v>
      </c>
      <c r="U42" s="1"/>
      <c r="V42" s="5">
        <f t="shared" si="21"/>
        <v>0</v>
      </c>
      <c r="W42" s="1"/>
      <c r="X42" s="1">
        <f t="shared" si="22"/>
        <v>-100</v>
      </c>
      <c r="Y42" s="1"/>
      <c r="Z42" s="5">
        <f t="shared" si="23"/>
        <v>-1</v>
      </c>
    </row>
    <row r="43" spans="1:26" s="24" customFormat="1" hidden="1" outlineLevel="2" x14ac:dyDescent="0.25">
      <c r="A43" s="27"/>
      <c r="B43" s="11" t="str">
        <f>CONCATENATE("          ", "6277", " - ", "EMPLOYEE APPRECIATION")</f>
        <v xml:space="preserve">          6277 - EMPLOYEE APPRECIATION</v>
      </c>
      <c r="C43" s="11"/>
      <c r="D43" s="6"/>
      <c r="E43" s="2"/>
      <c r="F43" s="7">
        <f t="shared" si="16"/>
        <v>0</v>
      </c>
      <c r="G43" s="2"/>
      <c r="H43" s="6">
        <v>50</v>
      </c>
      <c r="I43" s="2"/>
      <c r="J43" s="7">
        <f t="shared" si="17"/>
        <v>0</v>
      </c>
      <c r="K43" s="2"/>
      <c r="L43" s="6">
        <f t="shared" si="18"/>
        <v>-50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100</v>
      </c>
      <c r="U43" s="2"/>
      <c r="V43" s="7">
        <f t="shared" si="21"/>
        <v>0</v>
      </c>
      <c r="W43" s="2"/>
      <c r="X43" s="6">
        <f t="shared" si="22"/>
        <v>-100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3" t="str">
        <f>CONCATENATE("     ","Equipment Rental                                  ")</f>
        <v xml:space="preserve">     Equipment Rental       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125</v>
      </c>
      <c r="I44" s="1"/>
      <c r="J44" s="5">
        <f t="shared" si="17"/>
        <v>0</v>
      </c>
      <c r="K44" s="1"/>
      <c r="L44" s="1">
        <f t="shared" si="18"/>
        <v>-125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250</v>
      </c>
      <c r="U44" s="1"/>
      <c r="V44" s="5">
        <f t="shared" si="21"/>
        <v>0</v>
      </c>
      <c r="W44" s="1"/>
      <c r="X44" s="1">
        <f t="shared" si="22"/>
        <v>-250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"6351", " - ", "EQUIPMENT RENTAL")</f>
        <v xml:space="preserve">          6351 - EQUIPMENT RENTAL</v>
      </c>
      <c r="C45" s="11"/>
      <c r="D45" s="6"/>
      <c r="E45" s="2"/>
      <c r="F45" s="7">
        <f t="shared" si="16"/>
        <v>0</v>
      </c>
      <c r="G45" s="2"/>
      <c r="H45" s="6">
        <v>125</v>
      </c>
      <c r="I45" s="2"/>
      <c r="J45" s="7">
        <f t="shared" si="17"/>
        <v>0</v>
      </c>
      <c r="K45" s="2"/>
      <c r="L45" s="6">
        <f t="shared" si="18"/>
        <v>-125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250</v>
      </c>
      <c r="U45" s="2"/>
      <c r="V45" s="7">
        <f t="shared" si="21"/>
        <v>0</v>
      </c>
      <c r="W45" s="2"/>
      <c r="X45" s="6">
        <f t="shared" si="22"/>
        <v>-250</v>
      </c>
      <c r="Y45" s="2"/>
      <c r="Z45" s="7">
        <f t="shared" si="23"/>
        <v>-1</v>
      </c>
    </row>
    <row r="46" spans="1:26" s="26" customFormat="1" outlineLevel="1" collapsed="1" x14ac:dyDescent="0.25">
      <c r="A46" s="25"/>
      <c r="B46" s="13" t="str">
        <f>CONCATENATE("     ","Freight out/Postage                               ")</f>
        <v xml:space="preserve">     Freight out/Postage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10</v>
      </c>
      <c r="I46" s="1"/>
      <c r="J46" s="5">
        <f t="shared" si="17"/>
        <v>0</v>
      </c>
      <c r="K46" s="1"/>
      <c r="L46" s="1">
        <f t="shared" si="18"/>
        <v>-10</v>
      </c>
      <c r="M46" s="1"/>
      <c r="N46" s="5">
        <f t="shared" si="19"/>
        <v>-1</v>
      </c>
      <c r="O46" s="13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20</v>
      </c>
      <c r="U46" s="1"/>
      <c r="V46" s="5">
        <f t="shared" si="21"/>
        <v>0</v>
      </c>
      <c r="W46" s="1"/>
      <c r="X46" s="1">
        <f t="shared" si="22"/>
        <v>-20</v>
      </c>
      <c r="Y46" s="1"/>
      <c r="Z46" s="5">
        <f t="shared" si="23"/>
        <v>-1</v>
      </c>
    </row>
    <row r="47" spans="1:26" s="24" customFormat="1" hidden="1" outlineLevel="2" x14ac:dyDescent="0.25">
      <c r="A47" s="27"/>
      <c r="B47" s="11" t="str">
        <f>CONCATENATE("          ", "6307", " - ", "POSTAGE")</f>
        <v xml:space="preserve">          6307 - POSTAGE</v>
      </c>
      <c r="C47" s="11"/>
      <c r="D47" s="6"/>
      <c r="E47" s="2"/>
      <c r="F47" s="7">
        <f t="shared" si="16"/>
        <v>0</v>
      </c>
      <c r="G47" s="2"/>
      <c r="H47" s="6">
        <v>10</v>
      </c>
      <c r="I47" s="2"/>
      <c r="J47" s="7">
        <f t="shared" si="17"/>
        <v>0</v>
      </c>
      <c r="K47" s="2"/>
      <c r="L47" s="6">
        <f t="shared" si="18"/>
        <v>-10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20</v>
      </c>
      <c r="U47" s="2"/>
      <c r="V47" s="7">
        <f t="shared" si="21"/>
        <v>0</v>
      </c>
      <c r="W47" s="2"/>
      <c r="X47" s="6">
        <f t="shared" si="22"/>
        <v>-20</v>
      </c>
      <c r="Y47" s="2"/>
      <c r="Z47" s="7">
        <f t="shared" si="23"/>
        <v>-1</v>
      </c>
    </row>
    <row r="48" spans="1:26" s="26" customFormat="1" outlineLevel="1" collapsed="1" x14ac:dyDescent="0.25">
      <c r="A48" s="25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125</v>
      </c>
      <c r="I48" s="1"/>
      <c r="J48" s="5">
        <f t="shared" si="17"/>
        <v>0</v>
      </c>
      <c r="K48" s="1"/>
      <c r="L48" s="1">
        <f t="shared" si="18"/>
        <v>-125</v>
      </c>
      <c r="M48" s="1"/>
      <c r="N48" s="5">
        <f t="shared" si="19"/>
        <v>-1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250</v>
      </c>
      <c r="U48" s="1"/>
      <c r="V48" s="5">
        <f t="shared" si="21"/>
        <v>0</v>
      </c>
      <c r="W48" s="1"/>
      <c r="X48" s="1">
        <f t="shared" si="22"/>
        <v>-250</v>
      </c>
      <c r="Y48" s="1"/>
      <c r="Z48" s="5">
        <f t="shared" si="23"/>
        <v>-1</v>
      </c>
    </row>
    <row r="49" spans="1:26" s="24" customFormat="1" hidden="1" outlineLevel="2" x14ac:dyDescent="0.25">
      <c r="A49" s="27"/>
      <c r="B49" s="11" t="str">
        <f>CONCATENATE("          ", "6375", " - ", "OUTSIDE REPAIRS &amp; MAINTENANCE")</f>
        <v xml:space="preserve">          6375 - OUTSIDE REPAIRS &amp; MAINTENANCE</v>
      </c>
      <c r="C49" s="11"/>
      <c r="D49" s="6"/>
      <c r="E49" s="2"/>
      <c r="F49" s="7">
        <f t="shared" si="16"/>
        <v>0</v>
      </c>
      <c r="G49" s="2"/>
      <c r="H49" s="6">
        <v>125</v>
      </c>
      <c r="I49" s="2"/>
      <c r="J49" s="7">
        <f t="shared" si="17"/>
        <v>0</v>
      </c>
      <c r="K49" s="2"/>
      <c r="L49" s="6">
        <f t="shared" si="18"/>
        <v>-125</v>
      </c>
      <c r="M49" s="2"/>
      <c r="N49" s="7">
        <f t="shared" si="19"/>
        <v>-1</v>
      </c>
      <c r="O49" s="11"/>
      <c r="P49" s="6"/>
      <c r="Q49" s="2"/>
      <c r="R49" s="7">
        <f t="shared" si="20"/>
        <v>0</v>
      </c>
      <c r="S49" s="2"/>
      <c r="T49" s="6">
        <v>250</v>
      </c>
      <c r="U49" s="2"/>
      <c r="V49" s="7">
        <f t="shared" si="21"/>
        <v>0</v>
      </c>
      <c r="W49" s="2"/>
      <c r="X49" s="6">
        <f t="shared" si="22"/>
        <v>-250</v>
      </c>
      <c r="Y49" s="2"/>
      <c r="Z49" s="7">
        <f t="shared" si="23"/>
        <v>-1</v>
      </c>
    </row>
    <row r="50" spans="1:26" s="26" customFormat="1" outlineLevel="1" collapsed="1" x14ac:dyDescent="0.25">
      <c r="A50" s="25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60.06</v>
      </c>
      <c r="E50" s="1"/>
      <c r="F50" s="5">
        <f t="shared" si="16"/>
        <v>0</v>
      </c>
      <c r="G50" s="1"/>
      <c r="H50" s="1">
        <f>SUM(OSRRefH22_7x_0)</f>
        <v>950</v>
      </c>
      <c r="I50" s="1"/>
      <c r="J50" s="5">
        <f t="shared" si="17"/>
        <v>0</v>
      </c>
      <c r="K50" s="1"/>
      <c r="L50" s="1">
        <f t="shared" si="18"/>
        <v>-889.94</v>
      </c>
      <c r="M50" s="1"/>
      <c r="N50" s="5">
        <f t="shared" si="19"/>
        <v>-0.93677894736842116</v>
      </c>
      <c r="O50" s="13"/>
      <c r="P50" s="1">
        <f>SUM(OSRRefP22_7x_0)</f>
        <v>135.03</v>
      </c>
      <c r="Q50" s="1"/>
      <c r="R50" s="5">
        <f t="shared" si="20"/>
        <v>0</v>
      </c>
      <c r="S50" s="1"/>
      <c r="T50" s="1">
        <f>SUM(OSRRefT22_7x_0)</f>
        <v>1650</v>
      </c>
      <c r="U50" s="1"/>
      <c r="V50" s="5">
        <f t="shared" si="21"/>
        <v>0</v>
      </c>
      <c r="W50" s="1"/>
      <c r="X50" s="1">
        <f t="shared" si="22"/>
        <v>-1514.97</v>
      </c>
      <c r="Y50" s="1"/>
      <c r="Z50" s="5">
        <f t="shared" si="23"/>
        <v>-0.9181636363636364</v>
      </c>
    </row>
    <row r="51" spans="1:26" s="24" customFormat="1" hidden="1" outlineLevel="2" x14ac:dyDescent="0.25">
      <c r="A51" s="27"/>
      <c r="B51" s="11" t="str">
        <f>CONCATENATE("          ", "6241", " - ", "OFFICE EXPENSE")</f>
        <v xml:space="preserve">          6241 - OFFICE EXPENSE</v>
      </c>
      <c r="C51" s="11"/>
      <c r="D51" s="6">
        <v>60.06</v>
      </c>
      <c r="E51" s="2"/>
      <c r="F51" s="7">
        <f t="shared" si="16"/>
        <v>0</v>
      </c>
      <c r="G51" s="2"/>
      <c r="H51" s="6">
        <v>150</v>
      </c>
      <c r="I51" s="2"/>
      <c r="J51" s="7">
        <f t="shared" si="17"/>
        <v>0</v>
      </c>
      <c r="K51" s="2"/>
      <c r="L51" s="6">
        <f t="shared" si="18"/>
        <v>-89.94</v>
      </c>
      <c r="M51" s="2"/>
      <c r="N51" s="7">
        <f t="shared" si="19"/>
        <v>-0.59960000000000002</v>
      </c>
      <c r="O51" s="11"/>
      <c r="P51" s="6">
        <v>135.03</v>
      </c>
      <c r="Q51" s="2"/>
      <c r="R51" s="7">
        <f t="shared" si="20"/>
        <v>0</v>
      </c>
      <c r="S51" s="2"/>
      <c r="T51" s="6">
        <v>550</v>
      </c>
      <c r="U51" s="2"/>
      <c r="V51" s="7">
        <f t="shared" si="21"/>
        <v>0</v>
      </c>
      <c r="W51" s="2"/>
      <c r="X51" s="6">
        <f t="shared" si="22"/>
        <v>-414.97</v>
      </c>
      <c r="Y51" s="2"/>
      <c r="Z51" s="7">
        <f t="shared" si="23"/>
        <v>-0.7544909090909091</v>
      </c>
    </row>
    <row r="52" spans="1:26" s="24" customFormat="1" hidden="1" outlineLevel="2" x14ac:dyDescent="0.25">
      <c r="A52" s="27"/>
      <c r="B52" s="11" t="str">
        <f>CONCATENATE("          ", "6243", " - ", "PAPER SUPPLIES")</f>
        <v xml:space="preserve">          6243 - PAPER SUPPLIES</v>
      </c>
      <c r="C52" s="11"/>
      <c r="D52" s="6"/>
      <c r="E52" s="2"/>
      <c r="F52" s="7">
        <f t="shared" si="16"/>
        <v>0</v>
      </c>
      <c r="G52" s="2"/>
      <c r="H52" s="6">
        <v>500</v>
      </c>
      <c r="I52" s="2"/>
      <c r="J52" s="7">
        <f t="shared" si="17"/>
        <v>0</v>
      </c>
      <c r="K52" s="2"/>
      <c r="L52" s="6">
        <f t="shared" si="18"/>
        <v>-500</v>
      </c>
      <c r="M52" s="2"/>
      <c r="N52" s="7">
        <f t="shared" si="19"/>
        <v>-1</v>
      </c>
      <c r="O52" s="11"/>
      <c r="P52" s="6"/>
      <c r="Q52" s="2"/>
      <c r="R52" s="7">
        <f t="shared" si="20"/>
        <v>0</v>
      </c>
      <c r="S52" s="2"/>
      <c r="T52" s="6">
        <v>500</v>
      </c>
      <c r="U52" s="2"/>
      <c r="V52" s="7">
        <f t="shared" si="21"/>
        <v>0</v>
      </c>
      <c r="W52" s="2"/>
      <c r="X52" s="6">
        <f t="shared" si="22"/>
        <v>-500</v>
      </c>
      <c r="Y52" s="2"/>
      <c r="Z52" s="7">
        <f t="shared" si="23"/>
        <v>-1</v>
      </c>
    </row>
    <row r="53" spans="1:26" s="24" customFormat="1" hidden="1" outlineLevel="2" x14ac:dyDescent="0.25">
      <c r="A53" s="27"/>
      <c r="B53" s="11" t="str">
        <f>CONCATENATE("          ", "6247", " - ", "STORE SUPPLIES")</f>
        <v xml:space="preserve">          6247 - STORE SUPPLIES</v>
      </c>
      <c r="C53" s="11"/>
      <c r="D53" s="6"/>
      <c r="E53" s="2"/>
      <c r="F53" s="7">
        <f t="shared" si="16"/>
        <v>0</v>
      </c>
      <c r="G53" s="2"/>
      <c r="H53" s="6">
        <v>300</v>
      </c>
      <c r="I53" s="2"/>
      <c r="J53" s="7">
        <f t="shared" si="17"/>
        <v>0</v>
      </c>
      <c r="K53" s="2"/>
      <c r="L53" s="6">
        <f t="shared" si="18"/>
        <v>-300</v>
      </c>
      <c r="M53" s="2"/>
      <c r="N53" s="7">
        <f t="shared" si="19"/>
        <v>-1</v>
      </c>
      <c r="O53" s="11"/>
      <c r="P53" s="6"/>
      <c r="Q53" s="2"/>
      <c r="R53" s="7">
        <f t="shared" si="20"/>
        <v>0</v>
      </c>
      <c r="S53" s="2"/>
      <c r="T53" s="6">
        <v>600</v>
      </c>
      <c r="U53" s="2"/>
      <c r="V53" s="7">
        <f t="shared" si="21"/>
        <v>0</v>
      </c>
      <c r="W53" s="2"/>
      <c r="X53" s="6">
        <f t="shared" si="22"/>
        <v>-600</v>
      </c>
      <c r="Y53" s="2"/>
      <c r="Z53" s="7">
        <f t="shared" si="23"/>
        <v>-1</v>
      </c>
    </row>
    <row r="54" spans="1:26" s="26" customFormat="1" outlineLevel="1" collapsed="1" x14ac:dyDescent="0.25">
      <c r="A54" s="25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144.65</v>
      </c>
      <c r="E54" s="1"/>
      <c r="F54" s="5">
        <f t="shared" ref="F54:F55" si="24">IF(D$12=0,0,D54/D$12)</f>
        <v>0</v>
      </c>
      <c r="G54" s="1"/>
      <c r="H54" s="1">
        <f>SUM(OSRRefH22_8x_0)</f>
        <v>165</v>
      </c>
      <c r="I54" s="1"/>
      <c r="J54" s="5">
        <f t="shared" ref="J54:J55" si="25">IF(H$12=0,0,H54/H$12)</f>
        <v>0</v>
      </c>
      <c r="K54" s="1"/>
      <c r="L54" s="1">
        <f t="shared" ref="L54:L55" si="26">+D54-H54</f>
        <v>-20.349999999999994</v>
      </c>
      <c r="M54" s="1"/>
      <c r="N54" s="5">
        <f t="shared" ref="N54:N55" si="27">IF(H54=0,0,L54/H54)</f>
        <v>-0.12333333333333329</v>
      </c>
      <c r="O54" s="13"/>
      <c r="P54" s="1">
        <f>SUM(OSRRefP22_8x_0)</f>
        <v>227.85</v>
      </c>
      <c r="Q54" s="1"/>
      <c r="R54" s="5">
        <f t="shared" ref="R54:R55" si="28">IF(P$12=0,0,P54/P$12)</f>
        <v>0</v>
      </c>
      <c r="S54" s="1"/>
      <c r="T54" s="1">
        <f>SUM(OSRRefT22_8x_0)</f>
        <v>330</v>
      </c>
      <c r="U54" s="1"/>
      <c r="V54" s="5">
        <f t="shared" ref="V54:V55" si="29">IF(T$12=0,0,T54/T$12)</f>
        <v>0</v>
      </c>
      <c r="W54" s="1"/>
      <c r="X54" s="1">
        <f t="shared" ref="X54:X55" si="30">+P54-T54</f>
        <v>-102.15</v>
      </c>
      <c r="Y54" s="1"/>
      <c r="Z54" s="5">
        <f t="shared" ref="Z54:Z55" si="31">IF(T54=0,0,X54/T54)</f>
        <v>-0.30954545454545457</v>
      </c>
    </row>
    <row r="55" spans="1:26" s="24" customFormat="1" hidden="1" outlineLevel="2" x14ac:dyDescent="0.25">
      <c r="A55" s="27"/>
      <c r="B55" s="11" t="str">
        <f>CONCATENATE("          ", "6309", " - ", "TELEPHONE")</f>
        <v xml:space="preserve">          6309 - TELEPHONE</v>
      </c>
      <c r="C55" s="11"/>
      <c r="D55" s="6">
        <v>144.65</v>
      </c>
      <c r="E55" s="2"/>
      <c r="F55" s="7">
        <f t="shared" si="24"/>
        <v>0</v>
      </c>
      <c r="G55" s="2"/>
      <c r="H55" s="6">
        <v>165</v>
      </c>
      <c r="I55" s="2"/>
      <c r="J55" s="7">
        <f t="shared" si="25"/>
        <v>0</v>
      </c>
      <c r="K55" s="2"/>
      <c r="L55" s="6">
        <f t="shared" si="26"/>
        <v>-20.349999999999994</v>
      </c>
      <c r="M55" s="2"/>
      <c r="N55" s="7">
        <f t="shared" si="27"/>
        <v>-0.12333333333333329</v>
      </c>
      <c r="O55" s="11"/>
      <c r="P55" s="6">
        <v>227.85</v>
      </c>
      <c r="Q55" s="2"/>
      <c r="R55" s="7">
        <f t="shared" si="28"/>
        <v>0</v>
      </c>
      <c r="S55" s="2"/>
      <c r="T55" s="6">
        <v>330</v>
      </c>
      <c r="U55" s="2"/>
      <c r="V55" s="7">
        <f t="shared" si="29"/>
        <v>0</v>
      </c>
      <c r="W55" s="2"/>
      <c r="X55" s="6">
        <f t="shared" si="30"/>
        <v>-102.15</v>
      </c>
      <c r="Y55" s="2"/>
      <c r="Z55" s="7">
        <f t="shared" si="31"/>
        <v>-0.30954545454545457</v>
      </c>
    </row>
    <row r="56" spans="1:26" s="63" customFormat="1" x14ac:dyDescent="0.25">
      <c r="A56" s="36"/>
      <c r="B56" s="36"/>
      <c r="C56" s="36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6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25">
      <c r="A57" s="10"/>
      <c r="B57" s="28" t="s">
        <v>0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10"/>
      <c r="B59" s="29" t="s">
        <v>3</v>
      </c>
      <c r="C59" s="29"/>
      <c r="D59" s="22">
        <f>+D16-D18+D57</f>
        <v>-65464.189999999995</v>
      </c>
      <c r="E59" s="14"/>
      <c r="F59" s="20">
        <f>IF(D$12=0,0,D59/D$12)</f>
        <v>0</v>
      </c>
      <c r="G59" s="14"/>
      <c r="H59" s="22">
        <f>+H16-H18+H57</f>
        <v>-71267.55278263599</v>
      </c>
      <c r="I59" s="14"/>
      <c r="J59" s="20">
        <f>IF(H$12=0,0,H59/H$12)</f>
        <v>0</v>
      </c>
      <c r="K59" s="15"/>
      <c r="L59" s="22">
        <f>+D59-H59</f>
        <v>5803.3627826359952</v>
      </c>
      <c r="M59" s="15"/>
      <c r="N59" s="20">
        <f>IF(H59=0,0,L59/H59)</f>
        <v>-8.1430644887387771E-2</v>
      </c>
      <c r="O59" s="28"/>
      <c r="P59" s="22">
        <f>+P16-P18+P57</f>
        <v>-111418.08</v>
      </c>
      <c r="Q59" s="14"/>
      <c r="R59" s="20">
        <f>IF(P$12=0,0,P59/P$12)</f>
        <v>0</v>
      </c>
      <c r="S59" s="14"/>
      <c r="T59" s="22">
        <f>+T16-T18+T57</f>
        <v>-119760.605154681</v>
      </c>
      <c r="U59" s="14"/>
      <c r="V59" s="20">
        <f>IF(T$12=0,0,T59/T$12)</f>
        <v>0</v>
      </c>
      <c r="W59" s="15"/>
      <c r="X59" s="22">
        <f>+P59-T59</f>
        <v>8342.5251546810032</v>
      </c>
      <c r="Y59" s="15"/>
      <c r="Z59" s="20">
        <f>IF(T59=0,0,X59/T59)</f>
        <v>-6.9660011686697165E-2</v>
      </c>
    </row>
    <row r="60" spans="1:26" x14ac:dyDescent="0.25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52"/>
      <c r="B61" s="10" t="s">
        <v>14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9" t="s">
        <v>4</v>
      </c>
      <c r="C63" s="29"/>
      <c r="D63" s="31">
        <f>+D59-D61</f>
        <v>-65464.189999999995</v>
      </c>
      <c r="E63" s="14"/>
      <c r="F63" s="32">
        <f>IF(D$12=0,0,D63/D$12)</f>
        <v>0</v>
      </c>
      <c r="G63" s="14"/>
      <c r="H63" s="31">
        <f>+H59-H61</f>
        <v>-71267.55278263599</v>
      </c>
      <c r="I63" s="14"/>
      <c r="J63" s="32">
        <f>IF(H$12=0,0,H63/H$12)</f>
        <v>0</v>
      </c>
      <c r="K63" s="15"/>
      <c r="L63" s="31">
        <f>D63-H63</f>
        <v>5803.3627826359952</v>
      </c>
      <c r="M63" s="15"/>
      <c r="N63" s="32">
        <f>IF(H63=0,0,L63/H63)</f>
        <v>-8.1430644887387771E-2</v>
      </c>
      <c r="O63" s="28"/>
      <c r="P63" s="31">
        <f>+P59-P61</f>
        <v>-111418.08</v>
      </c>
      <c r="Q63" s="14"/>
      <c r="R63" s="32">
        <f>IF(P$12=0,0,P63/P$12)</f>
        <v>0</v>
      </c>
      <c r="S63" s="14"/>
      <c r="T63" s="31">
        <f>+T59-T61</f>
        <v>-119760.605154681</v>
      </c>
      <c r="U63" s="14"/>
      <c r="V63" s="32">
        <f>IF(T$12=0,0,T63/T$12)</f>
        <v>0</v>
      </c>
      <c r="W63" s="15"/>
      <c r="X63" s="31">
        <f>P63-T63</f>
        <v>8342.5251546810032</v>
      </c>
      <c r="Y63" s="15"/>
      <c r="Z63" s="32">
        <f>IF(T63=0,0,X63/T63)</f>
        <v>-6.9660011686697165E-2</v>
      </c>
    </row>
    <row r="64" spans="1:26" ht="15.75" thickTop="1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9" t="s">
        <v>5</v>
      </c>
      <c r="C66" s="29"/>
      <c r="D66" s="33">
        <f>SUM(D63:D65)</f>
        <v>-65464.189999999995</v>
      </c>
      <c r="E66" s="14"/>
      <c r="F66" s="35">
        <f>IF(D$12=0,0,D66/D$12)</f>
        <v>0</v>
      </c>
      <c r="G66" s="14"/>
      <c r="H66" s="33">
        <f>SUM(H63:H65)</f>
        <v>-71267.55278263599</v>
      </c>
      <c r="I66" s="14"/>
      <c r="J66" s="35">
        <f>IF(H$12=0,0,H66/H$12)</f>
        <v>0</v>
      </c>
      <c r="K66" s="15"/>
      <c r="L66" s="33">
        <f>+D66-H66</f>
        <v>5803.3627826359952</v>
      </c>
      <c r="M66" s="15"/>
      <c r="N66" s="35">
        <f>IF(H66=0,0,L66/H66)</f>
        <v>-8.1430644887387771E-2</v>
      </c>
      <c r="O66" s="28"/>
      <c r="P66" s="33">
        <f>SUM(P63:P65)</f>
        <v>-111418.08</v>
      </c>
      <c r="Q66" s="14"/>
      <c r="R66" s="35">
        <f>IF(P$12=0,0,P66/P$12)</f>
        <v>0</v>
      </c>
      <c r="S66" s="14"/>
      <c r="T66" s="33">
        <f>SUM(T63:T65)</f>
        <v>-119760.605154681</v>
      </c>
      <c r="U66" s="14"/>
      <c r="V66" s="35">
        <f>IF(T$12=0,0,T66/T$12)</f>
        <v>0</v>
      </c>
      <c r="W66" s="15"/>
      <c r="X66" s="33">
        <f>+P66-T66</f>
        <v>8342.5251546810032</v>
      </c>
      <c r="Y66" s="15"/>
      <c r="Z66" s="35">
        <f>IF(T66=0,0,X66/T66)</f>
        <v>-6.9660011686697165E-2</v>
      </c>
    </row>
    <row r="67" spans="1:26" ht="15.75" thickTop="1" x14ac:dyDescent="0.25">
      <c r="A67" s="9"/>
      <c r="C67" s="9"/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6" x14ac:dyDescent="0.25">
      <c r="A68" s="9"/>
      <c r="B68" s="61">
        <v>43732.705926469906</v>
      </c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25">
      <c r="A69" s="9"/>
      <c r="B69" s="62" t="s">
        <v>314</v>
      </c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58"/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3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306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133332.23000000007</v>
      </c>
      <c r="E12" s="4"/>
      <c r="F12" s="12"/>
      <c r="G12" s="4"/>
      <c r="H12" s="4">
        <f>SUM(OSRRefH13x_0)</f>
        <v>144502</v>
      </c>
      <c r="I12" s="4"/>
      <c r="J12" s="12"/>
      <c r="K12" s="4"/>
      <c r="L12" s="4">
        <f t="shared" ref="L12:L44" si="0">+D12-H12</f>
        <v>-11169.769999999931</v>
      </c>
      <c r="M12" s="4"/>
      <c r="N12" s="12">
        <f t="shared" ref="N12:N44" si="1">IF(H12=0,0,L12/H12)</f>
        <v>-7.7298376493058443E-2</v>
      </c>
      <c r="O12" s="10"/>
      <c r="P12" s="4">
        <f>SUM(OSRRefP13x_0)</f>
        <v>152101.01000000007</v>
      </c>
      <c r="Q12" s="4"/>
      <c r="R12" s="12"/>
      <c r="S12" s="4"/>
      <c r="T12" s="4">
        <f>SUM(OSRRefT13x_0)</f>
        <v>162775</v>
      </c>
      <c r="U12" s="4"/>
      <c r="V12" s="12"/>
      <c r="W12" s="4"/>
      <c r="X12" s="4">
        <f t="shared" ref="X12:X44" si="2">+P12-T12</f>
        <v>-10673.989999999932</v>
      </c>
      <c r="Y12" s="4"/>
      <c r="Z12" s="12">
        <f t="shared" ref="Z12:Z44" si="3">IF(T12=0,0,X12/T12)</f>
        <v>-6.5575119029334564E-2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132903</v>
      </c>
      <c r="I13" s="2"/>
      <c r="J13" s="21"/>
      <c r="K13" s="2"/>
      <c r="L13" s="2">
        <f t="shared" si="0"/>
        <v>-132903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149462</v>
      </c>
      <c r="U13" s="2"/>
      <c r="V13" s="21"/>
      <c r="W13" s="2"/>
      <c r="X13" s="2">
        <f t="shared" si="2"/>
        <v>-149462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--152.83</f>
        <v>152.83000000000001</v>
      </c>
      <c r="E14" s="2"/>
      <c r="F14" s="21"/>
      <c r="G14" s="2"/>
      <c r="H14" s="2"/>
      <c r="I14" s="2"/>
      <c r="J14" s="21"/>
      <c r="K14" s="2"/>
      <c r="L14" s="2">
        <f t="shared" si="0"/>
        <v>152.83000000000001</v>
      </c>
      <c r="M14" s="2"/>
      <c r="N14" s="21">
        <f t="shared" si="1"/>
        <v>0</v>
      </c>
      <c r="O14" s="11"/>
      <c r="P14" s="2">
        <f>--157.3</f>
        <v>157.30000000000001</v>
      </c>
      <c r="Q14" s="2"/>
      <c r="R14" s="21"/>
      <c r="S14" s="2"/>
      <c r="T14" s="2"/>
      <c r="U14" s="2"/>
      <c r="V14" s="21"/>
      <c r="W14" s="2"/>
      <c r="X14" s="2">
        <f t="shared" si="2"/>
        <v>157.30000000000001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"4019", " - ", "TAXABLE SALES-BOOK RELATED")</f>
        <v xml:space="preserve">          4019 - TAXABLE SALES-BOOK RELATED</v>
      </c>
      <c r="C15" s="11"/>
      <c r="D15" s="2">
        <f>--14.95</f>
        <v>14.95</v>
      </c>
      <c r="E15" s="2"/>
      <c r="F15" s="21"/>
      <c r="G15" s="2"/>
      <c r="H15" s="2"/>
      <c r="I15" s="2"/>
      <c r="J15" s="21"/>
      <c r="K15" s="2"/>
      <c r="L15" s="2">
        <f t="shared" si="0"/>
        <v>14.95</v>
      </c>
      <c r="M15" s="2"/>
      <c r="N15" s="21">
        <f t="shared" si="1"/>
        <v>0</v>
      </c>
      <c r="O15" s="11"/>
      <c r="P15" s="2">
        <f>--14.95</f>
        <v>14.95</v>
      </c>
      <c r="Q15" s="2"/>
      <c r="R15" s="21"/>
      <c r="S15" s="2"/>
      <c r="T15" s="2"/>
      <c r="U15" s="2"/>
      <c r="V15" s="21"/>
      <c r="W15" s="2"/>
      <c r="X15" s="2">
        <f t="shared" si="2"/>
        <v>14.95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"4025", " - ", "TAXABLE SALES-TEST FORMS")</f>
        <v xml:space="preserve">          4025 - TAXABLE SALES-TEST FORMS</v>
      </c>
      <c r="C16" s="11"/>
      <c r="D16" s="2">
        <f>--4066.24</f>
        <v>4066.24</v>
      </c>
      <c r="E16" s="2"/>
      <c r="F16" s="21"/>
      <c r="G16" s="2"/>
      <c r="H16" s="2"/>
      <c r="I16" s="2"/>
      <c r="J16" s="21"/>
      <c r="K16" s="2"/>
      <c r="L16" s="2">
        <f t="shared" si="0"/>
        <v>4066.24</v>
      </c>
      <c r="M16" s="2"/>
      <c r="N16" s="21">
        <f t="shared" si="1"/>
        <v>0</v>
      </c>
      <c r="O16" s="11"/>
      <c r="P16" s="2">
        <f>--4458.53</f>
        <v>4458.53</v>
      </c>
      <c r="Q16" s="2"/>
      <c r="R16" s="21"/>
      <c r="S16" s="2"/>
      <c r="T16" s="2"/>
      <c r="U16" s="2"/>
      <c r="V16" s="21"/>
      <c r="W16" s="2"/>
      <c r="X16" s="2">
        <f t="shared" si="2"/>
        <v>4458.53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--10815.03</f>
        <v>10815.03</v>
      </c>
      <c r="E17" s="2"/>
      <c r="F17" s="21"/>
      <c r="G17" s="2"/>
      <c r="H17" s="2"/>
      <c r="I17" s="2"/>
      <c r="J17" s="21"/>
      <c r="K17" s="2"/>
      <c r="L17" s="2">
        <f t="shared" si="0"/>
        <v>10815.03</v>
      </c>
      <c r="M17" s="2"/>
      <c r="N17" s="21">
        <f t="shared" si="1"/>
        <v>0</v>
      </c>
      <c r="O17" s="11"/>
      <c r="P17" s="2">
        <f>--12711.98</f>
        <v>12711.98</v>
      </c>
      <c r="Q17" s="2"/>
      <c r="R17" s="21"/>
      <c r="S17" s="2"/>
      <c r="T17" s="2"/>
      <c r="U17" s="2"/>
      <c r="V17" s="21"/>
      <c r="W17" s="2"/>
      <c r="X17" s="2">
        <f t="shared" si="2"/>
        <v>12711.98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--65908.82</f>
        <v>65908.820000000007</v>
      </c>
      <c r="E18" s="2"/>
      <c r="F18" s="21"/>
      <c r="G18" s="2"/>
      <c r="H18" s="2"/>
      <c r="I18" s="2"/>
      <c r="J18" s="21"/>
      <c r="K18" s="2"/>
      <c r="L18" s="2">
        <f t="shared" si="0"/>
        <v>65908.820000000007</v>
      </c>
      <c r="M18" s="2"/>
      <c r="N18" s="21">
        <f t="shared" si="1"/>
        <v>0</v>
      </c>
      <c r="O18" s="11"/>
      <c r="P18" s="2">
        <f>--79058.82</f>
        <v>79058.820000000007</v>
      </c>
      <c r="Q18" s="2"/>
      <c r="R18" s="21"/>
      <c r="S18" s="2"/>
      <c r="T18" s="2"/>
      <c r="U18" s="2"/>
      <c r="V18" s="21"/>
      <c r="W18" s="2"/>
      <c r="X18" s="2">
        <f t="shared" si="2"/>
        <v>79058.820000000007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"4028", " - ", "TAXABLE SALES-ART/TECH")</f>
        <v xml:space="preserve">          4028 - TAXABLE SALES-ART/TECH</v>
      </c>
      <c r="C19" s="11"/>
      <c r="D19" s="2">
        <f>--46631.39</f>
        <v>46631.39</v>
      </c>
      <c r="E19" s="2"/>
      <c r="F19" s="21"/>
      <c r="G19" s="2"/>
      <c r="H19" s="2"/>
      <c r="I19" s="2"/>
      <c r="J19" s="21"/>
      <c r="K19" s="2"/>
      <c r="L19" s="2">
        <f t="shared" si="0"/>
        <v>46631.39</v>
      </c>
      <c r="M19" s="2"/>
      <c r="N19" s="21">
        <f t="shared" si="1"/>
        <v>0</v>
      </c>
      <c r="O19" s="11"/>
      <c r="P19" s="2">
        <f>--48915.55</f>
        <v>48915.55</v>
      </c>
      <c r="Q19" s="2"/>
      <c r="R19" s="21"/>
      <c r="S19" s="2"/>
      <c r="T19" s="2"/>
      <c r="U19" s="2"/>
      <c r="V19" s="21"/>
      <c r="W19" s="2"/>
      <c r="X19" s="2">
        <f t="shared" si="2"/>
        <v>48915.55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"4031", " - ", "TAXABLE SALES-FOOD")</f>
        <v xml:space="preserve">          4031 - TAXABLE SALES-FOOD</v>
      </c>
      <c r="C20" s="11"/>
      <c r="D20" s="2">
        <f>--30.82</f>
        <v>30.82</v>
      </c>
      <c r="E20" s="2"/>
      <c r="F20" s="21"/>
      <c r="G20" s="2"/>
      <c r="H20" s="2"/>
      <c r="I20" s="2"/>
      <c r="J20" s="21"/>
      <c r="K20" s="2"/>
      <c r="L20" s="2">
        <f t="shared" si="0"/>
        <v>30.82</v>
      </c>
      <c r="M20" s="2"/>
      <c r="N20" s="21">
        <f t="shared" si="1"/>
        <v>0</v>
      </c>
      <c r="O20" s="11"/>
      <c r="P20" s="2">
        <f>--32.34</f>
        <v>32.340000000000003</v>
      </c>
      <c r="Q20" s="2"/>
      <c r="R20" s="21"/>
      <c r="S20" s="2"/>
      <c r="T20" s="2"/>
      <c r="U20" s="2"/>
      <c r="V20" s="21"/>
      <c r="W20" s="2"/>
      <c r="X20" s="2">
        <f t="shared" si="2"/>
        <v>32.340000000000003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"4032", " - ", "TAXABLE SALES-JUICE")</f>
        <v xml:space="preserve">          4032 - TAXABLE SALES-JUICE</v>
      </c>
      <c r="C21" s="11"/>
      <c r="D21" s="2">
        <f>--2.34</f>
        <v>2.34</v>
      </c>
      <c r="E21" s="2"/>
      <c r="F21" s="21"/>
      <c r="G21" s="2"/>
      <c r="H21" s="2"/>
      <c r="I21" s="2"/>
      <c r="J21" s="21"/>
      <c r="K21" s="2"/>
      <c r="L21" s="2">
        <f t="shared" si="0"/>
        <v>2.34</v>
      </c>
      <c r="M21" s="2"/>
      <c r="N21" s="21">
        <f t="shared" si="1"/>
        <v>0</v>
      </c>
      <c r="O21" s="11"/>
      <c r="P21" s="2">
        <f>--3.81</f>
        <v>3.81</v>
      </c>
      <c r="Q21" s="2"/>
      <c r="R21" s="21"/>
      <c r="S21" s="2"/>
      <c r="T21" s="2"/>
      <c r="U21" s="2"/>
      <c r="V21" s="21"/>
      <c r="W21" s="2"/>
      <c r="X21" s="2">
        <f t="shared" si="2"/>
        <v>3.81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"4033", " - ", "TAXABLE SALES-CANDY")</f>
        <v xml:space="preserve">          4033 - TAXABLE SALES-CANDY</v>
      </c>
      <c r="C22" s="11"/>
      <c r="D22" s="2">
        <f>--9.83</f>
        <v>9.83</v>
      </c>
      <c r="E22" s="2"/>
      <c r="F22" s="21"/>
      <c r="G22" s="2"/>
      <c r="H22" s="2"/>
      <c r="I22" s="2"/>
      <c r="J22" s="21"/>
      <c r="K22" s="2"/>
      <c r="L22" s="2">
        <f t="shared" si="0"/>
        <v>9.83</v>
      </c>
      <c r="M22" s="2"/>
      <c r="N22" s="21">
        <f t="shared" si="1"/>
        <v>0</v>
      </c>
      <c r="O22" s="11"/>
      <c r="P22" s="2">
        <f>--13</f>
        <v>13</v>
      </c>
      <c r="Q22" s="2"/>
      <c r="R22" s="21"/>
      <c r="S22" s="2"/>
      <c r="T22" s="2"/>
      <c r="U22" s="2"/>
      <c r="V22" s="21"/>
      <c r="W22" s="2"/>
      <c r="X22" s="2">
        <f t="shared" si="2"/>
        <v>13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"4034", " - ", "TAXABLE SALES-SODA")</f>
        <v xml:space="preserve">          4034 - TAXABLE SALES-SODA</v>
      </c>
      <c r="C23" s="11"/>
      <c r="D23" s="2">
        <f>--280.8</f>
        <v>280.8</v>
      </c>
      <c r="E23" s="2"/>
      <c r="F23" s="21"/>
      <c r="G23" s="2"/>
      <c r="H23" s="2"/>
      <c r="I23" s="2"/>
      <c r="J23" s="21"/>
      <c r="K23" s="2"/>
      <c r="L23" s="2">
        <f t="shared" si="0"/>
        <v>280.8</v>
      </c>
      <c r="M23" s="2"/>
      <c r="N23" s="21">
        <f t="shared" si="1"/>
        <v>0</v>
      </c>
      <c r="O23" s="11"/>
      <c r="P23" s="2">
        <f>--315.54</f>
        <v>315.54000000000002</v>
      </c>
      <c r="Q23" s="2"/>
      <c r="R23" s="21"/>
      <c r="S23" s="2"/>
      <c r="T23" s="2"/>
      <c r="U23" s="2"/>
      <c r="V23" s="21"/>
      <c r="W23" s="2"/>
      <c r="X23" s="2">
        <f t="shared" si="2"/>
        <v>315.54000000000002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>--92.48</f>
        <v>92.48</v>
      </c>
      <c r="E24" s="2"/>
      <c r="F24" s="21"/>
      <c r="G24" s="2"/>
      <c r="H24" s="2"/>
      <c r="I24" s="2"/>
      <c r="J24" s="21"/>
      <c r="K24" s="2"/>
      <c r="L24" s="2">
        <f t="shared" si="0"/>
        <v>92.48</v>
      </c>
      <c r="M24" s="2"/>
      <c r="N24" s="21">
        <f t="shared" si="1"/>
        <v>0</v>
      </c>
      <c r="O24" s="11"/>
      <c r="P24" s="2">
        <f>--98.45</f>
        <v>98.45</v>
      </c>
      <c r="Q24" s="2"/>
      <c r="R24" s="21"/>
      <c r="S24" s="2"/>
      <c r="T24" s="2"/>
      <c r="U24" s="2"/>
      <c r="V24" s="21"/>
      <c r="W24" s="2"/>
      <c r="X24" s="2">
        <f t="shared" si="2"/>
        <v>98.45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"4037", " - ", "TAXABLE SALES-WATER")</f>
        <v xml:space="preserve">          4037 - TAXABLE SALES-WATER</v>
      </c>
      <c r="C25" s="11"/>
      <c r="D25" s="2">
        <f>--36.88</f>
        <v>36.880000000000003</v>
      </c>
      <c r="E25" s="2"/>
      <c r="F25" s="21"/>
      <c r="G25" s="2"/>
      <c r="H25" s="2"/>
      <c r="I25" s="2"/>
      <c r="J25" s="21"/>
      <c r="K25" s="2"/>
      <c r="L25" s="2">
        <f t="shared" si="0"/>
        <v>36.880000000000003</v>
      </c>
      <c r="M25" s="2"/>
      <c r="N25" s="21">
        <f t="shared" si="1"/>
        <v>0</v>
      </c>
      <c r="O25" s="11"/>
      <c r="P25" s="2">
        <f>--42.17</f>
        <v>42.17</v>
      </c>
      <c r="Q25" s="2"/>
      <c r="R25" s="21"/>
      <c r="S25" s="2"/>
      <c r="T25" s="2"/>
      <c r="U25" s="2"/>
      <c r="V25" s="21"/>
      <c r="W25" s="2"/>
      <c r="X25" s="2">
        <f t="shared" si="2"/>
        <v>42.17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"4081", " - ", "TAXABLE SALES-ELECTRONICS")</f>
        <v xml:space="preserve">          4081 - TAXABLE SALES-ELECTRONICS</v>
      </c>
      <c r="C26" s="11"/>
      <c r="D26" s="2">
        <f>--260.88</f>
        <v>260.88</v>
      </c>
      <c r="E26" s="2"/>
      <c r="F26" s="21"/>
      <c r="G26" s="2"/>
      <c r="H26" s="2"/>
      <c r="I26" s="2"/>
      <c r="J26" s="21"/>
      <c r="K26" s="2"/>
      <c r="L26" s="2">
        <f t="shared" si="0"/>
        <v>260.88</v>
      </c>
      <c r="M26" s="2"/>
      <c r="N26" s="21">
        <f t="shared" si="1"/>
        <v>0</v>
      </c>
      <c r="O26" s="11"/>
      <c r="P26" s="2">
        <f>--268.86</f>
        <v>268.86</v>
      </c>
      <c r="Q26" s="2"/>
      <c r="R26" s="21"/>
      <c r="S26" s="2"/>
      <c r="T26" s="2"/>
      <c r="U26" s="2"/>
      <c r="V26" s="21"/>
      <c r="W26" s="2"/>
      <c r="X26" s="2">
        <f t="shared" si="2"/>
        <v>268.86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>--19</f>
        <v>19</v>
      </c>
      <c r="E27" s="2"/>
      <c r="F27" s="21"/>
      <c r="G27" s="2"/>
      <c r="H27" s="2"/>
      <c r="I27" s="2"/>
      <c r="J27" s="21"/>
      <c r="K27" s="2"/>
      <c r="L27" s="2">
        <f t="shared" si="0"/>
        <v>19</v>
      </c>
      <c r="M27" s="2"/>
      <c r="N27" s="21">
        <f t="shared" si="1"/>
        <v>0</v>
      </c>
      <c r="O27" s="11"/>
      <c r="P27" s="2">
        <f>--38</f>
        <v>38</v>
      </c>
      <c r="Q27" s="2"/>
      <c r="R27" s="21"/>
      <c r="S27" s="2"/>
      <c r="T27" s="2"/>
      <c r="U27" s="2"/>
      <c r="V27" s="21"/>
      <c r="W27" s="2"/>
      <c r="X27" s="2">
        <f t="shared" si="2"/>
        <v>38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>--29.98</f>
        <v>29.98</v>
      </c>
      <c r="E28" s="2"/>
      <c r="F28" s="21"/>
      <c r="G28" s="2"/>
      <c r="H28" s="2"/>
      <c r="I28" s="2"/>
      <c r="J28" s="21"/>
      <c r="K28" s="2"/>
      <c r="L28" s="2">
        <f t="shared" si="0"/>
        <v>29.98</v>
      </c>
      <c r="M28" s="2"/>
      <c r="N28" s="21">
        <f t="shared" si="1"/>
        <v>0</v>
      </c>
      <c r="O28" s="11"/>
      <c r="P28" s="2">
        <f>--29.98</f>
        <v>29.98</v>
      </c>
      <c r="Q28" s="2"/>
      <c r="R28" s="21"/>
      <c r="S28" s="2"/>
      <c r="T28" s="2"/>
      <c r="U28" s="2"/>
      <c r="V28" s="21"/>
      <c r="W28" s="2"/>
      <c r="X28" s="2">
        <f t="shared" si="2"/>
        <v>29.98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>--93.96</f>
        <v>93.96</v>
      </c>
      <c r="E29" s="2"/>
      <c r="F29" s="21"/>
      <c r="G29" s="2"/>
      <c r="H29" s="2"/>
      <c r="I29" s="2"/>
      <c r="J29" s="21"/>
      <c r="K29" s="2"/>
      <c r="L29" s="2">
        <f t="shared" si="0"/>
        <v>93.96</v>
      </c>
      <c r="M29" s="2"/>
      <c r="N29" s="21">
        <f t="shared" si="1"/>
        <v>0</v>
      </c>
      <c r="O29" s="11"/>
      <c r="P29" s="2">
        <f>--108.95</f>
        <v>108.95</v>
      </c>
      <c r="Q29" s="2"/>
      <c r="R29" s="21"/>
      <c r="S29" s="2"/>
      <c r="T29" s="2"/>
      <c r="U29" s="2"/>
      <c r="V29" s="21"/>
      <c r="W29" s="2"/>
      <c r="X29" s="2">
        <f t="shared" si="2"/>
        <v>108.95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"4100", " - ", "NON-TAXABLE SALES")</f>
        <v xml:space="preserve">          4100 - NON-TAXABLE SALES</v>
      </c>
      <c r="C30" s="11"/>
      <c r="D30" s="2">
        <f>0</f>
        <v>0</v>
      </c>
      <c r="E30" s="2"/>
      <c r="F30" s="21"/>
      <c r="G30" s="2"/>
      <c r="H30" s="2">
        <v>11599</v>
      </c>
      <c r="I30" s="2"/>
      <c r="J30" s="21"/>
      <c r="K30" s="2"/>
      <c r="L30" s="2">
        <f t="shared" si="0"/>
        <v>-11599</v>
      </c>
      <c r="M30" s="2"/>
      <c r="N30" s="21">
        <f t="shared" si="1"/>
        <v>-1</v>
      </c>
      <c r="O30" s="11"/>
      <c r="P30" s="2">
        <f>0</f>
        <v>0</v>
      </c>
      <c r="Q30" s="2"/>
      <c r="R30" s="21"/>
      <c r="S30" s="2"/>
      <c r="T30" s="2">
        <v>13313</v>
      </c>
      <c r="U30" s="2"/>
      <c r="V30" s="21"/>
      <c r="W30" s="2"/>
      <c r="X30" s="2">
        <f t="shared" si="2"/>
        <v>-13313</v>
      </c>
      <c r="Y30" s="2"/>
      <c r="Z30" s="21">
        <f t="shared" si="3"/>
        <v>-1</v>
      </c>
    </row>
    <row r="31" spans="1:26" s="24" customFormat="1" hidden="1" outlineLevel="1" x14ac:dyDescent="0.25">
      <c r="A31" s="46"/>
      <c r="B31" s="11" t="str">
        <f>CONCATENATE("          ", "4125", " - ", "NON-TAXABLE SALES-TEST FORMS")</f>
        <v xml:space="preserve">          4125 - NON-TAXABLE SALES-TEST FORMS</v>
      </c>
      <c r="C31" s="11"/>
      <c r="D31" s="2">
        <f>--77.17</f>
        <v>77.17</v>
      </c>
      <c r="E31" s="2"/>
      <c r="F31" s="21"/>
      <c r="G31" s="2"/>
      <c r="H31" s="2"/>
      <c r="I31" s="2"/>
      <c r="J31" s="21"/>
      <c r="K31" s="2"/>
      <c r="L31" s="2">
        <f t="shared" si="0"/>
        <v>77.17</v>
      </c>
      <c r="M31" s="2"/>
      <c r="N31" s="21">
        <f t="shared" si="1"/>
        <v>0</v>
      </c>
      <c r="O31" s="11"/>
      <c r="P31" s="2">
        <f>--82.15</f>
        <v>82.15</v>
      </c>
      <c r="Q31" s="2"/>
      <c r="R31" s="21"/>
      <c r="S31" s="2"/>
      <c r="T31" s="2"/>
      <c r="U31" s="2"/>
      <c r="V31" s="21"/>
      <c r="W31" s="2"/>
      <c r="X31" s="2">
        <f t="shared" si="2"/>
        <v>82.15</v>
      </c>
      <c r="Y31" s="2"/>
      <c r="Z31" s="21">
        <f t="shared" si="3"/>
        <v>0</v>
      </c>
    </row>
    <row r="32" spans="1:26" s="24" customFormat="1" hidden="1" outlineLevel="1" x14ac:dyDescent="0.25">
      <c r="A32" s="46"/>
      <c r="B32" s="11" t="str">
        <f>CONCATENATE("          ", "4126", " - ", "NON-TAXABLE SALES-WRITING INST")</f>
        <v xml:space="preserve">          4126 - NON-TAXABLE SALES-WRITING INST</v>
      </c>
      <c r="C32" s="11"/>
      <c r="D32" s="2">
        <f>--844.09</f>
        <v>844.09</v>
      </c>
      <c r="E32" s="2"/>
      <c r="F32" s="21"/>
      <c r="G32" s="2"/>
      <c r="H32" s="2"/>
      <c r="I32" s="2"/>
      <c r="J32" s="21"/>
      <c r="K32" s="2"/>
      <c r="L32" s="2">
        <f t="shared" si="0"/>
        <v>844.09</v>
      </c>
      <c r="M32" s="2"/>
      <c r="N32" s="21">
        <f t="shared" si="1"/>
        <v>0</v>
      </c>
      <c r="O32" s="11"/>
      <c r="P32" s="2">
        <f>--1011.12</f>
        <v>1011.12</v>
      </c>
      <c r="Q32" s="2"/>
      <c r="R32" s="21"/>
      <c r="S32" s="2"/>
      <c r="T32" s="2"/>
      <c r="U32" s="2"/>
      <c r="V32" s="21"/>
      <c r="W32" s="2"/>
      <c r="X32" s="2">
        <f t="shared" si="2"/>
        <v>1011.12</v>
      </c>
      <c r="Y32" s="2"/>
      <c r="Z32" s="21">
        <f t="shared" si="3"/>
        <v>0</v>
      </c>
    </row>
    <row r="33" spans="1:26" s="24" customFormat="1" hidden="1" outlineLevel="1" x14ac:dyDescent="0.25">
      <c r="A33" s="46"/>
      <c r="B33" s="11" t="str">
        <f>CONCATENATE("          ", "4127", " - ", "NON-TAXABLE SALES-SCHOOL SUPPL")</f>
        <v xml:space="preserve">          4127 - NON-TAXABLE SALES-SCHOOL SUPPL</v>
      </c>
      <c r="C33" s="11"/>
      <c r="D33" s="2">
        <f>--1692.39</f>
        <v>1692.39</v>
      </c>
      <c r="E33" s="2"/>
      <c r="F33" s="21"/>
      <c r="G33" s="2"/>
      <c r="H33" s="2"/>
      <c r="I33" s="2"/>
      <c r="J33" s="21"/>
      <c r="K33" s="2"/>
      <c r="L33" s="2">
        <f t="shared" si="0"/>
        <v>1692.39</v>
      </c>
      <c r="M33" s="2"/>
      <c r="N33" s="21">
        <f t="shared" si="1"/>
        <v>0</v>
      </c>
      <c r="O33" s="11"/>
      <c r="P33" s="2">
        <f>--1870.28</f>
        <v>1870.28</v>
      </c>
      <c r="Q33" s="2"/>
      <c r="R33" s="21"/>
      <c r="S33" s="2"/>
      <c r="T33" s="2"/>
      <c r="U33" s="2"/>
      <c r="V33" s="21"/>
      <c r="W33" s="2"/>
      <c r="X33" s="2">
        <f t="shared" si="2"/>
        <v>1870.28</v>
      </c>
      <c r="Y33" s="2"/>
      <c r="Z33" s="21">
        <f t="shared" si="3"/>
        <v>0</v>
      </c>
    </row>
    <row r="34" spans="1:26" s="24" customFormat="1" hidden="1" outlineLevel="1" x14ac:dyDescent="0.25">
      <c r="A34" s="46"/>
      <c r="B34" s="11" t="str">
        <f>CONCATENATE("          ", "4128", " - ", "NON-TAXABLE SALES-ART/TECH")</f>
        <v xml:space="preserve">          4128 - NON-TAXABLE SALES-ART/TECH</v>
      </c>
      <c r="C34" s="11"/>
      <c r="D34" s="2">
        <f>--128.61</f>
        <v>128.61000000000001</v>
      </c>
      <c r="E34" s="2"/>
      <c r="F34" s="21"/>
      <c r="G34" s="2"/>
      <c r="H34" s="2"/>
      <c r="I34" s="2"/>
      <c r="J34" s="21"/>
      <c r="K34" s="2"/>
      <c r="L34" s="2">
        <f t="shared" si="0"/>
        <v>128.61000000000001</v>
      </c>
      <c r="M34" s="2"/>
      <c r="N34" s="21">
        <f t="shared" si="1"/>
        <v>0</v>
      </c>
      <c r="O34" s="11"/>
      <c r="P34" s="2">
        <f>--130.1</f>
        <v>130.1</v>
      </c>
      <c r="Q34" s="2"/>
      <c r="R34" s="21"/>
      <c r="S34" s="2"/>
      <c r="T34" s="2"/>
      <c r="U34" s="2"/>
      <c r="V34" s="21"/>
      <c r="W34" s="2"/>
      <c r="X34" s="2">
        <f t="shared" si="2"/>
        <v>130.1</v>
      </c>
      <c r="Y34" s="2"/>
      <c r="Z34" s="21">
        <f t="shared" si="3"/>
        <v>0</v>
      </c>
    </row>
    <row r="35" spans="1:26" s="24" customFormat="1" hidden="1" outlineLevel="1" x14ac:dyDescent="0.25">
      <c r="A35" s="46"/>
      <c r="B35" s="11" t="str">
        <f>CONCATENATE("          ", "4131", " - ", "NON-TAXABLE SALES-FOOD")</f>
        <v xml:space="preserve">          4131 - NON-TAXABLE SALES-FOOD</v>
      </c>
      <c r="C35" s="11"/>
      <c r="D35" s="2">
        <f>--2447.58</f>
        <v>2447.58</v>
      </c>
      <c r="E35" s="2"/>
      <c r="F35" s="21"/>
      <c r="G35" s="2"/>
      <c r="H35" s="2"/>
      <c r="I35" s="2"/>
      <c r="J35" s="21"/>
      <c r="K35" s="2"/>
      <c r="L35" s="2">
        <f t="shared" si="0"/>
        <v>2447.58</v>
      </c>
      <c r="M35" s="2"/>
      <c r="N35" s="21">
        <f t="shared" si="1"/>
        <v>0</v>
      </c>
      <c r="O35" s="11"/>
      <c r="P35" s="2">
        <f>--2717.2</f>
        <v>2717.2</v>
      </c>
      <c r="Q35" s="2"/>
      <c r="R35" s="21"/>
      <c r="S35" s="2"/>
      <c r="T35" s="2"/>
      <c r="U35" s="2"/>
      <c r="V35" s="21"/>
      <c r="W35" s="2"/>
      <c r="X35" s="2">
        <f t="shared" si="2"/>
        <v>2717.2</v>
      </c>
      <c r="Y35" s="2"/>
      <c r="Z35" s="21">
        <f t="shared" si="3"/>
        <v>0</v>
      </c>
    </row>
    <row r="36" spans="1:26" s="24" customFormat="1" hidden="1" outlineLevel="1" x14ac:dyDescent="0.25">
      <c r="A36" s="46"/>
      <c r="B36" s="11" t="str">
        <f>CONCATENATE("          ", "4132", " - ", "NON-TAXABLE SALES-JUICE")</f>
        <v xml:space="preserve">          4132 - NON-TAXABLE SALES-JUICE</v>
      </c>
      <c r="C36" s="11"/>
      <c r="D36" s="2">
        <f>--713.6</f>
        <v>713.6</v>
      </c>
      <c r="E36" s="2"/>
      <c r="F36" s="21"/>
      <c r="G36" s="2"/>
      <c r="H36" s="2"/>
      <c r="I36" s="2"/>
      <c r="J36" s="21"/>
      <c r="K36" s="2"/>
      <c r="L36" s="2">
        <f t="shared" si="0"/>
        <v>713.6</v>
      </c>
      <c r="M36" s="2"/>
      <c r="N36" s="21">
        <f t="shared" si="1"/>
        <v>0</v>
      </c>
      <c r="O36" s="11"/>
      <c r="P36" s="2">
        <f>--758.91</f>
        <v>758.91</v>
      </c>
      <c r="Q36" s="2"/>
      <c r="R36" s="21"/>
      <c r="S36" s="2"/>
      <c r="T36" s="2"/>
      <c r="U36" s="2"/>
      <c r="V36" s="21"/>
      <c r="W36" s="2"/>
      <c r="X36" s="2">
        <f t="shared" si="2"/>
        <v>758.91</v>
      </c>
      <c r="Y36" s="2"/>
      <c r="Z36" s="21">
        <f t="shared" si="3"/>
        <v>0</v>
      </c>
    </row>
    <row r="37" spans="1:26" s="24" customFormat="1" hidden="1" outlineLevel="1" x14ac:dyDescent="0.25">
      <c r="A37" s="46"/>
      <c r="B37" s="11" t="str">
        <f>CONCATENATE("          ", "4133", " - ", "NON-TAXABLE SALES-CANDY")</f>
        <v xml:space="preserve">          4133 - NON-TAXABLE SALES-CANDY</v>
      </c>
      <c r="C37" s="11"/>
      <c r="D37" s="2">
        <f>--900.13</f>
        <v>900.13</v>
      </c>
      <c r="E37" s="2"/>
      <c r="F37" s="21"/>
      <c r="G37" s="2"/>
      <c r="H37" s="2"/>
      <c r="I37" s="2"/>
      <c r="J37" s="21"/>
      <c r="K37" s="2"/>
      <c r="L37" s="2">
        <f t="shared" si="0"/>
        <v>900.13</v>
      </c>
      <c r="M37" s="2"/>
      <c r="N37" s="21">
        <f t="shared" si="1"/>
        <v>0</v>
      </c>
      <c r="O37" s="11"/>
      <c r="P37" s="2">
        <f>--1372.35</f>
        <v>1372.35</v>
      </c>
      <c r="Q37" s="2"/>
      <c r="R37" s="21"/>
      <c r="S37" s="2"/>
      <c r="T37" s="2"/>
      <c r="U37" s="2"/>
      <c r="V37" s="21"/>
      <c r="W37" s="2"/>
      <c r="X37" s="2">
        <f t="shared" si="2"/>
        <v>1372.35</v>
      </c>
      <c r="Y37" s="2"/>
      <c r="Z37" s="21">
        <f t="shared" si="3"/>
        <v>0</v>
      </c>
    </row>
    <row r="38" spans="1:26" s="24" customFormat="1" hidden="1" outlineLevel="1" x14ac:dyDescent="0.25">
      <c r="A38" s="46"/>
      <c r="B38" s="11" t="str">
        <f>CONCATENATE("          ", "4135", " - ", "NON-TAXABLE SALES")</f>
        <v xml:space="preserve">          4135 - NON-TAXABLE SALES</v>
      </c>
      <c r="C38" s="11"/>
      <c r="D38" s="2">
        <f>--32.21</f>
        <v>32.21</v>
      </c>
      <c r="E38" s="2"/>
      <c r="F38" s="21"/>
      <c r="G38" s="2"/>
      <c r="H38" s="2"/>
      <c r="I38" s="2"/>
      <c r="J38" s="21"/>
      <c r="K38" s="2"/>
      <c r="L38" s="2">
        <f t="shared" si="0"/>
        <v>32.21</v>
      </c>
      <c r="M38" s="2"/>
      <c r="N38" s="21">
        <f t="shared" si="1"/>
        <v>0</v>
      </c>
      <c r="O38" s="11"/>
      <c r="P38" s="2">
        <f>--53.75</f>
        <v>53.75</v>
      </c>
      <c r="Q38" s="2"/>
      <c r="R38" s="21"/>
      <c r="S38" s="2"/>
      <c r="T38" s="2"/>
      <c r="U38" s="2"/>
      <c r="V38" s="21"/>
      <c r="W38" s="2"/>
      <c r="X38" s="2">
        <f t="shared" si="2"/>
        <v>53.75</v>
      </c>
      <c r="Y38" s="2"/>
      <c r="Z38" s="21">
        <f t="shared" si="3"/>
        <v>0</v>
      </c>
    </row>
    <row r="39" spans="1:26" s="24" customFormat="1" hidden="1" outlineLevel="1" x14ac:dyDescent="0.25">
      <c r="A39" s="46"/>
      <c r="B39" s="11" t="str">
        <f>CONCATENATE("          ", "4137", " - ", "NON-TAXABLE SALES-WATER")</f>
        <v xml:space="preserve">          4137 - NON-TAXABLE SALES-WATER</v>
      </c>
      <c r="C39" s="11"/>
      <c r="D39" s="2">
        <f>--522.2</f>
        <v>522.20000000000005</v>
      </c>
      <c r="E39" s="2"/>
      <c r="F39" s="21"/>
      <c r="G39" s="2"/>
      <c r="H39" s="2"/>
      <c r="I39" s="2"/>
      <c r="J39" s="21"/>
      <c r="K39" s="2"/>
      <c r="L39" s="2">
        <f t="shared" si="0"/>
        <v>522.20000000000005</v>
      </c>
      <c r="M39" s="2"/>
      <c r="N39" s="21">
        <f t="shared" si="1"/>
        <v>0</v>
      </c>
      <c r="O39" s="11"/>
      <c r="P39" s="2">
        <f>--552.72</f>
        <v>552.72</v>
      </c>
      <c r="Q39" s="2"/>
      <c r="R39" s="21"/>
      <c r="S39" s="2"/>
      <c r="T39" s="2"/>
      <c r="U39" s="2"/>
      <c r="V39" s="21"/>
      <c r="W39" s="2"/>
      <c r="X39" s="2">
        <f t="shared" si="2"/>
        <v>552.72</v>
      </c>
      <c r="Y39" s="2"/>
      <c r="Z39" s="21">
        <f t="shared" si="3"/>
        <v>0</v>
      </c>
    </row>
    <row r="40" spans="1:26" s="24" customFormat="1" hidden="1" outlineLevel="1" x14ac:dyDescent="0.25">
      <c r="A40" s="46"/>
      <c r="B40" s="11" t="str">
        <f>CONCATENATE("          ", "4225", " - ", "SALES RETURN TAXABLE-TEST FORM")</f>
        <v xml:space="preserve">          4225 - SALES RETURN TAXABLE-TEST FORM</v>
      </c>
      <c r="C40" s="11"/>
      <c r="D40" s="2">
        <f>-8.61</f>
        <v>-8.61</v>
      </c>
      <c r="E40" s="2"/>
      <c r="F40" s="21"/>
      <c r="G40" s="2"/>
      <c r="H40" s="2"/>
      <c r="I40" s="2"/>
      <c r="J40" s="21"/>
      <c r="K40" s="2"/>
      <c r="L40" s="2">
        <f t="shared" si="0"/>
        <v>-8.61</v>
      </c>
      <c r="M40" s="2"/>
      <c r="N40" s="21">
        <f t="shared" si="1"/>
        <v>0</v>
      </c>
      <c r="O40" s="11"/>
      <c r="P40" s="2">
        <f>-12.69</f>
        <v>-12.69</v>
      </c>
      <c r="Q40" s="2"/>
      <c r="R40" s="21"/>
      <c r="S40" s="2"/>
      <c r="T40" s="2"/>
      <c r="U40" s="2"/>
      <c r="V40" s="21"/>
      <c r="W40" s="2"/>
      <c r="X40" s="2">
        <f t="shared" si="2"/>
        <v>-12.69</v>
      </c>
      <c r="Y40" s="2"/>
      <c r="Z40" s="21">
        <f t="shared" si="3"/>
        <v>0</v>
      </c>
    </row>
    <row r="41" spans="1:26" s="24" customFormat="1" hidden="1" outlineLevel="1" x14ac:dyDescent="0.25">
      <c r="A41" s="46"/>
      <c r="B41" s="11" t="str">
        <f>CONCATENATE("          ", "4226", " - ", "SALES RETURN TAXABLE-WRITING I")</f>
        <v xml:space="preserve">          4226 - SALES RETURN TAXABLE-WRITING I</v>
      </c>
      <c r="C41" s="11"/>
      <c r="D41" s="2">
        <f>-60.28</f>
        <v>-60.28</v>
      </c>
      <c r="E41" s="2"/>
      <c r="F41" s="21"/>
      <c r="G41" s="2"/>
      <c r="H41" s="2"/>
      <c r="I41" s="2"/>
      <c r="J41" s="21"/>
      <c r="K41" s="2"/>
      <c r="L41" s="2">
        <f t="shared" si="0"/>
        <v>-60.28</v>
      </c>
      <c r="M41" s="2"/>
      <c r="N41" s="21">
        <f t="shared" si="1"/>
        <v>0</v>
      </c>
      <c r="O41" s="11"/>
      <c r="P41" s="2">
        <f>-124.21</f>
        <v>-124.21</v>
      </c>
      <c r="Q41" s="2"/>
      <c r="R41" s="21"/>
      <c r="S41" s="2"/>
      <c r="T41" s="2"/>
      <c r="U41" s="2"/>
      <c r="V41" s="21"/>
      <c r="W41" s="2"/>
      <c r="X41" s="2">
        <f t="shared" si="2"/>
        <v>-124.21</v>
      </c>
      <c r="Y41" s="2"/>
      <c r="Z41" s="21">
        <f t="shared" si="3"/>
        <v>0</v>
      </c>
    </row>
    <row r="42" spans="1:26" s="24" customFormat="1" hidden="1" outlineLevel="1" x14ac:dyDescent="0.25">
      <c r="A42" s="46"/>
      <c r="B42" s="11" t="str">
        <f>CONCATENATE("          ", "4227", " - ", "SALES RETURN TAXABLE-SCHOOL SU")</f>
        <v xml:space="preserve">          4227 - SALES RETURN TAXABLE-SCHOOL SU</v>
      </c>
      <c r="C42" s="11"/>
      <c r="D42" s="2">
        <f>-1531.15</f>
        <v>-1531.15</v>
      </c>
      <c r="E42" s="2"/>
      <c r="F42" s="21"/>
      <c r="G42" s="2"/>
      <c r="H42" s="2"/>
      <c r="I42" s="2"/>
      <c r="J42" s="21"/>
      <c r="K42" s="2"/>
      <c r="L42" s="2">
        <f t="shared" si="0"/>
        <v>-1531.15</v>
      </c>
      <c r="M42" s="2"/>
      <c r="N42" s="21">
        <f t="shared" si="1"/>
        <v>0</v>
      </c>
      <c r="O42" s="11"/>
      <c r="P42" s="2">
        <f>-1696.59</f>
        <v>-1696.59</v>
      </c>
      <c r="Q42" s="2"/>
      <c r="R42" s="21"/>
      <c r="S42" s="2"/>
      <c r="T42" s="2"/>
      <c r="U42" s="2"/>
      <c r="V42" s="21"/>
      <c r="W42" s="2"/>
      <c r="X42" s="2">
        <f t="shared" si="2"/>
        <v>-1696.59</v>
      </c>
      <c r="Y42" s="2"/>
      <c r="Z42" s="21">
        <f t="shared" si="3"/>
        <v>0</v>
      </c>
    </row>
    <row r="43" spans="1:26" s="24" customFormat="1" hidden="1" outlineLevel="1" x14ac:dyDescent="0.25">
      <c r="A43" s="46"/>
      <c r="B43" s="11" t="str">
        <f>CONCATENATE("          ", "4228", " - ", "SALES RETURN TAXABLE-ART/TECH")</f>
        <v xml:space="preserve">          4228 - SALES RETURN TAXABLE-ART/TECH</v>
      </c>
      <c r="C43" s="11"/>
      <c r="D43" s="2">
        <f>-858.36</f>
        <v>-858.36</v>
      </c>
      <c r="E43" s="2"/>
      <c r="F43" s="21"/>
      <c r="G43" s="2"/>
      <c r="H43" s="2"/>
      <c r="I43" s="2"/>
      <c r="J43" s="21"/>
      <c r="K43" s="2"/>
      <c r="L43" s="2">
        <f t="shared" si="0"/>
        <v>-858.36</v>
      </c>
      <c r="M43" s="2"/>
      <c r="N43" s="21">
        <f t="shared" si="1"/>
        <v>0</v>
      </c>
      <c r="O43" s="11"/>
      <c r="P43" s="2">
        <f>-868.73</f>
        <v>-868.73</v>
      </c>
      <c r="Q43" s="2"/>
      <c r="R43" s="21"/>
      <c r="S43" s="2"/>
      <c r="T43" s="2"/>
      <c r="U43" s="2"/>
      <c r="V43" s="21"/>
      <c r="W43" s="2"/>
      <c r="X43" s="2">
        <f t="shared" si="2"/>
        <v>-868.73</v>
      </c>
      <c r="Y43" s="2"/>
      <c r="Z43" s="21">
        <f t="shared" si="3"/>
        <v>0</v>
      </c>
    </row>
    <row r="44" spans="1:26" s="24" customFormat="1" hidden="1" outlineLevel="1" x14ac:dyDescent="0.25">
      <c r="A44" s="46"/>
      <c r="B44" s="11" t="str">
        <f>CONCATENATE("          ", "4327", " - ", "SALES RETURN NON TAXABLE-SCHOO")</f>
        <v xml:space="preserve">          4327 - SALES RETURN NON TAXABLE-SCHOO</v>
      </c>
      <c r="C44" s="11"/>
      <c r="D44" s="2">
        <f>-13.58</f>
        <v>-13.58</v>
      </c>
      <c r="E44" s="2"/>
      <c r="F44" s="21"/>
      <c r="G44" s="2"/>
      <c r="H44" s="2"/>
      <c r="I44" s="2"/>
      <c r="J44" s="21"/>
      <c r="K44" s="2"/>
      <c r="L44" s="2">
        <f t="shared" si="0"/>
        <v>-13.58</v>
      </c>
      <c r="M44" s="2"/>
      <c r="N44" s="21">
        <f t="shared" si="1"/>
        <v>0</v>
      </c>
      <c r="O44" s="11"/>
      <c r="P44" s="2">
        <f>-13.58</f>
        <v>-13.58</v>
      </c>
      <c r="Q44" s="2"/>
      <c r="R44" s="21"/>
      <c r="S44" s="2"/>
      <c r="T44" s="2"/>
      <c r="U44" s="2"/>
      <c r="V44" s="21"/>
      <c r="W44" s="2"/>
      <c r="X44" s="2">
        <f t="shared" si="2"/>
        <v>-13.58</v>
      </c>
      <c r="Y44" s="2"/>
      <c r="Z44" s="21">
        <f t="shared" si="3"/>
        <v>0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collapsed="1" x14ac:dyDescent="0.25">
      <c r="A46" s="10"/>
      <c r="B46" s="28" t="s">
        <v>8</v>
      </c>
      <c r="C46" s="10"/>
      <c r="D46" s="4">
        <f>SUM(OSRRefD16x_0)</f>
        <v>62562.200000000004</v>
      </c>
      <c r="E46" s="4"/>
      <c r="F46" s="12">
        <f t="shared" ref="F46:F68" si="4">IF(D$12=0,0,D46/D$12)</f>
        <v>0.46922038279866746</v>
      </c>
      <c r="G46" s="4"/>
      <c r="H46" s="4">
        <f>SUM(OSRRefH16x_0)</f>
        <v>69057</v>
      </c>
      <c r="I46" s="4"/>
      <c r="J46" s="12">
        <f t="shared" ref="J46:J68" si="5">IF(H$12=0,0,H46/H$12)</f>
        <v>0.47789649970242626</v>
      </c>
      <c r="K46" s="4"/>
      <c r="L46" s="4">
        <f t="shared" ref="L46:L68" si="6">+D46-H46</f>
        <v>-6494.7999999999956</v>
      </c>
      <c r="M46" s="4"/>
      <c r="N46" s="12">
        <f t="shared" ref="N46:N68" si="7">IF(H46=0,0,L46/H46)</f>
        <v>-9.4049842883415086E-2</v>
      </c>
      <c r="O46" s="10"/>
      <c r="P46" s="4">
        <f>SUM(OSRRefP16x_0)</f>
        <v>72075.780000000013</v>
      </c>
      <c r="Q46" s="4"/>
      <c r="R46" s="12">
        <f t="shared" ref="R46:R68" si="8">IF(P$12=0,0,P46/P$12)</f>
        <v>0.47386785926010605</v>
      </c>
      <c r="S46" s="4"/>
      <c r="T46" s="4">
        <f>SUM(OSRRefT16x_0)</f>
        <v>78242</v>
      </c>
      <c r="U46" s="4"/>
      <c r="V46" s="12">
        <f t="shared" ref="V46:V68" si="9">IF(T$12=0,0,T46/T$12)</f>
        <v>0.48067577945016127</v>
      </c>
      <c r="W46" s="4"/>
      <c r="X46" s="4">
        <f t="shared" ref="X46:X68" si="10">+P46-T46</f>
        <v>-6166.2199999999866</v>
      </c>
      <c r="Y46" s="4"/>
      <c r="Z46" s="12">
        <f t="shared" ref="Z46:Z68" si="11">IF(T46=0,0,X46/T46)</f>
        <v>-7.880959075688232E-2</v>
      </c>
    </row>
    <row r="47" spans="1:26" s="24" customFormat="1" hidden="1" outlineLevel="1" x14ac:dyDescent="0.25">
      <c r="A47" s="46"/>
      <c r="B47" s="11" t="str">
        <f>CONCATENATE("          ", "5000", " - ", "PURCHASES @ COST")</f>
        <v xml:space="preserve">          5000 - PURCHASES @ COST</v>
      </c>
      <c r="C47" s="11"/>
      <c r="D47" s="2"/>
      <c r="E47" s="2"/>
      <c r="F47" s="21">
        <f t="shared" si="4"/>
        <v>0</v>
      </c>
      <c r="G47" s="2"/>
      <c r="H47" s="2">
        <v>69057</v>
      </c>
      <c r="I47" s="2"/>
      <c r="J47" s="21">
        <f t="shared" si="5"/>
        <v>0.47789649970242626</v>
      </c>
      <c r="K47" s="2"/>
      <c r="L47" s="2">
        <f t="shared" si="6"/>
        <v>-69057</v>
      </c>
      <c r="M47" s="2"/>
      <c r="N47" s="21">
        <f t="shared" si="7"/>
        <v>-1</v>
      </c>
      <c r="O47" s="11"/>
      <c r="P47" s="2"/>
      <c r="Q47" s="2"/>
      <c r="R47" s="21">
        <f t="shared" si="8"/>
        <v>0</v>
      </c>
      <c r="S47" s="2"/>
      <c r="T47" s="2">
        <v>78242</v>
      </c>
      <c r="U47" s="2"/>
      <c r="V47" s="21">
        <f t="shared" si="9"/>
        <v>0.48067577945016127</v>
      </c>
      <c r="W47" s="2"/>
      <c r="X47" s="2">
        <f t="shared" si="10"/>
        <v>-78242</v>
      </c>
      <c r="Y47" s="2"/>
      <c r="Z47" s="21">
        <f t="shared" si="11"/>
        <v>-1</v>
      </c>
    </row>
    <row r="48" spans="1:26" s="24" customFormat="1" hidden="1" outlineLevel="1" x14ac:dyDescent="0.25">
      <c r="A48" s="46"/>
      <c r="B48" s="11" t="str">
        <f>CONCATENATE("          ", "5017", " - ", "PURCHASES @ COST-DORM/HOUSEWAR")</f>
        <v xml:space="preserve">          5017 - PURCHASES @ COST-DORM/HOUSEWAR</v>
      </c>
      <c r="C48" s="11"/>
      <c r="D48" s="2">
        <v>139.86000000000001</v>
      </c>
      <c r="E48" s="2"/>
      <c r="F48" s="21">
        <f t="shared" si="4"/>
        <v>1.0489586801330777E-3</v>
      </c>
      <c r="G48" s="2"/>
      <c r="H48" s="2"/>
      <c r="I48" s="2"/>
      <c r="J48" s="21">
        <f t="shared" si="5"/>
        <v>0</v>
      </c>
      <c r="K48" s="2"/>
      <c r="L48" s="2">
        <f t="shared" si="6"/>
        <v>139.86000000000001</v>
      </c>
      <c r="M48" s="2"/>
      <c r="N48" s="21">
        <f t="shared" si="7"/>
        <v>0</v>
      </c>
      <c r="O48" s="11"/>
      <c r="P48" s="2">
        <v>139.86000000000001</v>
      </c>
      <c r="Q48" s="2"/>
      <c r="R48" s="21">
        <f t="shared" si="8"/>
        <v>9.1952052126412546E-4</v>
      </c>
      <c r="S48" s="2"/>
      <c r="T48" s="2"/>
      <c r="U48" s="2"/>
      <c r="V48" s="21">
        <f t="shared" si="9"/>
        <v>0</v>
      </c>
      <c r="W48" s="2"/>
      <c r="X48" s="2">
        <f t="shared" si="10"/>
        <v>139.86000000000001</v>
      </c>
      <c r="Y48" s="2"/>
      <c r="Z48" s="21">
        <f t="shared" si="11"/>
        <v>0</v>
      </c>
    </row>
    <row r="49" spans="1:26" s="24" customFormat="1" hidden="1" outlineLevel="1" x14ac:dyDescent="0.25">
      <c r="A49" s="46"/>
      <c r="B49" s="11" t="str">
        <f>CONCATENATE("          ", "5025", " - ", "PURCHASES @ COST-TEST FORMS")</f>
        <v xml:space="preserve">          5025 - PURCHASES @ COST-TEST FORMS</v>
      </c>
      <c r="C49" s="11"/>
      <c r="D49" s="2">
        <v>878.02</v>
      </c>
      <c r="E49" s="2"/>
      <c r="F49" s="21">
        <f t="shared" si="4"/>
        <v>6.5852044925671727E-3</v>
      </c>
      <c r="G49" s="2"/>
      <c r="H49" s="2"/>
      <c r="I49" s="2"/>
      <c r="J49" s="21">
        <f t="shared" si="5"/>
        <v>0</v>
      </c>
      <c r="K49" s="2"/>
      <c r="L49" s="2">
        <f t="shared" si="6"/>
        <v>878.02</v>
      </c>
      <c r="M49" s="2"/>
      <c r="N49" s="21">
        <f t="shared" si="7"/>
        <v>0</v>
      </c>
      <c r="O49" s="11"/>
      <c r="P49" s="2">
        <v>1757.14</v>
      </c>
      <c r="Q49" s="2"/>
      <c r="R49" s="21">
        <f t="shared" si="8"/>
        <v>1.1552454516902941E-2</v>
      </c>
      <c r="S49" s="2"/>
      <c r="T49" s="2"/>
      <c r="U49" s="2"/>
      <c r="V49" s="21">
        <f t="shared" si="9"/>
        <v>0</v>
      </c>
      <c r="W49" s="2"/>
      <c r="X49" s="2">
        <f t="shared" si="10"/>
        <v>1757.14</v>
      </c>
      <c r="Y49" s="2"/>
      <c r="Z49" s="21">
        <f t="shared" si="11"/>
        <v>0</v>
      </c>
    </row>
    <row r="50" spans="1:26" s="24" customFormat="1" hidden="1" outlineLevel="1" x14ac:dyDescent="0.25">
      <c r="A50" s="46"/>
      <c r="B50" s="11" t="str">
        <f>CONCATENATE("          ", "5026", " - ", "PURCHASES @ COST-WRITING INSTR")</f>
        <v xml:space="preserve">          5026 - PURCHASES @ COST-WRITING INSTR</v>
      </c>
      <c r="C50" s="11"/>
      <c r="D50" s="2">
        <v>2184.39</v>
      </c>
      <c r="E50" s="2"/>
      <c r="F50" s="21">
        <f t="shared" si="4"/>
        <v>1.6383060569826205E-2</v>
      </c>
      <c r="G50" s="2"/>
      <c r="H50" s="2"/>
      <c r="I50" s="2"/>
      <c r="J50" s="21">
        <f t="shared" si="5"/>
        <v>0</v>
      </c>
      <c r="K50" s="2"/>
      <c r="L50" s="2">
        <f t="shared" si="6"/>
        <v>2184.39</v>
      </c>
      <c r="M50" s="2"/>
      <c r="N50" s="21">
        <f t="shared" si="7"/>
        <v>0</v>
      </c>
      <c r="O50" s="11"/>
      <c r="P50" s="2">
        <v>12590.15</v>
      </c>
      <c r="Q50" s="2"/>
      <c r="R50" s="21">
        <f t="shared" si="8"/>
        <v>8.2774927004100718E-2</v>
      </c>
      <c r="S50" s="2"/>
      <c r="T50" s="2"/>
      <c r="U50" s="2"/>
      <c r="V50" s="21">
        <f t="shared" si="9"/>
        <v>0</v>
      </c>
      <c r="W50" s="2"/>
      <c r="X50" s="2">
        <f t="shared" si="10"/>
        <v>12590.15</v>
      </c>
      <c r="Y50" s="2"/>
      <c r="Z50" s="21">
        <f t="shared" si="11"/>
        <v>0</v>
      </c>
    </row>
    <row r="51" spans="1:26" s="24" customFormat="1" hidden="1" outlineLevel="1" x14ac:dyDescent="0.25">
      <c r="A51" s="46"/>
      <c r="B51" s="11" t="str">
        <f>CONCATENATE("          ", "5027", " - ", "PURCHASES @ COST-SCHOOL SUPPLI")</f>
        <v xml:space="preserve">          5027 - PURCHASES @ COST-SCHOOL SUPPLI</v>
      </c>
      <c r="C51" s="11"/>
      <c r="D51" s="2">
        <v>-650.94000000000005</v>
      </c>
      <c r="E51" s="2"/>
      <c r="F51" s="21">
        <f t="shared" si="4"/>
        <v>-4.8820903992980525E-3</v>
      </c>
      <c r="G51" s="2"/>
      <c r="H51" s="2"/>
      <c r="I51" s="2"/>
      <c r="J51" s="21">
        <f t="shared" si="5"/>
        <v>0</v>
      </c>
      <c r="K51" s="2"/>
      <c r="L51" s="2">
        <f t="shared" si="6"/>
        <v>-650.94000000000005</v>
      </c>
      <c r="M51" s="2"/>
      <c r="N51" s="21">
        <f t="shared" si="7"/>
        <v>0</v>
      </c>
      <c r="O51" s="11"/>
      <c r="P51" s="2">
        <v>49463.21</v>
      </c>
      <c r="Q51" s="2"/>
      <c r="R51" s="21">
        <f t="shared" si="8"/>
        <v>0.32519974719431499</v>
      </c>
      <c r="S51" s="2"/>
      <c r="T51" s="2"/>
      <c r="U51" s="2"/>
      <c r="V51" s="21">
        <f t="shared" si="9"/>
        <v>0</v>
      </c>
      <c r="W51" s="2"/>
      <c r="X51" s="2">
        <f t="shared" si="10"/>
        <v>49463.21</v>
      </c>
      <c r="Y51" s="2"/>
      <c r="Z51" s="21">
        <f t="shared" si="11"/>
        <v>0</v>
      </c>
    </row>
    <row r="52" spans="1:26" s="24" customFormat="1" hidden="1" outlineLevel="1" x14ac:dyDescent="0.25">
      <c r="A52" s="46"/>
      <c r="B52" s="11" t="str">
        <f>CONCATENATE("          ", "5028", " - ", "PURCHASES @ COST-ART/TECH")</f>
        <v xml:space="preserve">          5028 - PURCHASES @ COST-ART/TECH</v>
      </c>
      <c r="C52" s="11"/>
      <c r="D52" s="2">
        <v>27987.119999999999</v>
      </c>
      <c r="E52" s="2"/>
      <c r="F52" s="21">
        <f t="shared" si="4"/>
        <v>0.20990513696500826</v>
      </c>
      <c r="G52" s="2"/>
      <c r="H52" s="2"/>
      <c r="I52" s="2"/>
      <c r="J52" s="21">
        <f t="shared" si="5"/>
        <v>0</v>
      </c>
      <c r="K52" s="2"/>
      <c r="L52" s="2">
        <f t="shared" si="6"/>
        <v>27987.119999999999</v>
      </c>
      <c r="M52" s="2"/>
      <c r="N52" s="21">
        <f t="shared" si="7"/>
        <v>0</v>
      </c>
      <c r="O52" s="11"/>
      <c r="P52" s="2">
        <v>56014.77</v>
      </c>
      <c r="Q52" s="2"/>
      <c r="R52" s="21">
        <f t="shared" si="8"/>
        <v>0.36827349141205551</v>
      </c>
      <c r="S52" s="2"/>
      <c r="T52" s="2"/>
      <c r="U52" s="2"/>
      <c r="V52" s="21">
        <f t="shared" si="9"/>
        <v>0</v>
      </c>
      <c r="W52" s="2"/>
      <c r="X52" s="2">
        <f t="shared" si="10"/>
        <v>56014.77</v>
      </c>
      <c r="Y52" s="2"/>
      <c r="Z52" s="21">
        <f t="shared" si="11"/>
        <v>0</v>
      </c>
    </row>
    <row r="53" spans="1:26" s="24" customFormat="1" hidden="1" outlineLevel="1" x14ac:dyDescent="0.25">
      <c r="A53" s="46"/>
      <c r="B53" s="11" t="str">
        <f>CONCATENATE("          ", "5031", " - ", "PURCHASES @ COST-FOOD")</f>
        <v xml:space="preserve">          5031 - PURCHASES @ COST-FOOD</v>
      </c>
      <c r="C53" s="11"/>
      <c r="D53" s="2">
        <v>2679.04</v>
      </c>
      <c r="E53" s="2"/>
      <c r="F53" s="21">
        <f t="shared" si="4"/>
        <v>2.0092966269295867E-2</v>
      </c>
      <c r="G53" s="2"/>
      <c r="H53" s="2"/>
      <c r="I53" s="2"/>
      <c r="J53" s="21">
        <f t="shared" si="5"/>
        <v>0</v>
      </c>
      <c r="K53" s="2"/>
      <c r="L53" s="2">
        <f t="shared" si="6"/>
        <v>2679.04</v>
      </c>
      <c r="M53" s="2"/>
      <c r="N53" s="21">
        <f t="shared" si="7"/>
        <v>0</v>
      </c>
      <c r="O53" s="11"/>
      <c r="P53" s="2">
        <v>2679.04</v>
      </c>
      <c r="Q53" s="2"/>
      <c r="R53" s="21">
        <f t="shared" si="8"/>
        <v>1.7613558253163464E-2</v>
      </c>
      <c r="S53" s="2"/>
      <c r="T53" s="2"/>
      <c r="U53" s="2"/>
      <c r="V53" s="21">
        <f t="shared" si="9"/>
        <v>0</v>
      </c>
      <c r="W53" s="2"/>
      <c r="X53" s="2">
        <f t="shared" si="10"/>
        <v>2679.04</v>
      </c>
      <c r="Y53" s="2"/>
      <c r="Z53" s="21">
        <f t="shared" si="11"/>
        <v>0</v>
      </c>
    </row>
    <row r="54" spans="1:26" s="24" customFormat="1" hidden="1" outlineLevel="1" x14ac:dyDescent="0.25">
      <c r="A54" s="46"/>
      <c r="B54" s="11" t="str">
        <f>CONCATENATE("          ", "5032", " - ", "PURCHASES @ COST-JUICE")</f>
        <v xml:space="preserve">          5032 - PURCHASES @ COST-JUICE</v>
      </c>
      <c r="C54" s="11"/>
      <c r="D54" s="2">
        <v>227.18</v>
      </c>
      <c r="E54" s="2"/>
      <c r="F54" s="21">
        <f t="shared" si="4"/>
        <v>1.7038640994754223E-3</v>
      </c>
      <c r="G54" s="2"/>
      <c r="H54" s="2"/>
      <c r="I54" s="2"/>
      <c r="J54" s="21">
        <f t="shared" si="5"/>
        <v>0</v>
      </c>
      <c r="K54" s="2"/>
      <c r="L54" s="2">
        <f t="shared" si="6"/>
        <v>227.18</v>
      </c>
      <c r="M54" s="2"/>
      <c r="N54" s="21">
        <f t="shared" si="7"/>
        <v>0</v>
      </c>
      <c r="O54" s="11"/>
      <c r="P54" s="2">
        <v>341.6</v>
      </c>
      <c r="Q54" s="2"/>
      <c r="R54" s="21">
        <f t="shared" si="8"/>
        <v>2.2458759478322984E-3</v>
      </c>
      <c r="S54" s="2"/>
      <c r="T54" s="2"/>
      <c r="U54" s="2"/>
      <c r="V54" s="21">
        <f t="shared" si="9"/>
        <v>0</v>
      </c>
      <c r="W54" s="2"/>
      <c r="X54" s="2">
        <f t="shared" si="10"/>
        <v>341.6</v>
      </c>
      <c r="Y54" s="2"/>
      <c r="Z54" s="21">
        <f t="shared" si="11"/>
        <v>0</v>
      </c>
    </row>
    <row r="55" spans="1:26" s="24" customFormat="1" hidden="1" outlineLevel="1" x14ac:dyDescent="0.25">
      <c r="A55" s="46"/>
      <c r="B55" s="11" t="str">
        <f>CONCATENATE("          ", "5033", " - ", "PURCHASES @ COST-CANDY")</f>
        <v xml:space="preserve">          5033 - PURCHASES @ COST-CANDY</v>
      </c>
      <c r="C55" s="11"/>
      <c r="D55" s="2">
        <v>986.46</v>
      </c>
      <c r="E55" s="2"/>
      <c r="F55" s="21">
        <f t="shared" si="4"/>
        <v>7.3985112226803637E-3</v>
      </c>
      <c r="G55" s="2"/>
      <c r="H55" s="2"/>
      <c r="I55" s="2"/>
      <c r="J55" s="21">
        <f t="shared" si="5"/>
        <v>0</v>
      </c>
      <c r="K55" s="2"/>
      <c r="L55" s="2">
        <f t="shared" si="6"/>
        <v>986.46</v>
      </c>
      <c r="M55" s="2"/>
      <c r="N55" s="21">
        <f t="shared" si="7"/>
        <v>0</v>
      </c>
      <c r="O55" s="11"/>
      <c r="P55" s="2">
        <v>986.46</v>
      </c>
      <c r="Q55" s="2"/>
      <c r="R55" s="21">
        <f t="shared" si="8"/>
        <v>6.4855585114129066E-3</v>
      </c>
      <c r="S55" s="2"/>
      <c r="T55" s="2"/>
      <c r="U55" s="2"/>
      <c r="V55" s="21">
        <f t="shared" si="9"/>
        <v>0</v>
      </c>
      <c r="W55" s="2"/>
      <c r="X55" s="2">
        <f t="shared" si="10"/>
        <v>986.46</v>
      </c>
      <c r="Y55" s="2"/>
      <c r="Z55" s="21">
        <f t="shared" si="11"/>
        <v>0</v>
      </c>
    </row>
    <row r="56" spans="1:26" s="24" customFormat="1" hidden="1" outlineLevel="1" x14ac:dyDescent="0.25">
      <c r="A56" s="46"/>
      <c r="B56" s="11" t="str">
        <f>CONCATENATE("          ", "5034", " - ", "PURCHASES @ COST-SODA")</f>
        <v xml:space="preserve">          5034 - PURCHASES @ COST-SODA</v>
      </c>
      <c r="C56" s="11"/>
      <c r="D56" s="2">
        <v>350.04</v>
      </c>
      <c r="E56" s="2"/>
      <c r="F56" s="21">
        <f t="shared" si="4"/>
        <v>2.6253217245372695E-3</v>
      </c>
      <c r="G56" s="2"/>
      <c r="H56" s="2"/>
      <c r="I56" s="2"/>
      <c r="J56" s="21">
        <f t="shared" si="5"/>
        <v>0</v>
      </c>
      <c r="K56" s="2"/>
      <c r="L56" s="2">
        <f t="shared" si="6"/>
        <v>350.04</v>
      </c>
      <c r="M56" s="2"/>
      <c r="N56" s="21">
        <f t="shared" si="7"/>
        <v>0</v>
      </c>
      <c r="O56" s="11"/>
      <c r="P56" s="2">
        <v>288.5</v>
      </c>
      <c r="Q56" s="2"/>
      <c r="R56" s="21">
        <f t="shared" si="8"/>
        <v>1.8967658400164461E-3</v>
      </c>
      <c r="S56" s="2"/>
      <c r="T56" s="2"/>
      <c r="U56" s="2"/>
      <c r="V56" s="21">
        <f t="shared" si="9"/>
        <v>0</v>
      </c>
      <c r="W56" s="2"/>
      <c r="X56" s="2">
        <f t="shared" si="10"/>
        <v>288.5</v>
      </c>
      <c r="Y56" s="2"/>
      <c r="Z56" s="21">
        <f t="shared" si="11"/>
        <v>0</v>
      </c>
    </row>
    <row r="57" spans="1:26" s="24" customFormat="1" hidden="1" outlineLevel="1" x14ac:dyDescent="0.25">
      <c r="A57" s="46"/>
      <c r="B57" s="11" t="str">
        <f>CONCATENATE("          ", "5035", " - ", "PURCHASES @ COST-HEALTH &amp; BEAU")</f>
        <v xml:space="preserve">          5035 - PURCHASES @ COST-HEALTH &amp; BEAU</v>
      </c>
      <c r="C57" s="11"/>
      <c r="D57" s="2">
        <v>76.73</v>
      </c>
      <c r="E57" s="2"/>
      <c r="F57" s="21">
        <f t="shared" si="4"/>
        <v>5.7547976209503112E-4</v>
      </c>
      <c r="G57" s="2"/>
      <c r="H57" s="2"/>
      <c r="I57" s="2"/>
      <c r="J57" s="21">
        <f t="shared" si="5"/>
        <v>0</v>
      </c>
      <c r="K57" s="2"/>
      <c r="L57" s="2">
        <f t="shared" si="6"/>
        <v>76.73</v>
      </c>
      <c r="M57" s="2"/>
      <c r="N57" s="21">
        <f t="shared" si="7"/>
        <v>0</v>
      </c>
      <c r="O57" s="11"/>
      <c r="P57" s="2">
        <v>76.73</v>
      </c>
      <c r="Q57" s="2"/>
      <c r="R57" s="21">
        <f t="shared" si="8"/>
        <v>5.0446739308305686E-4</v>
      </c>
      <c r="S57" s="2"/>
      <c r="T57" s="2"/>
      <c r="U57" s="2"/>
      <c r="V57" s="21">
        <f t="shared" si="9"/>
        <v>0</v>
      </c>
      <c r="W57" s="2"/>
      <c r="X57" s="2">
        <f t="shared" si="10"/>
        <v>76.73</v>
      </c>
      <c r="Y57" s="2"/>
      <c r="Z57" s="21">
        <f t="shared" si="11"/>
        <v>0</v>
      </c>
    </row>
    <row r="58" spans="1:26" s="24" customFormat="1" hidden="1" outlineLevel="1" x14ac:dyDescent="0.25">
      <c r="A58" s="46"/>
      <c r="B58" s="11" t="str">
        <f>CONCATENATE("          ", "5037", " - ", "PURCHASES @ COST-WATER")</f>
        <v xml:space="preserve">          5037 - PURCHASES @ COST-WATER</v>
      </c>
      <c r="C58" s="11"/>
      <c r="D58" s="2">
        <v>449.64</v>
      </c>
      <c r="E58" s="2"/>
      <c r="F58" s="21">
        <f t="shared" si="4"/>
        <v>3.3723279060134206E-3</v>
      </c>
      <c r="G58" s="2"/>
      <c r="H58" s="2"/>
      <c r="I58" s="2"/>
      <c r="J58" s="21">
        <f t="shared" si="5"/>
        <v>0</v>
      </c>
      <c r="K58" s="2"/>
      <c r="L58" s="2">
        <f t="shared" si="6"/>
        <v>449.64</v>
      </c>
      <c r="M58" s="2"/>
      <c r="N58" s="21">
        <f t="shared" si="7"/>
        <v>0</v>
      </c>
      <c r="O58" s="11"/>
      <c r="P58" s="2">
        <v>466.18</v>
      </c>
      <c r="Q58" s="2"/>
      <c r="R58" s="21">
        <f t="shared" si="8"/>
        <v>3.0649369126477186E-3</v>
      </c>
      <c r="S58" s="2"/>
      <c r="T58" s="2"/>
      <c r="U58" s="2"/>
      <c r="V58" s="21">
        <f t="shared" si="9"/>
        <v>0</v>
      </c>
      <c r="W58" s="2"/>
      <c r="X58" s="2">
        <f t="shared" si="10"/>
        <v>466.18</v>
      </c>
      <c r="Y58" s="2"/>
      <c r="Z58" s="21">
        <f t="shared" si="11"/>
        <v>0</v>
      </c>
    </row>
    <row r="59" spans="1:26" s="24" customFormat="1" hidden="1" outlineLevel="1" x14ac:dyDescent="0.25">
      <c r="A59" s="46"/>
      <c r="B59" s="11" t="str">
        <f>CONCATENATE("          ", "5081", " - ", "PURCHASES @ COST-ELECTRONICS")</f>
        <v xml:space="preserve">          5081 - PURCHASES @ COST-ELECTRONICS</v>
      </c>
      <c r="C59" s="11"/>
      <c r="D59" s="2">
        <v>304.16000000000003</v>
      </c>
      <c r="E59" s="2"/>
      <c r="F59" s="21">
        <f t="shared" si="4"/>
        <v>2.2812188770862068E-3</v>
      </c>
      <c r="G59" s="2"/>
      <c r="H59" s="2"/>
      <c r="I59" s="2"/>
      <c r="J59" s="21">
        <f t="shared" si="5"/>
        <v>0</v>
      </c>
      <c r="K59" s="2"/>
      <c r="L59" s="2">
        <f t="shared" si="6"/>
        <v>304.16000000000003</v>
      </c>
      <c r="M59" s="2"/>
      <c r="N59" s="21">
        <f t="shared" si="7"/>
        <v>0</v>
      </c>
      <c r="O59" s="11"/>
      <c r="P59" s="2">
        <v>304.16000000000003</v>
      </c>
      <c r="Q59" s="2"/>
      <c r="R59" s="21">
        <f t="shared" si="8"/>
        <v>1.9997237362197654E-3</v>
      </c>
      <c r="S59" s="2"/>
      <c r="T59" s="2"/>
      <c r="U59" s="2"/>
      <c r="V59" s="21">
        <f t="shared" si="9"/>
        <v>0</v>
      </c>
      <c r="W59" s="2"/>
      <c r="X59" s="2">
        <f t="shared" si="10"/>
        <v>304.16000000000003</v>
      </c>
      <c r="Y59" s="2"/>
      <c r="Z59" s="21">
        <f t="shared" si="11"/>
        <v>0</v>
      </c>
    </row>
    <row r="60" spans="1:26" s="24" customFormat="1" hidden="1" outlineLevel="1" x14ac:dyDescent="0.25">
      <c r="A60" s="46"/>
      <c r="B60" s="11" t="str">
        <f>CONCATENATE("          ", "5082", " - ", "PURCHASES @ COST-COMPUTER HARD")</f>
        <v xml:space="preserve">          5082 - PURCHASES @ COST-COMPUTER HARD</v>
      </c>
      <c r="C60" s="11"/>
      <c r="D60" s="2">
        <v>130.6</v>
      </c>
      <c r="E60" s="2"/>
      <c r="F60" s="21">
        <f t="shared" si="4"/>
        <v>9.7950810542957178E-4</v>
      </c>
      <c r="G60" s="2"/>
      <c r="H60" s="2"/>
      <c r="I60" s="2"/>
      <c r="J60" s="21">
        <f t="shared" si="5"/>
        <v>0</v>
      </c>
      <c r="K60" s="2"/>
      <c r="L60" s="2">
        <f t="shared" si="6"/>
        <v>130.6</v>
      </c>
      <c r="M60" s="2"/>
      <c r="N60" s="21">
        <f t="shared" si="7"/>
        <v>0</v>
      </c>
      <c r="O60" s="11"/>
      <c r="P60" s="2">
        <v>130.6</v>
      </c>
      <c r="Q60" s="2"/>
      <c r="R60" s="21">
        <f t="shared" si="8"/>
        <v>8.5863992619115374E-4</v>
      </c>
      <c r="S60" s="2"/>
      <c r="T60" s="2"/>
      <c r="U60" s="2"/>
      <c r="V60" s="21">
        <f t="shared" si="9"/>
        <v>0</v>
      </c>
      <c r="W60" s="2"/>
      <c r="X60" s="2">
        <f t="shared" si="10"/>
        <v>130.6</v>
      </c>
      <c r="Y60" s="2"/>
      <c r="Z60" s="21">
        <f t="shared" si="11"/>
        <v>0</v>
      </c>
    </row>
    <row r="61" spans="1:26" s="24" customFormat="1" hidden="1" outlineLevel="1" x14ac:dyDescent="0.25">
      <c r="A61" s="46"/>
      <c r="B61" s="11" t="str">
        <f>CONCATENATE("          ", "5083", " - ", "PURCHASES @ COST-COMPUTER EQUI")</f>
        <v xml:space="preserve">          5083 - PURCHASES @ COST-COMPUTER EQUI</v>
      </c>
      <c r="C61" s="11"/>
      <c r="D61" s="2">
        <v>41.5</v>
      </c>
      <c r="E61" s="2"/>
      <c r="F61" s="21">
        <f t="shared" si="4"/>
        <v>3.1125257561506303E-4</v>
      </c>
      <c r="G61" s="2"/>
      <c r="H61" s="2"/>
      <c r="I61" s="2"/>
      <c r="J61" s="21">
        <f t="shared" si="5"/>
        <v>0</v>
      </c>
      <c r="K61" s="2"/>
      <c r="L61" s="2">
        <f t="shared" si="6"/>
        <v>41.5</v>
      </c>
      <c r="M61" s="2"/>
      <c r="N61" s="21">
        <f t="shared" si="7"/>
        <v>0</v>
      </c>
      <c r="O61" s="11"/>
      <c r="P61" s="2">
        <v>41.5</v>
      </c>
      <c r="Q61" s="2"/>
      <c r="R61" s="21">
        <f t="shared" si="8"/>
        <v>2.7284499951709708E-4</v>
      </c>
      <c r="S61" s="2"/>
      <c r="T61" s="2"/>
      <c r="U61" s="2"/>
      <c r="V61" s="21">
        <f t="shared" si="9"/>
        <v>0</v>
      </c>
      <c r="W61" s="2"/>
      <c r="X61" s="2">
        <f t="shared" si="10"/>
        <v>41.5</v>
      </c>
      <c r="Y61" s="2"/>
      <c r="Z61" s="21">
        <f t="shared" si="11"/>
        <v>0</v>
      </c>
    </row>
    <row r="62" spans="1:26" s="24" customFormat="1" hidden="1" outlineLevel="1" x14ac:dyDescent="0.25">
      <c r="A62" s="46"/>
      <c r="B62" s="11" t="str">
        <f>CONCATENATE("          ", "5086", " - ", "PURCHASES @ COST-COMPUTER SUPP")</f>
        <v xml:space="preserve">          5086 - PURCHASES @ COST-COMPUTER SUPP</v>
      </c>
      <c r="C62" s="11"/>
      <c r="D62" s="2">
        <v>58</v>
      </c>
      <c r="E62" s="2"/>
      <c r="F62" s="21">
        <f t="shared" si="4"/>
        <v>4.3500359965478692E-4</v>
      </c>
      <c r="G62" s="2"/>
      <c r="H62" s="2"/>
      <c r="I62" s="2"/>
      <c r="J62" s="21">
        <f t="shared" si="5"/>
        <v>0</v>
      </c>
      <c r="K62" s="2"/>
      <c r="L62" s="2">
        <f t="shared" si="6"/>
        <v>58</v>
      </c>
      <c r="M62" s="2"/>
      <c r="N62" s="21">
        <f t="shared" si="7"/>
        <v>0</v>
      </c>
      <c r="O62" s="11"/>
      <c r="P62" s="2">
        <v>58</v>
      </c>
      <c r="Q62" s="2"/>
      <c r="R62" s="21">
        <f t="shared" si="8"/>
        <v>3.8132554149377426E-4</v>
      </c>
      <c r="S62" s="2"/>
      <c r="T62" s="2"/>
      <c r="U62" s="2"/>
      <c r="V62" s="21">
        <f t="shared" si="9"/>
        <v>0</v>
      </c>
      <c r="W62" s="2"/>
      <c r="X62" s="2">
        <f t="shared" si="10"/>
        <v>58</v>
      </c>
      <c r="Y62" s="2"/>
      <c r="Z62" s="21">
        <f t="shared" si="11"/>
        <v>0</v>
      </c>
    </row>
    <row r="63" spans="1:26" s="24" customFormat="1" hidden="1" outlineLevel="1" x14ac:dyDescent="0.25">
      <c r="A63" s="46"/>
      <c r="B63" s="11" t="str">
        <f>CONCATENATE("          ", "5200", " - ", "PURCHASES OFFSET")</f>
        <v xml:space="preserve">          5200 - PURCHASES OFFSET</v>
      </c>
      <c r="C63" s="11"/>
      <c r="D63" s="2">
        <v>-36126</v>
      </c>
      <c r="E63" s="2"/>
      <c r="F63" s="21">
        <f t="shared" si="4"/>
        <v>-0.27094724208842813</v>
      </c>
      <c r="G63" s="2"/>
      <c r="H63" s="2"/>
      <c r="I63" s="2"/>
      <c r="J63" s="21">
        <f t="shared" si="5"/>
        <v>0</v>
      </c>
      <c r="K63" s="2"/>
      <c r="L63" s="2">
        <f t="shared" si="6"/>
        <v>-36126</v>
      </c>
      <c r="M63" s="2"/>
      <c r="N63" s="21">
        <f t="shared" si="7"/>
        <v>0</v>
      </c>
      <c r="O63" s="11"/>
      <c r="P63" s="2">
        <v>-125955</v>
      </c>
      <c r="Q63" s="2"/>
      <c r="R63" s="21">
        <f t="shared" si="8"/>
        <v>-0.8281010099801438</v>
      </c>
      <c r="S63" s="2"/>
      <c r="T63" s="2"/>
      <c r="U63" s="2"/>
      <c r="V63" s="21">
        <f t="shared" si="9"/>
        <v>0</v>
      </c>
      <c r="W63" s="2"/>
      <c r="X63" s="2">
        <f t="shared" si="10"/>
        <v>-125955</v>
      </c>
      <c r="Y63" s="2"/>
      <c r="Z63" s="21">
        <f t="shared" si="11"/>
        <v>0</v>
      </c>
    </row>
    <row r="64" spans="1:26" s="24" customFormat="1" hidden="1" outlineLevel="1" x14ac:dyDescent="0.25">
      <c r="A64" s="46"/>
      <c r="B64" s="11" t="str">
        <f>CONCATENATE("          ", "5300", " - ", "COG$ OFFSET")</f>
        <v xml:space="preserve">          5300 - COG$ OFFSET</v>
      </c>
      <c r="C64" s="11"/>
      <c r="D64" s="2">
        <v>62563.000000000007</v>
      </c>
      <c r="E64" s="2"/>
      <c r="F64" s="21">
        <f t="shared" si="4"/>
        <v>0.46922638284831786</v>
      </c>
      <c r="G64" s="2"/>
      <c r="H64" s="2"/>
      <c r="I64" s="2"/>
      <c r="J64" s="21">
        <f t="shared" si="5"/>
        <v>0</v>
      </c>
      <c r="K64" s="2"/>
      <c r="L64" s="2">
        <f t="shared" si="6"/>
        <v>62563.000000000007</v>
      </c>
      <c r="M64" s="2"/>
      <c r="N64" s="21">
        <f t="shared" si="7"/>
        <v>0</v>
      </c>
      <c r="O64" s="11"/>
      <c r="P64" s="2">
        <v>72027</v>
      </c>
      <c r="Q64" s="2"/>
      <c r="R64" s="21">
        <f t="shared" si="8"/>
        <v>0.47354715133055308</v>
      </c>
      <c r="S64" s="2"/>
      <c r="T64" s="2"/>
      <c r="U64" s="2"/>
      <c r="V64" s="21">
        <f t="shared" si="9"/>
        <v>0</v>
      </c>
      <c r="W64" s="2"/>
      <c r="X64" s="2">
        <f t="shared" si="10"/>
        <v>72027</v>
      </c>
      <c r="Y64" s="2"/>
      <c r="Z64" s="21">
        <f t="shared" si="11"/>
        <v>0</v>
      </c>
    </row>
    <row r="65" spans="1:26" s="24" customFormat="1" hidden="1" outlineLevel="1" x14ac:dyDescent="0.25">
      <c r="A65" s="46"/>
      <c r="B65" s="11" t="str">
        <f>CONCATENATE("          ", "5500", " - ", "FREIGHT-IN")</f>
        <v xml:space="preserve">          5500 - FREIGHT-IN</v>
      </c>
      <c r="C65" s="11"/>
      <c r="D65" s="2"/>
      <c r="E65" s="2"/>
      <c r="F65" s="21">
        <f t="shared" si="4"/>
        <v>0</v>
      </c>
      <c r="G65" s="2"/>
      <c r="H65" s="2"/>
      <c r="I65" s="2"/>
      <c r="J65" s="21">
        <f t="shared" si="5"/>
        <v>0</v>
      </c>
      <c r="K65" s="2"/>
      <c r="L65" s="2">
        <f t="shared" si="6"/>
        <v>0</v>
      </c>
      <c r="M65" s="2"/>
      <c r="N65" s="21">
        <f t="shared" si="7"/>
        <v>0</v>
      </c>
      <c r="O65" s="11"/>
      <c r="P65" s="2">
        <v>49</v>
      </c>
      <c r="Q65" s="2"/>
      <c r="R65" s="21">
        <f t="shared" si="8"/>
        <v>3.2215433677922306E-4</v>
      </c>
      <c r="S65" s="2"/>
      <c r="T65" s="2"/>
      <c r="U65" s="2"/>
      <c r="V65" s="21">
        <f t="shared" si="9"/>
        <v>0</v>
      </c>
      <c r="W65" s="2"/>
      <c r="X65" s="2">
        <f t="shared" si="10"/>
        <v>49</v>
      </c>
      <c r="Y65" s="2"/>
      <c r="Z65" s="21">
        <f t="shared" si="11"/>
        <v>0</v>
      </c>
    </row>
    <row r="66" spans="1:26" s="24" customFormat="1" hidden="1" outlineLevel="1" x14ac:dyDescent="0.25">
      <c r="A66" s="46"/>
      <c r="B66" s="11" t="str">
        <f>CONCATENATE("          ", "5526", " - ", "FREIGHT-IN-WRITING INSTRUMENTS")</f>
        <v xml:space="preserve">          5526 - FREIGHT-IN-WRITING INSTRUMENTS</v>
      </c>
      <c r="C66" s="11"/>
      <c r="D66" s="2">
        <v>17.46</v>
      </c>
      <c r="E66" s="2"/>
      <c r="F66" s="21">
        <f t="shared" si="4"/>
        <v>1.309510836202169E-4</v>
      </c>
      <c r="G66" s="2"/>
      <c r="H66" s="2"/>
      <c r="I66" s="2"/>
      <c r="J66" s="21">
        <f t="shared" si="5"/>
        <v>0</v>
      </c>
      <c r="K66" s="2"/>
      <c r="L66" s="2">
        <f t="shared" si="6"/>
        <v>17.46</v>
      </c>
      <c r="M66" s="2"/>
      <c r="N66" s="21">
        <f t="shared" si="7"/>
        <v>0</v>
      </c>
      <c r="O66" s="11"/>
      <c r="P66" s="2">
        <v>56.57</v>
      </c>
      <c r="Q66" s="2"/>
      <c r="R66" s="21">
        <f t="shared" si="8"/>
        <v>3.7192389452246226E-4</v>
      </c>
      <c r="S66" s="2"/>
      <c r="T66" s="2"/>
      <c r="U66" s="2"/>
      <c r="V66" s="21">
        <f t="shared" si="9"/>
        <v>0</v>
      </c>
      <c r="W66" s="2"/>
      <c r="X66" s="2">
        <f t="shared" si="10"/>
        <v>56.57</v>
      </c>
      <c r="Y66" s="2"/>
      <c r="Z66" s="21">
        <f t="shared" si="11"/>
        <v>0</v>
      </c>
    </row>
    <row r="67" spans="1:26" s="24" customFormat="1" hidden="1" outlineLevel="1" x14ac:dyDescent="0.25">
      <c r="A67" s="46"/>
      <c r="B67" s="11" t="str">
        <f>CONCATENATE("          ", "5527", " - ", "FREIGHT-IN-SCHOOL SUPPLIES")</f>
        <v xml:space="preserve">          5527 - FREIGHT-IN-SCHOOL SUPPLIES</v>
      </c>
      <c r="C67" s="11"/>
      <c r="D67" s="2">
        <v>10.49</v>
      </c>
      <c r="E67" s="2"/>
      <c r="F67" s="21">
        <f t="shared" si="4"/>
        <v>7.8675651041012321E-5</v>
      </c>
      <c r="G67" s="2"/>
      <c r="H67" s="2"/>
      <c r="I67" s="2"/>
      <c r="J67" s="21">
        <f t="shared" si="5"/>
        <v>0</v>
      </c>
      <c r="K67" s="2"/>
      <c r="L67" s="2">
        <f t="shared" si="6"/>
        <v>10.49</v>
      </c>
      <c r="M67" s="2"/>
      <c r="N67" s="21">
        <f t="shared" si="7"/>
        <v>0</v>
      </c>
      <c r="O67" s="11"/>
      <c r="P67" s="2">
        <v>260.51</v>
      </c>
      <c r="Q67" s="2"/>
      <c r="R67" s="21">
        <f t="shared" si="8"/>
        <v>1.712743393354192E-3</v>
      </c>
      <c r="S67" s="2"/>
      <c r="T67" s="2"/>
      <c r="U67" s="2"/>
      <c r="V67" s="21">
        <f t="shared" si="9"/>
        <v>0</v>
      </c>
      <c r="W67" s="2"/>
      <c r="X67" s="2">
        <f t="shared" si="10"/>
        <v>260.51</v>
      </c>
      <c r="Y67" s="2"/>
      <c r="Z67" s="21">
        <f t="shared" si="11"/>
        <v>0</v>
      </c>
    </row>
    <row r="68" spans="1:26" s="24" customFormat="1" hidden="1" outlineLevel="1" x14ac:dyDescent="0.25">
      <c r="A68" s="46"/>
      <c r="B68" s="11" t="str">
        <f>CONCATENATE("          ", "5528", " - ", "FREIGHT-IN-ART/TECH")</f>
        <v xml:space="preserve">          5528 - FREIGHT-IN-ART/TECH</v>
      </c>
      <c r="C68" s="11"/>
      <c r="D68" s="2">
        <v>255.45</v>
      </c>
      <c r="E68" s="2"/>
      <c r="F68" s="21">
        <f t="shared" si="4"/>
        <v>1.9158908539968157E-3</v>
      </c>
      <c r="G68" s="2"/>
      <c r="H68" s="2"/>
      <c r="I68" s="2"/>
      <c r="J68" s="21">
        <f t="shared" si="5"/>
        <v>0</v>
      </c>
      <c r="K68" s="2"/>
      <c r="L68" s="2">
        <f t="shared" si="6"/>
        <v>255.45</v>
      </c>
      <c r="M68" s="2"/>
      <c r="N68" s="21">
        <f t="shared" si="7"/>
        <v>0</v>
      </c>
      <c r="O68" s="11"/>
      <c r="P68" s="2">
        <v>299.8</v>
      </c>
      <c r="Q68" s="2"/>
      <c r="R68" s="21">
        <f t="shared" si="8"/>
        <v>1.971058574824716E-3</v>
      </c>
      <c r="S68" s="2"/>
      <c r="T68" s="2"/>
      <c r="U68" s="2"/>
      <c r="V68" s="21">
        <f t="shared" si="9"/>
        <v>0</v>
      </c>
      <c r="W68" s="2"/>
      <c r="X68" s="2">
        <f t="shared" si="10"/>
        <v>299.8</v>
      </c>
      <c r="Y68" s="2"/>
      <c r="Z68" s="21">
        <f t="shared" si="11"/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9" t="s">
        <v>6</v>
      </c>
      <c r="C70" s="29"/>
      <c r="D70" s="22">
        <f>D12-D46</f>
        <v>70770.030000000057</v>
      </c>
      <c r="E70" s="14"/>
      <c r="F70" s="20">
        <f>IF(D$12=0,0,D70/D$12)</f>
        <v>0.53077961720133249</v>
      </c>
      <c r="G70" s="14"/>
      <c r="H70" s="22">
        <f>H12-H46</f>
        <v>75445</v>
      </c>
      <c r="I70" s="14"/>
      <c r="J70" s="20">
        <f>IF(H$12=0,0,H70/H$12)</f>
        <v>0.52210350029757369</v>
      </c>
      <c r="K70" s="15"/>
      <c r="L70" s="22">
        <f>+D70-H70</f>
        <v>-4674.969999999943</v>
      </c>
      <c r="M70" s="15"/>
      <c r="N70" s="20">
        <f>IF(H70=0,0,L70/H70)</f>
        <v>-6.1965272715222251E-2</v>
      </c>
      <c r="O70" s="28"/>
      <c r="P70" s="22">
        <f>P12-P46</f>
        <v>80025.230000000054</v>
      </c>
      <c r="Q70" s="14"/>
      <c r="R70" s="20">
        <f>IF(P$12=0,0,P70/P$12)</f>
        <v>0.52613214073989401</v>
      </c>
      <c r="S70" s="14"/>
      <c r="T70" s="22">
        <f>T12-T46</f>
        <v>84533</v>
      </c>
      <c r="U70" s="14"/>
      <c r="V70" s="20">
        <f>IF(T$12=0,0,T70/T$12)</f>
        <v>0.51932422054983873</v>
      </c>
      <c r="W70" s="15"/>
      <c r="X70" s="22">
        <f>+P70-T70</f>
        <v>-4507.7699999999459</v>
      </c>
      <c r="Y70" s="15"/>
      <c r="Z70" s="20">
        <f>IF(T70=0,0,X70/T70)</f>
        <v>-5.332556516389985E-2</v>
      </c>
    </row>
    <row r="71" spans="1:26" x14ac:dyDescent="0.25">
      <c r="A71" s="9"/>
      <c r="B71" s="10"/>
      <c r="C71" s="9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9</v>
      </c>
      <c r="C72" s="10"/>
      <c r="D72" s="19">
        <f>SUM(OSRRefD22x_0)</f>
        <v>18416.98</v>
      </c>
      <c r="E72" s="19"/>
      <c r="F72" s="34">
        <f t="shared" ref="F72:F82" si="12">IF(D$12=0,0,D72/D$12)</f>
        <v>0.13812849301327962</v>
      </c>
      <c r="G72" s="19"/>
      <c r="H72" s="19">
        <f>SUM(OSRRefH22x_0)</f>
        <v>20394.408615044609</v>
      </c>
      <c r="I72" s="19"/>
      <c r="J72" s="34">
        <f t="shared" ref="J72:J82" si="13">IF(H$12=0,0,H72/H$12)</f>
        <v>0.1411358224456728</v>
      </c>
      <c r="K72" s="4"/>
      <c r="L72" s="19">
        <f t="shared" ref="L72:L82" si="14">+D72-H72</f>
        <v>-1977.4286150446096</v>
      </c>
      <c r="M72" s="4"/>
      <c r="N72" s="34">
        <f t="shared" ref="N72:N82" si="15">IF(H72=0,0,L72/H72)</f>
        <v>-9.6959350593078447E-2</v>
      </c>
      <c r="O72" s="10"/>
      <c r="P72" s="19">
        <f>SUM(OSRRefP22x_0)</f>
        <v>41876.320000000007</v>
      </c>
      <c r="Q72" s="19"/>
      <c r="R72" s="34">
        <f t="shared" ref="R72:R82" si="16">IF(P$12=0,0,P72/P$12)</f>
        <v>0.27531914482356157</v>
      </c>
      <c r="S72" s="19"/>
      <c r="T72" s="19">
        <f>SUM(OSRRefT22x_0)</f>
        <v>40329.27524947538</v>
      </c>
      <c r="U72" s="19"/>
      <c r="V72" s="34">
        <f t="shared" ref="V72:V82" si="17">IF(T$12=0,0,T72/T$12)</f>
        <v>0.24776086775902553</v>
      </c>
      <c r="W72" s="4"/>
      <c r="X72" s="19">
        <f t="shared" ref="X72:X82" si="18">+P72-T72</f>
        <v>1547.0447505246266</v>
      </c>
      <c r="Y72" s="4"/>
      <c r="Z72" s="34">
        <f t="shared" ref="Z72:Z82" si="19">IF(T72=0,0,X72/T72)</f>
        <v>3.8360340991864243E-2</v>
      </c>
    </row>
    <row r="73" spans="1:26" s="26" customFormat="1" outlineLevel="1" collapsed="1" x14ac:dyDescent="0.25">
      <c r="A73" s="25"/>
      <c r="B73" s="13" t="str">
        <f>CONCATENATE("     ","*Benefits                                         ")</f>
        <v xml:space="preserve">     *Benefits                                         </v>
      </c>
      <c r="C73" s="13"/>
      <c r="D73" s="1">
        <f>SUM(OSRRefD22_0x_0)</f>
        <v>3606.34</v>
      </c>
      <c r="E73" s="1"/>
      <c r="F73" s="5">
        <f t="shared" si="12"/>
        <v>2.7047773820328351E-2</v>
      </c>
      <c r="G73" s="1"/>
      <c r="H73" s="1">
        <f>SUM(OSRRefH22_0x_0)</f>
        <v>3552.9410211984605</v>
      </c>
      <c r="I73" s="1"/>
      <c r="J73" s="5">
        <f t="shared" si="13"/>
        <v>2.4587486825085193E-2</v>
      </c>
      <c r="K73" s="1"/>
      <c r="L73" s="1">
        <f t="shared" si="14"/>
        <v>53.39897880153967</v>
      </c>
      <c r="M73" s="1"/>
      <c r="N73" s="5">
        <f t="shared" si="15"/>
        <v>1.5029514557921762E-2</v>
      </c>
      <c r="O73" s="13"/>
      <c r="P73" s="1">
        <f>SUM(OSRRefP22_0x_0)</f>
        <v>7568.3700000000008</v>
      </c>
      <c r="Q73" s="1"/>
      <c r="R73" s="5">
        <f t="shared" si="16"/>
        <v>4.9758841180607527E-2</v>
      </c>
      <c r="S73" s="1"/>
      <c r="T73" s="1">
        <f>SUM(OSRRefT22_0x_0)</f>
        <v>7075.5881633215395</v>
      </c>
      <c r="U73" s="1"/>
      <c r="V73" s="5">
        <f t="shared" si="17"/>
        <v>4.346851889615444E-2</v>
      </c>
      <c r="W73" s="1"/>
      <c r="X73" s="1">
        <f t="shared" si="18"/>
        <v>492.78183667846133</v>
      </c>
      <c r="Y73" s="1"/>
      <c r="Z73" s="5">
        <f t="shared" si="19"/>
        <v>6.9645353192395468E-2</v>
      </c>
    </row>
    <row r="74" spans="1:26" s="24" customFormat="1" hidden="1" outlineLevel="2" x14ac:dyDescent="0.25">
      <c r="A74" s="27"/>
      <c r="B74" s="11" t="str">
        <f>CONCATENATE("          ", "6111", " - ", "F.I.C.A.")</f>
        <v xml:space="preserve">          6111 - F.I.C.A.</v>
      </c>
      <c r="C74" s="11"/>
      <c r="D74" s="6">
        <v>848.31</v>
      </c>
      <c r="E74" s="2"/>
      <c r="F74" s="7">
        <f t="shared" si="12"/>
        <v>6.3623776486750388E-3</v>
      </c>
      <c r="G74" s="2"/>
      <c r="H74" s="6">
        <v>1037.9302718446149</v>
      </c>
      <c r="I74" s="2"/>
      <c r="J74" s="7">
        <f t="shared" si="13"/>
        <v>7.1828090396300051E-3</v>
      </c>
      <c r="K74" s="2"/>
      <c r="L74" s="6">
        <f t="shared" si="14"/>
        <v>-189.62027184461499</v>
      </c>
      <c r="M74" s="2"/>
      <c r="N74" s="7">
        <f t="shared" si="15"/>
        <v>-0.18269076159386013</v>
      </c>
      <c r="O74" s="11"/>
      <c r="P74" s="6">
        <v>1687.25</v>
      </c>
      <c r="Q74" s="2"/>
      <c r="R74" s="7">
        <f t="shared" si="16"/>
        <v>1.1092957239402942E-2</v>
      </c>
      <c r="S74" s="2"/>
      <c r="T74" s="6">
        <v>1911.964802275384</v>
      </c>
      <c r="U74" s="2"/>
      <c r="V74" s="7">
        <f t="shared" si="17"/>
        <v>1.1746059298266835E-2</v>
      </c>
      <c r="W74" s="2"/>
      <c r="X74" s="6">
        <f t="shared" si="18"/>
        <v>-224.71480227538405</v>
      </c>
      <c r="Y74" s="2"/>
      <c r="Z74" s="7">
        <f t="shared" si="19"/>
        <v>-0.1175308258854746</v>
      </c>
    </row>
    <row r="75" spans="1:26" s="24" customFormat="1" hidden="1" outlineLevel="2" x14ac:dyDescent="0.25">
      <c r="A75" s="27"/>
      <c r="B75" s="11" t="str">
        <f>CONCATENATE("          ", "6112", " - ", "COMPENSATION INSURANCE")</f>
        <v xml:space="preserve">          6112 - COMPENSATION INSURANCE</v>
      </c>
      <c r="C75" s="11"/>
      <c r="D75" s="6">
        <v>210.65</v>
      </c>
      <c r="E75" s="2"/>
      <c r="F75" s="7">
        <f t="shared" si="12"/>
        <v>1.5798880735738081E-3</v>
      </c>
      <c r="G75" s="2"/>
      <c r="H75" s="6">
        <v>257.68555030769198</v>
      </c>
      <c r="I75" s="2"/>
      <c r="J75" s="7">
        <f t="shared" si="13"/>
        <v>1.7832663237027306E-3</v>
      </c>
      <c r="K75" s="2"/>
      <c r="L75" s="6">
        <f t="shared" si="14"/>
        <v>-47.035550307691977</v>
      </c>
      <c r="M75" s="2"/>
      <c r="N75" s="7">
        <f t="shared" si="15"/>
        <v>-0.18253080256742651</v>
      </c>
      <c r="O75" s="11"/>
      <c r="P75" s="6">
        <v>418.5</v>
      </c>
      <c r="Q75" s="2"/>
      <c r="R75" s="7">
        <f t="shared" si="16"/>
        <v>2.75146101922663E-3</v>
      </c>
      <c r="S75" s="2"/>
      <c r="T75" s="6">
        <v>507.08542569230707</v>
      </c>
      <c r="U75" s="2"/>
      <c r="V75" s="7">
        <f t="shared" si="17"/>
        <v>3.1152537287194412E-3</v>
      </c>
      <c r="W75" s="2"/>
      <c r="X75" s="6">
        <f t="shared" si="18"/>
        <v>-88.585425692307069</v>
      </c>
      <c r="Y75" s="2"/>
      <c r="Z75" s="7">
        <f t="shared" si="19"/>
        <v>-0.17469527066640556</v>
      </c>
    </row>
    <row r="76" spans="1:26" s="24" customFormat="1" hidden="1" outlineLevel="2" x14ac:dyDescent="0.25">
      <c r="A76" s="27"/>
      <c r="B76" s="11" t="str">
        <f>CONCATENATE("          ", "6113", " - ", "GROUP INSURANCE")</f>
        <v xml:space="preserve">          6113 - GROUP INSURANCE</v>
      </c>
      <c r="C76" s="11"/>
      <c r="D76" s="6">
        <v>1412.76</v>
      </c>
      <c r="E76" s="2"/>
      <c r="F76" s="7">
        <f t="shared" si="12"/>
        <v>1.0595787680143048E-2</v>
      </c>
      <c r="G76" s="2"/>
      <c r="H76" s="6">
        <v>1288.05</v>
      </c>
      <c r="I76" s="2"/>
      <c r="J76" s="7">
        <f t="shared" si="13"/>
        <v>8.9137174571978246E-3</v>
      </c>
      <c r="K76" s="2"/>
      <c r="L76" s="6">
        <f t="shared" si="14"/>
        <v>124.71000000000004</v>
      </c>
      <c r="M76" s="2"/>
      <c r="N76" s="7">
        <f t="shared" si="15"/>
        <v>9.6820775591009697E-2</v>
      </c>
      <c r="O76" s="11"/>
      <c r="P76" s="6">
        <v>2825.52</v>
      </c>
      <c r="Q76" s="2"/>
      <c r="R76" s="7">
        <f t="shared" si="16"/>
        <v>1.8576602482784293E-2</v>
      </c>
      <c r="S76" s="2"/>
      <c r="T76" s="6">
        <v>2576.1</v>
      </c>
      <c r="U76" s="2"/>
      <c r="V76" s="7">
        <f t="shared" si="17"/>
        <v>1.5826140377822148E-2</v>
      </c>
      <c r="W76" s="2"/>
      <c r="X76" s="6">
        <f t="shared" si="18"/>
        <v>249.42000000000007</v>
      </c>
      <c r="Y76" s="2"/>
      <c r="Z76" s="7">
        <f t="shared" si="19"/>
        <v>9.6820775591009697E-2</v>
      </c>
    </row>
    <row r="77" spans="1:26" s="24" customFormat="1" hidden="1" outlineLevel="2" x14ac:dyDescent="0.25">
      <c r="A77" s="27"/>
      <c r="B77" s="11" t="str">
        <f>CONCATENATE("          ", "6114", " - ", "STATE UNEMPLOYMENT INSURANCE")</f>
        <v xml:space="preserve">          6114 - STATE UNEMPLOYMENT INSURANCE</v>
      </c>
      <c r="C77" s="11"/>
      <c r="D77" s="6">
        <v>28.83</v>
      </c>
      <c r="E77" s="2"/>
      <c r="F77" s="7">
        <f t="shared" si="12"/>
        <v>2.1622678927668115E-4</v>
      </c>
      <c r="G77" s="2"/>
      <c r="H77" s="6">
        <v>35.262233199999997</v>
      </c>
      <c r="I77" s="2"/>
      <c r="J77" s="7">
        <f t="shared" si="13"/>
        <v>2.4402591798037396E-4</v>
      </c>
      <c r="K77" s="2"/>
      <c r="L77" s="6">
        <f t="shared" si="14"/>
        <v>-6.4322331999999989</v>
      </c>
      <c r="M77" s="2"/>
      <c r="N77" s="7">
        <f t="shared" si="15"/>
        <v>-0.18241139645120377</v>
      </c>
      <c r="O77" s="11"/>
      <c r="P77" s="6">
        <v>57.27</v>
      </c>
      <c r="Q77" s="2"/>
      <c r="R77" s="7">
        <f t="shared" si="16"/>
        <v>3.76526099333594E-4</v>
      </c>
      <c r="S77" s="2"/>
      <c r="T77" s="6">
        <v>69.3906372</v>
      </c>
      <c r="U77" s="2"/>
      <c r="V77" s="7">
        <f t="shared" si="17"/>
        <v>4.2629787866687143E-4</v>
      </c>
      <c r="W77" s="2"/>
      <c r="X77" s="6">
        <f t="shared" si="18"/>
        <v>-12.120637199999997</v>
      </c>
      <c r="Y77" s="2"/>
      <c r="Z77" s="7">
        <f t="shared" si="19"/>
        <v>-0.17467251619358234</v>
      </c>
    </row>
    <row r="78" spans="1:26" s="24" customFormat="1" hidden="1" outlineLevel="2" x14ac:dyDescent="0.25">
      <c r="A78" s="27"/>
      <c r="B78" s="11" t="str">
        <f>CONCATENATE("          ", "6115", " - ", "P.E.R.S.")</f>
        <v xml:space="preserve">          6115 - P.E.R.S.</v>
      </c>
      <c r="C78" s="11"/>
      <c r="D78" s="6">
        <v>384.57</v>
      </c>
      <c r="E78" s="2"/>
      <c r="F78" s="7">
        <f t="shared" si="12"/>
        <v>2.8842988675731275E-3</v>
      </c>
      <c r="G78" s="2"/>
      <c r="H78" s="6">
        <v>451.12567507692296</v>
      </c>
      <c r="I78" s="2"/>
      <c r="J78" s="7">
        <f t="shared" si="13"/>
        <v>3.1219337799955915E-3</v>
      </c>
      <c r="K78" s="2"/>
      <c r="L78" s="6">
        <f t="shared" si="14"/>
        <v>-66.555675076922967</v>
      </c>
      <c r="M78" s="2"/>
      <c r="N78" s="7">
        <f t="shared" si="15"/>
        <v>-0.14753244772772983</v>
      </c>
      <c r="O78" s="11"/>
      <c r="P78" s="6">
        <v>769.14</v>
      </c>
      <c r="Q78" s="2"/>
      <c r="R78" s="7">
        <f t="shared" si="16"/>
        <v>5.056771154905544E-3</v>
      </c>
      <c r="S78" s="2"/>
      <c r="T78" s="6">
        <v>1015.032768923077</v>
      </c>
      <c r="U78" s="2"/>
      <c r="V78" s="7">
        <f t="shared" si="17"/>
        <v>6.2358026043500357E-3</v>
      </c>
      <c r="W78" s="2"/>
      <c r="X78" s="6">
        <f t="shared" si="18"/>
        <v>-245.89276892307703</v>
      </c>
      <c r="Y78" s="2"/>
      <c r="Z78" s="7">
        <f t="shared" si="19"/>
        <v>-0.24225106464687121</v>
      </c>
    </row>
    <row r="79" spans="1:26" s="24" customFormat="1" hidden="1" outlineLevel="2" x14ac:dyDescent="0.25">
      <c r="A79" s="27"/>
      <c r="B79" s="11" t="str">
        <f>CONCATENATE("          ", "6116", " - ", "EDUCATIONAL BENEFITS")</f>
        <v xml:space="preserve">          6116 - EDUCATIONAL BENEFITS</v>
      </c>
      <c r="C79" s="11"/>
      <c r="D79" s="6"/>
      <c r="E79" s="2"/>
      <c r="F79" s="7">
        <f t="shared" si="12"/>
        <v>0</v>
      </c>
      <c r="G79" s="2"/>
      <c r="H79" s="6">
        <v>0</v>
      </c>
      <c r="I79" s="2"/>
      <c r="J79" s="7">
        <f t="shared" si="13"/>
        <v>0</v>
      </c>
      <c r="K79" s="2"/>
      <c r="L79" s="6">
        <f t="shared" si="14"/>
        <v>0</v>
      </c>
      <c r="M79" s="2"/>
      <c r="N79" s="7">
        <f t="shared" si="15"/>
        <v>0</v>
      </c>
      <c r="O79" s="11"/>
      <c r="P79" s="6"/>
      <c r="Q79" s="2"/>
      <c r="R79" s="7">
        <f t="shared" si="16"/>
        <v>0</v>
      </c>
      <c r="S79" s="2"/>
      <c r="T79" s="6">
        <v>0</v>
      </c>
      <c r="U79" s="2"/>
      <c r="V79" s="7">
        <f t="shared" si="17"/>
        <v>0</v>
      </c>
      <c r="W79" s="2"/>
      <c r="X79" s="6">
        <f t="shared" si="18"/>
        <v>0</v>
      </c>
      <c r="Y79" s="2"/>
      <c r="Z79" s="7">
        <f t="shared" si="19"/>
        <v>0</v>
      </c>
    </row>
    <row r="80" spans="1:26" s="24" customFormat="1" hidden="1" outlineLevel="2" x14ac:dyDescent="0.25">
      <c r="A80" s="27"/>
      <c r="B80" s="11" t="str">
        <f>CONCATENATE("          ", "6118", " - ", "VACATION")</f>
        <v xml:space="preserve">          6118 - VACATION</v>
      </c>
      <c r="C80" s="11"/>
      <c r="D80" s="6">
        <v>317.27</v>
      </c>
      <c r="E80" s="2"/>
      <c r="F80" s="7">
        <f t="shared" si="12"/>
        <v>2.3795446907323146E-3</v>
      </c>
      <c r="G80" s="2"/>
      <c r="H80" s="6">
        <v>202.954369230769</v>
      </c>
      <c r="I80" s="2"/>
      <c r="J80" s="7">
        <f t="shared" si="13"/>
        <v>1.4045090672154641E-3</v>
      </c>
      <c r="K80" s="2"/>
      <c r="L80" s="6">
        <f t="shared" si="14"/>
        <v>114.31563076923098</v>
      </c>
      <c r="M80" s="2"/>
      <c r="N80" s="7">
        <f t="shared" si="15"/>
        <v>0.56325779633375883</v>
      </c>
      <c r="O80" s="11"/>
      <c r="P80" s="6">
        <v>796.55</v>
      </c>
      <c r="Q80" s="2"/>
      <c r="R80" s="7">
        <f t="shared" si="16"/>
        <v>5.2369803461528603E-3</v>
      </c>
      <c r="S80" s="2"/>
      <c r="T80" s="6">
        <v>456.64733076923102</v>
      </c>
      <c r="U80" s="2"/>
      <c r="V80" s="7">
        <f t="shared" si="17"/>
        <v>2.8053898373167317E-3</v>
      </c>
      <c r="W80" s="2"/>
      <c r="X80" s="6">
        <f t="shared" si="18"/>
        <v>339.90266923076894</v>
      </c>
      <c r="Y80" s="2"/>
      <c r="Z80" s="7">
        <f t="shared" si="19"/>
        <v>0.74434393092410389</v>
      </c>
    </row>
    <row r="81" spans="1:26" s="24" customFormat="1" hidden="1" outlineLevel="2" x14ac:dyDescent="0.25">
      <c r="A81" s="27"/>
      <c r="B81" s="11" t="str">
        <f>CONCATENATE("          ", "6119", " - ", "SICK LEAVE")</f>
        <v xml:space="preserve">          6119 - SICK LEAVE</v>
      </c>
      <c r="C81" s="11"/>
      <c r="D81" s="6">
        <v>253.95</v>
      </c>
      <c r="E81" s="2"/>
      <c r="F81" s="7">
        <f t="shared" si="12"/>
        <v>1.9046407609022954E-3</v>
      </c>
      <c r="G81" s="2"/>
      <c r="H81" s="6">
        <v>279.93292153846198</v>
      </c>
      <c r="I81" s="2"/>
      <c r="J81" s="7">
        <f t="shared" si="13"/>
        <v>1.937225239363206E-3</v>
      </c>
      <c r="K81" s="2"/>
      <c r="L81" s="6">
        <f t="shared" si="14"/>
        <v>-25.982921538461994</v>
      </c>
      <c r="M81" s="2"/>
      <c r="N81" s="7">
        <f t="shared" si="15"/>
        <v>-9.2818384474624982E-2</v>
      </c>
      <c r="O81" s="11"/>
      <c r="P81" s="6">
        <v>715.41</v>
      </c>
      <c r="Q81" s="2"/>
      <c r="R81" s="7">
        <f t="shared" si="16"/>
        <v>4.7035190627596731E-3</v>
      </c>
      <c r="S81" s="2"/>
      <c r="T81" s="6">
        <v>539.36719846153903</v>
      </c>
      <c r="U81" s="2"/>
      <c r="V81" s="7">
        <f t="shared" si="17"/>
        <v>3.3135751710123731E-3</v>
      </c>
      <c r="W81" s="2"/>
      <c r="X81" s="6">
        <f t="shared" si="18"/>
        <v>176.04280153846094</v>
      </c>
      <c r="Y81" s="2"/>
      <c r="Z81" s="7">
        <f t="shared" si="19"/>
        <v>0.32638766695600996</v>
      </c>
    </row>
    <row r="82" spans="1:26" s="24" customFormat="1" hidden="1" outlineLevel="2" x14ac:dyDescent="0.25">
      <c r="A82" s="27"/>
      <c r="B82" s="11" t="str">
        <f>CONCATENATE("          ", "6156", " - ", "EMPLOYEE MEALS")</f>
        <v xml:space="preserve">          6156 - EMPLOYEE MEALS</v>
      </c>
      <c r="C82" s="11"/>
      <c r="D82" s="6">
        <v>150</v>
      </c>
      <c r="E82" s="2"/>
      <c r="F82" s="7">
        <f t="shared" si="12"/>
        <v>1.1250093094520351E-3</v>
      </c>
      <c r="G82" s="2"/>
      <c r="H82" s="6"/>
      <c r="I82" s="2"/>
      <c r="J82" s="7">
        <f t="shared" si="13"/>
        <v>0</v>
      </c>
      <c r="K82" s="2"/>
      <c r="L82" s="6">
        <f t="shared" si="14"/>
        <v>150</v>
      </c>
      <c r="M82" s="2"/>
      <c r="N82" s="7">
        <f t="shared" si="15"/>
        <v>0</v>
      </c>
      <c r="O82" s="11"/>
      <c r="P82" s="6">
        <v>298.73</v>
      </c>
      <c r="Q82" s="2"/>
      <c r="R82" s="7">
        <f t="shared" si="16"/>
        <v>1.964023776041986E-3</v>
      </c>
      <c r="S82" s="2"/>
      <c r="T82" s="6"/>
      <c r="U82" s="2"/>
      <c r="V82" s="7">
        <f t="shared" si="17"/>
        <v>0</v>
      </c>
      <c r="W82" s="2"/>
      <c r="X82" s="6">
        <f t="shared" si="18"/>
        <v>298.73</v>
      </c>
      <c r="Y82" s="2"/>
      <c r="Z82" s="7">
        <f t="shared" si="19"/>
        <v>0</v>
      </c>
    </row>
    <row r="83" spans="1:26" s="26" customFormat="1" outlineLevel="1" collapsed="1" x14ac:dyDescent="0.25">
      <c r="A83" s="25"/>
      <c r="B83" s="13" t="str">
        <f>CONCATENATE("     ","*Payroll                                          ")</f>
        <v xml:space="preserve">     *Payroll                                          </v>
      </c>
      <c r="C83" s="13"/>
      <c r="D83" s="1">
        <f>SUM(OSRRefD22_1x_0)</f>
        <v>11027.45</v>
      </c>
      <c r="E83" s="1"/>
      <c r="F83" s="5">
        <f t="shared" ref="F83:F93" si="20">IF(D$12=0,0,D83/D$12)</f>
        <v>8.270655939677897E-2</v>
      </c>
      <c r="G83" s="1"/>
      <c r="H83" s="1">
        <f>SUM(OSRRefH22_1x_0)</f>
        <v>13276.46759384615</v>
      </c>
      <c r="I83" s="1"/>
      <c r="J83" s="5">
        <f t="shared" ref="J83:J93" si="21">IF(H$12=0,0,H83/H$12)</f>
        <v>9.1877396810052109E-2</v>
      </c>
      <c r="K83" s="1"/>
      <c r="L83" s="1">
        <f t="shared" ref="L83:L93" si="22">+D83-H83</f>
        <v>-2249.0175938461489</v>
      </c>
      <c r="M83" s="1"/>
      <c r="N83" s="5">
        <f t="shared" ref="N83:N93" si="23">IF(H83=0,0,L83/H83)</f>
        <v>-0.16939879361349128</v>
      </c>
      <c r="O83" s="13"/>
      <c r="P83" s="1">
        <f>SUM(OSRRefP22_1x_0)</f>
        <v>26351.43</v>
      </c>
      <c r="Q83" s="1"/>
      <c r="R83" s="5">
        <f t="shared" ref="R83:R93" si="24">IF(P$12=0,0,P83/P$12)</f>
        <v>0.17324953989457392</v>
      </c>
      <c r="S83" s="1"/>
      <c r="T83" s="1">
        <f>SUM(OSRRefT22_1x_0)</f>
        <v>26123.687086153841</v>
      </c>
      <c r="U83" s="1"/>
      <c r="V83" s="5">
        <f t="shared" ref="V83:V93" si="25">IF(T$12=0,0,T83/T$12)</f>
        <v>0.16048955359332723</v>
      </c>
      <c r="W83" s="1"/>
      <c r="X83" s="1">
        <f t="shared" ref="X83:X93" si="26">+P83-T83</f>
        <v>227.74291384615935</v>
      </c>
      <c r="Y83" s="1"/>
      <c r="Z83" s="5">
        <f t="shared" ref="Z83:Z93" si="27">IF(T83=0,0,X83/T83)</f>
        <v>8.7178702261698875E-3</v>
      </c>
    </row>
    <row r="84" spans="1:26" s="24" customFormat="1" hidden="1" outlineLevel="2" x14ac:dyDescent="0.25">
      <c r="A84" s="27"/>
      <c r="B84" s="11" t="str">
        <f>CONCATENATE("          ", "6001", " - ", "ADMINISTRATIVE SALARIES")</f>
        <v xml:space="preserve">          6001 - ADMINISTRATIVE SALARIES</v>
      </c>
      <c r="C84" s="11"/>
      <c r="D84" s="6"/>
      <c r="E84" s="2"/>
      <c r="F84" s="7">
        <f t="shared" si="20"/>
        <v>0</v>
      </c>
      <c r="G84" s="2"/>
      <c r="H84" s="6">
        <v>5063.3075938461498</v>
      </c>
      <c r="I84" s="2"/>
      <c r="J84" s="7">
        <f t="shared" si="21"/>
        <v>3.5039705982243499E-2</v>
      </c>
      <c r="K84" s="2"/>
      <c r="L84" s="6">
        <f t="shared" si="22"/>
        <v>-5063.3075938461498</v>
      </c>
      <c r="M84" s="2"/>
      <c r="N84" s="7">
        <f t="shared" si="23"/>
        <v>-1</v>
      </c>
      <c r="O84" s="11"/>
      <c r="P84" s="6"/>
      <c r="Q84" s="2"/>
      <c r="R84" s="7">
        <f t="shared" si="24"/>
        <v>0</v>
      </c>
      <c r="S84" s="2"/>
      <c r="T84" s="6">
        <v>11392.44208615384</v>
      </c>
      <c r="U84" s="2"/>
      <c r="V84" s="7">
        <f t="shared" si="25"/>
        <v>6.9988893172500941E-2</v>
      </c>
      <c r="W84" s="2"/>
      <c r="X84" s="6">
        <f t="shared" si="26"/>
        <v>-11392.44208615384</v>
      </c>
      <c r="Y84" s="2"/>
      <c r="Z84" s="7">
        <f t="shared" si="27"/>
        <v>-1</v>
      </c>
    </row>
    <row r="85" spans="1:26" s="24" customFormat="1" hidden="1" outlineLevel="2" x14ac:dyDescent="0.25">
      <c r="A85" s="27"/>
      <c r="B85" s="11" t="str">
        <f>CONCATENATE("          ", "6002", " - ", "STAFF SALARIES")</f>
        <v xml:space="preserve">          6002 - STAFF SALARIES</v>
      </c>
      <c r="C85" s="11"/>
      <c r="D85" s="6">
        <v>3333.7</v>
      </c>
      <c r="E85" s="2"/>
      <c r="F85" s="7">
        <f t="shared" si="20"/>
        <v>2.5002956899468329E-2</v>
      </c>
      <c r="G85" s="2"/>
      <c r="H85" s="6">
        <v>0</v>
      </c>
      <c r="I85" s="2"/>
      <c r="J85" s="7">
        <f t="shared" si="21"/>
        <v>0</v>
      </c>
      <c r="K85" s="2"/>
      <c r="L85" s="6">
        <f t="shared" si="22"/>
        <v>3333.7</v>
      </c>
      <c r="M85" s="2"/>
      <c r="N85" s="7">
        <f t="shared" si="23"/>
        <v>0</v>
      </c>
      <c r="O85" s="11"/>
      <c r="P85" s="6">
        <v>12113.11</v>
      </c>
      <c r="Q85" s="2"/>
      <c r="R85" s="7">
        <f t="shared" si="24"/>
        <v>7.9638590171097451E-2</v>
      </c>
      <c r="S85" s="2"/>
      <c r="T85" s="6">
        <v>0</v>
      </c>
      <c r="U85" s="2"/>
      <c r="V85" s="7">
        <f t="shared" si="25"/>
        <v>0</v>
      </c>
      <c r="W85" s="2"/>
      <c r="X85" s="6">
        <f t="shared" si="26"/>
        <v>12113.11</v>
      </c>
      <c r="Y85" s="2"/>
      <c r="Z85" s="7">
        <f t="shared" si="27"/>
        <v>0</v>
      </c>
    </row>
    <row r="86" spans="1:26" s="24" customFormat="1" hidden="1" outlineLevel="2" x14ac:dyDescent="0.25">
      <c r="A86" s="27"/>
      <c r="B86" s="11" t="str">
        <f>CONCATENATE("          ", "6003", " - ", "STAFF HOURLY-9 MONTH")</f>
        <v xml:space="preserve">          6003 - STAFF HOURLY-9 MONTH</v>
      </c>
      <c r="C86" s="11"/>
      <c r="D86" s="6"/>
      <c r="E86" s="2"/>
      <c r="F86" s="7">
        <f t="shared" si="20"/>
        <v>0</v>
      </c>
      <c r="G86" s="2"/>
      <c r="H86" s="6">
        <v>0</v>
      </c>
      <c r="I86" s="2"/>
      <c r="J86" s="7">
        <f t="shared" si="21"/>
        <v>0</v>
      </c>
      <c r="K86" s="2"/>
      <c r="L86" s="6">
        <f t="shared" si="22"/>
        <v>0</v>
      </c>
      <c r="M86" s="2"/>
      <c r="N86" s="7">
        <f t="shared" si="23"/>
        <v>0</v>
      </c>
      <c r="O86" s="11"/>
      <c r="P86" s="6"/>
      <c r="Q86" s="2"/>
      <c r="R86" s="7">
        <f t="shared" si="24"/>
        <v>0</v>
      </c>
      <c r="S86" s="2"/>
      <c r="T86" s="6">
        <v>0</v>
      </c>
      <c r="U86" s="2"/>
      <c r="V86" s="7">
        <f t="shared" si="25"/>
        <v>0</v>
      </c>
      <c r="W86" s="2"/>
      <c r="X86" s="6">
        <f t="shared" si="26"/>
        <v>0</v>
      </c>
      <c r="Y86" s="2"/>
      <c r="Z86" s="7">
        <f t="shared" si="27"/>
        <v>0</v>
      </c>
    </row>
    <row r="87" spans="1:26" s="24" customFormat="1" hidden="1" outlineLevel="2" x14ac:dyDescent="0.25">
      <c r="A87" s="27"/>
      <c r="B87" s="11" t="str">
        <f>CONCATENATE("          ", "6004", " - ", "STAFF HOURLY")</f>
        <v xml:space="preserve">          6004 - STAFF HOURLY</v>
      </c>
      <c r="C87" s="11"/>
      <c r="D87" s="6"/>
      <c r="E87" s="2"/>
      <c r="F87" s="7">
        <f t="shared" si="20"/>
        <v>0</v>
      </c>
      <c r="G87" s="2"/>
      <c r="H87" s="6">
        <v>0</v>
      </c>
      <c r="I87" s="2"/>
      <c r="J87" s="7">
        <f t="shared" si="21"/>
        <v>0</v>
      </c>
      <c r="K87" s="2"/>
      <c r="L87" s="6">
        <f t="shared" si="22"/>
        <v>0</v>
      </c>
      <c r="M87" s="2"/>
      <c r="N87" s="7">
        <f t="shared" si="23"/>
        <v>0</v>
      </c>
      <c r="O87" s="11"/>
      <c r="P87" s="6"/>
      <c r="Q87" s="2"/>
      <c r="R87" s="7">
        <f t="shared" si="24"/>
        <v>0</v>
      </c>
      <c r="S87" s="2"/>
      <c r="T87" s="6">
        <v>0</v>
      </c>
      <c r="U87" s="2"/>
      <c r="V87" s="7">
        <f t="shared" si="25"/>
        <v>0</v>
      </c>
      <c r="W87" s="2"/>
      <c r="X87" s="6">
        <f t="shared" si="26"/>
        <v>0</v>
      </c>
      <c r="Y87" s="2"/>
      <c r="Z87" s="7">
        <f t="shared" si="27"/>
        <v>0</v>
      </c>
    </row>
    <row r="88" spans="1:26" s="24" customFormat="1" hidden="1" outlineLevel="2" x14ac:dyDescent="0.25">
      <c r="A88" s="27"/>
      <c r="B88" s="11" t="str">
        <f>CONCATENATE("          ", "6005", " - ", "TEMPORARY WAGES-HOURLY")</f>
        <v xml:space="preserve">          6005 - TEMPORARY WAGES-HOURLY</v>
      </c>
      <c r="C88" s="11"/>
      <c r="D88" s="6"/>
      <c r="E88" s="2"/>
      <c r="F88" s="7">
        <f t="shared" si="20"/>
        <v>0</v>
      </c>
      <c r="G88" s="2"/>
      <c r="H88" s="6">
        <v>0</v>
      </c>
      <c r="I88" s="2"/>
      <c r="J88" s="7">
        <f t="shared" si="21"/>
        <v>0</v>
      </c>
      <c r="K88" s="2"/>
      <c r="L88" s="6">
        <f t="shared" si="22"/>
        <v>0</v>
      </c>
      <c r="M88" s="2"/>
      <c r="N88" s="7">
        <f t="shared" si="23"/>
        <v>0</v>
      </c>
      <c r="O88" s="11"/>
      <c r="P88" s="6"/>
      <c r="Q88" s="2"/>
      <c r="R88" s="7">
        <f t="shared" si="24"/>
        <v>0</v>
      </c>
      <c r="S88" s="2"/>
      <c r="T88" s="6">
        <v>0</v>
      </c>
      <c r="U88" s="2"/>
      <c r="V88" s="7">
        <f t="shared" si="25"/>
        <v>0</v>
      </c>
      <c r="W88" s="2"/>
      <c r="X88" s="6">
        <f t="shared" si="26"/>
        <v>0</v>
      </c>
      <c r="Y88" s="2"/>
      <c r="Z88" s="7">
        <f t="shared" si="27"/>
        <v>0</v>
      </c>
    </row>
    <row r="89" spans="1:26" s="24" customFormat="1" hidden="1" outlineLevel="2" x14ac:dyDescent="0.25">
      <c r="A89" s="27"/>
      <c r="B89" s="11" t="str">
        <f>CONCATENATE("          ", "6006", " - ", "TEMPORARY PART TIME")</f>
        <v xml:space="preserve">          6006 - TEMPORARY PART TIME</v>
      </c>
      <c r="C89" s="11"/>
      <c r="D89" s="6"/>
      <c r="E89" s="2"/>
      <c r="F89" s="7">
        <f t="shared" si="20"/>
        <v>0</v>
      </c>
      <c r="G89" s="2"/>
      <c r="H89" s="6">
        <v>0</v>
      </c>
      <c r="I89" s="2"/>
      <c r="J89" s="7">
        <f t="shared" si="21"/>
        <v>0</v>
      </c>
      <c r="K89" s="2"/>
      <c r="L89" s="6">
        <f t="shared" si="22"/>
        <v>0</v>
      </c>
      <c r="M89" s="2"/>
      <c r="N89" s="7">
        <f t="shared" si="23"/>
        <v>0</v>
      </c>
      <c r="O89" s="11"/>
      <c r="P89" s="6">
        <v>25.5</v>
      </c>
      <c r="Q89" s="2"/>
      <c r="R89" s="7">
        <f t="shared" si="24"/>
        <v>1.6765174669122835E-4</v>
      </c>
      <c r="S89" s="2"/>
      <c r="T89" s="6">
        <v>0</v>
      </c>
      <c r="U89" s="2"/>
      <c r="V89" s="7">
        <f t="shared" si="25"/>
        <v>0</v>
      </c>
      <c r="W89" s="2"/>
      <c r="X89" s="6">
        <f t="shared" si="26"/>
        <v>25.5</v>
      </c>
      <c r="Y89" s="2"/>
      <c r="Z89" s="7">
        <f t="shared" si="27"/>
        <v>0</v>
      </c>
    </row>
    <row r="90" spans="1:26" s="24" customFormat="1" hidden="1" outlineLevel="2" x14ac:dyDescent="0.25">
      <c r="A90" s="27"/>
      <c r="B90" s="11" t="str">
        <f>CONCATENATE("          ", "6007", " - ", "STUDENT HOURLY")</f>
        <v xml:space="preserve">          6007 - STUDENT HOURLY</v>
      </c>
      <c r="C90" s="11"/>
      <c r="D90" s="6">
        <v>7693.75</v>
      </c>
      <c r="E90" s="2"/>
      <c r="F90" s="7">
        <f t="shared" si="20"/>
        <v>5.7703602497310637E-2</v>
      </c>
      <c r="G90" s="2"/>
      <c r="H90" s="6">
        <v>8213.16</v>
      </c>
      <c r="I90" s="2"/>
      <c r="J90" s="7">
        <f t="shared" si="21"/>
        <v>5.683769082780861E-2</v>
      </c>
      <c r="K90" s="2"/>
      <c r="L90" s="6">
        <f t="shared" si="22"/>
        <v>-519.40999999999985</v>
      </c>
      <c r="M90" s="2"/>
      <c r="N90" s="7">
        <f t="shared" si="23"/>
        <v>-6.3241188531576134E-2</v>
      </c>
      <c r="O90" s="11"/>
      <c r="P90" s="6">
        <v>14212.82</v>
      </c>
      <c r="Q90" s="2"/>
      <c r="R90" s="7">
        <f t="shared" si="24"/>
        <v>9.3443297976785258E-2</v>
      </c>
      <c r="S90" s="2"/>
      <c r="T90" s="6">
        <v>13076.91</v>
      </c>
      <c r="U90" s="2"/>
      <c r="V90" s="7">
        <f t="shared" si="25"/>
        <v>8.0337336814621407E-2</v>
      </c>
      <c r="W90" s="2"/>
      <c r="X90" s="6">
        <f t="shared" si="26"/>
        <v>1135.9099999999999</v>
      </c>
      <c r="Y90" s="2"/>
      <c r="Z90" s="7">
        <f t="shared" si="27"/>
        <v>8.6863792746145682E-2</v>
      </c>
    </row>
    <row r="91" spans="1:26" s="24" customFormat="1" hidden="1" outlineLevel="2" x14ac:dyDescent="0.25">
      <c r="A91" s="27"/>
      <c r="B91" s="11" t="str">
        <f>CONCATENATE("          ", "6008", " - ", "STUDENT HOURLY-FICA EXEMPT")</f>
        <v xml:space="preserve">          6008 - STUDENT HOURLY-FICA EXEMPT</v>
      </c>
      <c r="C91" s="11"/>
      <c r="D91" s="6"/>
      <c r="E91" s="2"/>
      <c r="F91" s="7">
        <f t="shared" si="20"/>
        <v>0</v>
      </c>
      <c r="G91" s="2"/>
      <c r="H91" s="6">
        <v>0</v>
      </c>
      <c r="I91" s="2"/>
      <c r="J91" s="7">
        <f t="shared" si="21"/>
        <v>0</v>
      </c>
      <c r="K91" s="2"/>
      <c r="L91" s="6">
        <f t="shared" si="22"/>
        <v>0</v>
      </c>
      <c r="M91" s="2"/>
      <c r="N91" s="7">
        <f t="shared" si="23"/>
        <v>0</v>
      </c>
      <c r="O91" s="11"/>
      <c r="P91" s="6"/>
      <c r="Q91" s="2"/>
      <c r="R91" s="7">
        <f t="shared" si="24"/>
        <v>0</v>
      </c>
      <c r="S91" s="2"/>
      <c r="T91" s="6">
        <v>1654.335</v>
      </c>
      <c r="U91" s="2"/>
      <c r="V91" s="7">
        <f t="shared" si="25"/>
        <v>1.0163323606204885E-2</v>
      </c>
      <c r="W91" s="2"/>
      <c r="X91" s="6">
        <f t="shared" si="26"/>
        <v>-1654.335</v>
      </c>
      <c r="Y91" s="2"/>
      <c r="Z91" s="7">
        <f t="shared" si="27"/>
        <v>-1</v>
      </c>
    </row>
    <row r="92" spans="1:26" s="24" customFormat="1" hidden="1" outlineLevel="2" x14ac:dyDescent="0.25">
      <c r="A92" s="27"/>
      <c r="B92" s="11" t="str">
        <f>CONCATENATE("          ", "6009", " - ", "TEMPORARY-SEASONAL")</f>
        <v xml:space="preserve">          6009 - TEMPORARY-SEASONAL</v>
      </c>
      <c r="C92" s="11"/>
      <c r="D92" s="6"/>
      <c r="E92" s="2"/>
      <c r="F92" s="7">
        <f t="shared" si="20"/>
        <v>0</v>
      </c>
      <c r="G92" s="2"/>
      <c r="H92" s="6">
        <v>0</v>
      </c>
      <c r="I92" s="2"/>
      <c r="J92" s="7">
        <f t="shared" si="21"/>
        <v>0</v>
      </c>
      <c r="K92" s="2"/>
      <c r="L92" s="6">
        <f t="shared" si="22"/>
        <v>0</v>
      </c>
      <c r="M92" s="2"/>
      <c r="N92" s="7">
        <f t="shared" si="23"/>
        <v>0</v>
      </c>
      <c r="O92" s="11"/>
      <c r="P92" s="6"/>
      <c r="Q92" s="2"/>
      <c r="R92" s="7">
        <f t="shared" si="24"/>
        <v>0</v>
      </c>
      <c r="S92" s="2"/>
      <c r="T92" s="6">
        <v>0</v>
      </c>
      <c r="U92" s="2"/>
      <c r="V92" s="7">
        <f t="shared" si="25"/>
        <v>0</v>
      </c>
      <c r="W92" s="2"/>
      <c r="X92" s="6">
        <f t="shared" si="26"/>
        <v>0</v>
      </c>
      <c r="Y92" s="2"/>
      <c r="Z92" s="7">
        <f t="shared" si="27"/>
        <v>0</v>
      </c>
    </row>
    <row r="93" spans="1:26" s="24" customFormat="1" hidden="1" outlineLevel="2" x14ac:dyDescent="0.25">
      <c r="A93" s="27"/>
      <c r="B93" s="11" t="str">
        <f>CONCATENATE("          ", "6010", " - ", "GRATUITY")</f>
        <v xml:space="preserve">          6010 - GRATUITY</v>
      </c>
      <c r="C93" s="11"/>
      <c r="D93" s="6"/>
      <c r="E93" s="2"/>
      <c r="F93" s="7">
        <f t="shared" si="20"/>
        <v>0</v>
      </c>
      <c r="G93" s="2"/>
      <c r="H93" s="6">
        <v>0</v>
      </c>
      <c r="I93" s="2"/>
      <c r="J93" s="7">
        <f t="shared" si="21"/>
        <v>0</v>
      </c>
      <c r="K93" s="2"/>
      <c r="L93" s="6">
        <f t="shared" si="22"/>
        <v>0</v>
      </c>
      <c r="M93" s="2"/>
      <c r="N93" s="7">
        <f t="shared" si="23"/>
        <v>0</v>
      </c>
      <c r="O93" s="11"/>
      <c r="P93" s="6"/>
      <c r="Q93" s="2"/>
      <c r="R93" s="7">
        <f t="shared" si="24"/>
        <v>0</v>
      </c>
      <c r="S93" s="2"/>
      <c r="T93" s="6">
        <v>0</v>
      </c>
      <c r="U93" s="2"/>
      <c r="V93" s="7">
        <f t="shared" si="25"/>
        <v>0</v>
      </c>
      <c r="W93" s="2"/>
      <c r="X93" s="6">
        <f t="shared" si="26"/>
        <v>0</v>
      </c>
      <c r="Y93" s="2"/>
      <c r="Z93" s="7">
        <f t="shared" si="27"/>
        <v>0</v>
      </c>
    </row>
    <row r="94" spans="1:26" s="26" customFormat="1" outlineLevel="1" collapsed="1" x14ac:dyDescent="0.25">
      <c r="A94" s="25"/>
      <c r="B94" s="13" t="str">
        <f>CONCATENATE("     ","Advertising/Promo                                 ")</f>
        <v xml:space="preserve">     Advertising/Promo                                 </v>
      </c>
      <c r="C94" s="13"/>
      <c r="D94" s="1">
        <f>SUM(OSRRefD22_2x_0)</f>
        <v>45.86</v>
      </c>
      <c r="E94" s="1"/>
      <c r="F94" s="5">
        <f t="shared" ref="F94:F100" si="28">IF(D$12=0,0,D94/D$12)</f>
        <v>3.4395284620980222E-4</v>
      </c>
      <c r="G94" s="1"/>
      <c r="H94" s="1">
        <f>SUM(OSRRefH22_2x_0)</f>
        <v>120</v>
      </c>
      <c r="I94" s="1"/>
      <c r="J94" s="5">
        <f t="shared" ref="J94:J100" si="29">IF(H$12=0,0,H94/H$12)</f>
        <v>8.3043833303345278E-4</v>
      </c>
      <c r="K94" s="1"/>
      <c r="L94" s="1">
        <f t="shared" ref="L94:L100" si="30">+D94-H94</f>
        <v>-74.14</v>
      </c>
      <c r="M94" s="1"/>
      <c r="N94" s="5">
        <f t="shared" ref="N94:N100" si="31">IF(H94=0,0,L94/H94)</f>
        <v>-0.61783333333333335</v>
      </c>
      <c r="O94" s="13"/>
      <c r="P94" s="1">
        <f>SUM(OSRRefP22_2x_0)</f>
        <v>45.86</v>
      </c>
      <c r="Q94" s="1"/>
      <c r="R94" s="5">
        <f t="shared" ref="R94:R100" si="32">IF(P$12=0,0,P94/P$12)</f>
        <v>3.0151016091214635E-4</v>
      </c>
      <c r="S94" s="1"/>
      <c r="T94" s="1">
        <f>SUM(OSRRefT22_2x_0)</f>
        <v>240</v>
      </c>
      <c r="U94" s="1"/>
      <c r="V94" s="5">
        <f t="shared" ref="V94:V100" si="33">IF(T$12=0,0,T94/T$12)</f>
        <v>1.474427891260943E-3</v>
      </c>
      <c r="W94" s="1"/>
      <c r="X94" s="1">
        <f t="shared" ref="X94:X100" si="34">+P94-T94</f>
        <v>-194.14</v>
      </c>
      <c r="Y94" s="1"/>
      <c r="Z94" s="5">
        <f t="shared" ref="Z94:Z100" si="35">IF(T94=0,0,X94/T94)</f>
        <v>-0.80891666666666662</v>
      </c>
    </row>
    <row r="95" spans="1:26" s="24" customFormat="1" hidden="1" outlineLevel="2" x14ac:dyDescent="0.25">
      <c r="A95" s="27"/>
      <c r="B95" s="11" t="str">
        <f>CONCATENATE("          ", "6362", " - ", "ADVERTISING EXPENSE")</f>
        <v xml:space="preserve">          6362 - ADVERTISING EXPENSE</v>
      </c>
      <c r="C95" s="11"/>
      <c r="D95" s="6">
        <v>45.86</v>
      </c>
      <c r="E95" s="2"/>
      <c r="F95" s="7">
        <f t="shared" si="28"/>
        <v>3.4395284620980222E-4</v>
      </c>
      <c r="G95" s="2"/>
      <c r="H95" s="6">
        <v>120</v>
      </c>
      <c r="I95" s="2"/>
      <c r="J95" s="7">
        <f t="shared" si="29"/>
        <v>8.3043833303345278E-4</v>
      </c>
      <c r="K95" s="2"/>
      <c r="L95" s="6">
        <f t="shared" si="30"/>
        <v>-74.14</v>
      </c>
      <c r="M95" s="2"/>
      <c r="N95" s="7">
        <f t="shared" si="31"/>
        <v>-0.61783333333333335</v>
      </c>
      <c r="O95" s="11"/>
      <c r="P95" s="6">
        <v>45.86</v>
      </c>
      <c r="Q95" s="2"/>
      <c r="R95" s="7">
        <f t="shared" si="32"/>
        <v>3.0151016091214635E-4</v>
      </c>
      <c r="S95" s="2"/>
      <c r="T95" s="6">
        <v>240</v>
      </c>
      <c r="U95" s="2"/>
      <c r="V95" s="7">
        <f t="shared" si="33"/>
        <v>1.474427891260943E-3</v>
      </c>
      <c r="W95" s="2"/>
      <c r="X95" s="6">
        <f t="shared" si="34"/>
        <v>-194.14</v>
      </c>
      <c r="Y95" s="2"/>
      <c r="Z95" s="7">
        <f t="shared" si="35"/>
        <v>-0.80891666666666662</v>
      </c>
    </row>
    <row r="96" spans="1:26" s="26" customFormat="1" outlineLevel="1" collapsed="1" x14ac:dyDescent="0.25">
      <c r="A96" s="25"/>
      <c r="B96" s="13" t="str">
        <f>CONCATENATE("     ","Bad Debts/Over/Short                              ")</f>
        <v xml:space="preserve">     Bad Debts/Over/Short                              </v>
      </c>
      <c r="C96" s="13"/>
      <c r="D96" s="1">
        <f>SUM(OSRRefD22_3x_0)</f>
        <v>-9.4499999999999993</v>
      </c>
      <c r="E96" s="1"/>
      <c r="F96" s="5">
        <f t="shared" si="28"/>
        <v>-7.0875586495478202E-5</v>
      </c>
      <c r="G96" s="1"/>
      <c r="H96" s="1">
        <f>SUM(OSRRefH22_3x_0)</f>
        <v>0</v>
      </c>
      <c r="I96" s="1"/>
      <c r="J96" s="5">
        <f t="shared" si="29"/>
        <v>0</v>
      </c>
      <c r="K96" s="1"/>
      <c r="L96" s="1">
        <f t="shared" si="30"/>
        <v>-9.4499999999999993</v>
      </c>
      <c r="M96" s="1"/>
      <c r="N96" s="5">
        <f t="shared" si="31"/>
        <v>0</v>
      </c>
      <c r="O96" s="13"/>
      <c r="P96" s="1">
        <f>SUM(OSRRefP22_3x_0)</f>
        <v>-9.07</v>
      </c>
      <c r="Q96" s="1"/>
      <c r="R96" s="5">
        <f t="shared" si="32"/>
        <v>-5.9631425195664355E-5</v>
      </c>
      <c r="S96" s="1"/>
      <c r="T96" s="1">
        <f>SUM(OSRRefT22_3x_0)</f>
        <v>0</v>
      </c>
      <c r="U96" s="1"/>
      <c r="V96" s="5">
        <f t="shared" si="33"/>
        <v>0</v>
      </c>
      <c r="W96" s="1"/>
      <c r="X96" s="1">
        <f t="shared" si="34"/>
        <v>-9.07</v>
      </c>
      <c r="Y96" s="1"/>
      <c r="Z96" s="5">
        <f t="shared" si="35"/>
        <v>0</v>
      </c>
    </row>
    <row r="97" spans="1:26" s="24" customFormat="1" hidden="1" outlineLevel="2" x14ac:dyDescent="0.25">
      <c r="A97" s="27"/>
      <c r="B97" s="11" t="str">
        <f>CONCATENATE("          ", "6272", " - ", "CASH (OVER/SHORT)")</f>
        <v xml:space="preserve">          6272 - CASH (OVER/SHORT)</v>
      </c>
      <c r="C97" s="11"/>
      <c r="D97" s="6">
        <v>-9.4499999999999993</v>
      </c>
      <c r="E97" s="2"/>
      <c r="F97" s="7">
        <f t="shared" si="28"/>
        <v>-7.0875586495478202E-5</v>
      </c>
      <c r="G97" s="2"/>
      <c r="H97" s="6"/>
      <c r="I97" s="2"/>
      <c r="J97" s="7">
        <f t="shared" si="29"/>
        <v>0</v>
      </c>
      <c r="K97" s="2"/>
      <c r="L97" s="6">
        <f t="shared" si="30"/>
        <v>-9.4499999999999993</v>
      </c>
      <c r="M97" s="2"/>
      <c r="N97" s="7">
        <f t="shared" si="31"/>
        <v>0</v>
      </c>
      <c r="O97" s="11"/>
      <c r="P97" s="6">
        <v>-9.07</v>
      </c>
      <c r="Q97" s="2"/>
      <c r="R97" s="7">
        <f t="shared" si="32"/>
        <v>-5.9631425195664355E-5</v>
      </c>
      <c r="S97" s="2"/>
      <c r="T97" s="6"/>
      <c r="U97" s="2"/>
      <c r="V97" s="7">
        <f t="shared" si="33"/>
        <v>0</v>
      </c>
      <c r="W97" s="2"/>
      <c r="X97" s="6">
        <f t="shared" si="34"/>
        <v>-9.07</v>
      </c>
      <c r="Y97" s="2"/>
      <c r="Z97" s="7">
        <f t="shared" si="35"/>
        <v>0</v>
      </c>
    </row>
    <row r="98" spans="1:26" s="26" customFormat="1" outlineLevel="1" collapsed="1" x14ac:dyDescent="0.25">
      <c r="A98" s="25"/>
      <c r="B98" s="13" t="str">
        <f>CONCATENATE("     ","Discounts and Markdowns                           ")</f>
        <v xml:space="preserve">     Discounts and Markdowns                           </v>
      </c>
      <c r="C98" s="13"/>
      <c r="D98" s="1">
        <f>SUM(OSRRefD22_4x_0)</f>
        <v>3215.8100000000004</v>
      </c>
      <c r="E98" s="1"/>
      <c r="F98" s="5">
        <f t="shared" si="28"/>
        <v>2.4118774582859662E-2</v>
      </c>
      <c r="G98" s="1"/>
      <c r="H98" s="1">
        <f>SUM(OSRRefH22_4x_0)</f>
        <v>2500</v>
      </c>
      <c r="I98" s="1"/>
      <c r="J98" s="5">
        <f t="shared" si="29"/>
        <v>1.7300798604863599E-2</v>
      </c>
      <c r="K98" s="1"/>
      <c r="L98" s="1">
        <f t="shared" si="30"/>
        <v>715.8100000000004</v>
      </c>
      <c r="M98" s="1"/>
      <c r="N98" s="5">
        <f t="shared" si="31"/>
        <v>0.28632400000000013</v>
      </c>
      <c r="O98" s="13"/>
      <c r="P98" s="1">
        <f>SUM(OSRRefP22_4x_0)</f>
        <v>5501.41</v>
      </c>
      <c r="Q98" s="1"/>
      <c r="R98" s="5">
        <f t="shared" si="32"/>
        <v>3.6169450814297663E-2</v>
      </c>
      <c r="S98" s="1"/>
      <c r="T98" s="1">
        <f>SUM(OSRRefT22_4x_0)</f>
        <v>5000</v>
      </c>
      <c r="U98" s="1"/>
      <c r="V98" s="5">
        <f t="shared" si="33"/>
        <v>3.0717247734602979E-2</v>
      </c>
      <c r="W98" s="1"/>
      <c r="X98" s="1">
        <f t="shared" si="34"/>
        <v>501.40999999999985</v>
      </c>
      <c r="Y98" s="1"/>
      <c r="Z98" s="5">
        <f t="shared" si="35"/>
        <v>0.10028199999999997</v>
      </c>
    </row>
    <row r="99" spans="1:26" s="24" customFormat="1" hidden="1" outlineLevel="2" x14ac:dyDescent="0.25">
      <c r="A99" s="27"/>
      <c r="B99" s="11" t="str">
        <f>CONCATENATE("          ", "6382", " - ", "DISCOUNTS/MARK DOWNS")</f>
        <v xml:space="preserve">          6382 - DISCOUNTS/MARK DOWNS</v>
      </c>
      <c r="C99" s="11"/>
      <c r="D99" s="6">
        <v>3329.05</v>
      </c>
      <c r="E99" s="2"/>
      <c r="F99" s="7">
        <f t="shared" si="28"/>
        <v>2.4968081610875319E-2</v>
      </c>
      <c r="G99" s="2"/>
      <c r="H99" s="6">
        <v>2500</v>
      </c>
      <c r="I99" s="2"/>
      <c r="J99" s="7">
        <f t="shared" si="29"/>
        <v>1.7300798604863599E-2</v>
      </c>
      <c r="K99" s="2"/>
      <c r="L99" s="6">
        <f t="shared" si="30"/>
        <v>829.05000000000018</v>
      </c>
      <c r="M99" s="2"/>
      <c r="N99" s="7">
        <f t="shared" si="31"/>
        <v>0.33162000000000008</v>
      </c>
      <c r="O99" s="11"/>
      <c r="P99" s="6">
        <v>5614.65</v>
      </c>
      <c r="Q99" s="2"/>
      <c r="R99" s="7">
        <f t="shared" si="32"/>
        <v>3.6913956061172752E-2</v>
      </c>
      <c r="S99" s="2"/>
      <c r="T99" s="6">
        <v>5000</v>
      </c>
      <c r="U99" s="2"/>
      <c r="V99" s="7">
        <f t="shared" si="33"/>
        <v>3.0717247734602979E-2</v>
      </c>
      <c r="W99" s="2"/>
      <c r="X99" s="6">
        <f t="shared" si="34"/>
        <v>614.64999999999964</v>
      </c>
      <c r="Y99" s="2"/>
      <c r="Z99" s="7">
        <f t="shared" si="35"/>
        <v>0.12292999999999993</v>
      </c>
    </row>
    <row r="100" spans="1:26" s="24" customFormat="1" hidden="1" outlineLevel="2" x14ac:dyDescent="0.25">
      <c r="A100" s="27"/>
      <c r="B100" s="11" t="str">
        <f>CONCATENATE("          ", "9175", " - ", "EARNED DISCOUNTS")</f>
        <v xml:space="preserve">          9175 - EARNED DISCOUNTS</v>
      </c>
      <c r="C100" s="11"/>
      <c r="D100" s="6">
        <v>-113.24</v>
      </c>
      <c r="E100" s="2"/>
      <c r="F100" s="7">
        <f t="shared" si="28"/>
        <v>-8.493070280156563E-4</v>
      </c>
      <c r="G100" s="2"/>
      <c r="H100" s="6"/>
      <c r="I100" s="2"/>
      <c r="J100" s="7">
        <f t="shared" si="29"/>
        <v>0</v>
      </c>
      <c r="K100" s="2"/>
      <c r="L100" s="6">
        <f t="shared" si="30"/>
        <v>-113.24</v>
      </c>
      <c r="M100" s="2"/>
      <c r="N100" s="7">
        <f t="shared" si="31"/>
        <v>0</v>
      </c>
      <c r="O100" s="11"/>
      <c r="P100" s="6">
        <v>-113.24</v>
      </c>
      <c r="Q100" s="2"/>
      <c r="R100" s="7">
        <f t="shared" si="32"/>
        <v>-7.4450524687508614E-4</v>
      </c>
      <c r="S100" s="2"/>
      <c r="T100" s="6"/>
      <c r="U100" s="2"/>
      <c r="V100" s="7">
        <f t="shared" si="33"/>
        <v>0</v>
      </c>
      <c r="W100" s="2"/>
      <c r="X100" s="6">
        <f t="shared" si="34"/>
        <v>-113.24</v>
      </c>
      <c r="Y100" s="2"/>
      <c r="Z100" s="7">
        <f t="shared" si="35"/>
        <v>0</v>
      </c>
    </row>
    <row r="101" spans="1:26" s="26" customFormat="1" outlineLevel="1" collapsed="1" x14ac:dyDescent="0.25">
      <c r="A101" s="25"/>
      <c r="B101" s="13" t="str">
        <f>CONCATENATE("     ","Employees' Appreciation                           ")</f>
        <v xml:space="preserve">     Employees' Appreciation                           </v>
      </c>
      <c r="C101" s="13"/>
      <c r="D101" s="1">
        <f>SUM(OSRRefD22_5x_0)</f>
        <v>0</v>
      </c>
      <c r="E101" s="1"/>
      <c r="F101" s="5">
        <f t="shared" ref="F101:F111" si="36">IF(D$12=0,0,D101/D$12)</f>
        <v>0</v>
      </c>
      <c r="G101" s="1"/>
      <c r="H101" s="1">
        <f>SUM(OSRRefH22_5x_0)</f>
        <v>50</v>
      </c>
      <c r="I101" s="1"/>
      <c r="J101" s="5">
        <f t="shared" ref="J101:J111" si="37">IF(H$12=0,0,H101/H$12)</f>
        <v>3.4601597209727201E-4</v>
      </c>
      <c r="K101" s="1"/>
      <c r="L101" s="1">
        <f t="shared" ref="L101:L111" si="38">+D101-H101</f>
        <v>-50</v>
      </c>
      <c r="M101" s="1"/>
      <c r="N101" s="5">
        <f t="shared" ref="N101:N111" si="39">IF(H101=0,0,L101/H101)</f>
        <v>-1</v>
      </c>
      <c r="O101" s="13"/>
      <c r="P101" s="1">
        <f>SUM(OSRRefP22_5x_0)</f>
        <v>0</v>
      </c>
      <c r="Q101" s="1"/>
      <c r="R101" s="5">
        <f t="shared" ref="R101:R111" si="40">IF(P$12=0,0,P101/P$12)</f>
        <v>0</v>
      </c>
      <c r="S101" s="1"/>
      <c r="T101" s="1">
        <f>SUM(OSRRefT22_5x_0)</f>
        <v>100</v>
      </c>
      <c r="U101" s="1"/>
      <c r="V101" s="5">
        <f t="shared" ref="V101:V111" si="41">IF(T$12=0,0,T101/T$12)</f>
        <v>6.1434495469205963E-4</v>
      </c>
      <c r="W101" s="1"/>
      <c r="X101" s="1">
        <f t="shared" ref="X101:X111" si="42">+P101-T101</f>
        <v>-100</v>
      </c>
      <c r="Y101" s="1"/>
      <c r="Z101" s="5">
        <f t="shared" ref="Z101:Z111" si="43">IF(T101=0,0,X101/T101)</f>
        <v>-1</v>
      </c>
    </row>
    <row r="102" spans="1:26" s="24" customFormat="1" hidden="1" outlineLevel="2" x14ac:dyDescent="0.25">
      <c r="A102" s="27"/>
      <c r="B102" s="11" t="str">
        <f>CONCATENATE("          ", "6277", " - ", "EMPLOYEE APPRECIATION")</f>
        <v xml:space="preserve">          6277 - EMPLOYEE APPRECIATION</v>
      </c>
      <c r="C102" s="11"/>
      <c r="D102" s="6"/>
      <c r="E102" s="2"/>
      <c r="F102" s="7">
        <f t="shared" si="36"/>
        <v>0</v>
      </c>
      <c r="G102" s="2"/>
      <c r="H102" s="6">
        <v>50</v>
      </c>
      <c r="I102" s="2"/>
      <c r="J102" s="7">
        <f t="shared" si="37"/>
        <v>3.4601597209727201E-4</v>
      </c>
      <c r="K102" s="2"/>
      <c r="L102" s="6">
        <f t="shared" si="38"/>
        <v>-50</v>
      </c>
      <c r="M102" s="2"/>
      <c r="N102" s="7">
        <f t="shared" si="39"/>
        <v>-1</v>
      </c>
      <c r="O102" s="11"/>
      <c r="P102" s="6"/>
      <c r="Q102" s="2"/>
      <c r="R102" s="7">
        <f t="shared" si="40"/>
        <v>0</v>
      </c>
      <c r="S102" s="2"/>
      <c r="T102" s="6">
        <v>100</v>
      </c>
      <c r="U102" s="2"/>
      <c r="V102" s="7">
        <f t="shared" si="41"/>
        <v>6.1434495469205963E-4</v>
      </c>
      <c r="W102" s="2"/>
      <c r="X102" s="6">
        <f t="shared" si="42"/>
        <v>-100</v>
      </c>
      <c r="Y102" s="2"/>
      <c r="Z102" s="7">
        <f t="shared" si="43"/>
        <v>-1</v>
      </c>
    </row>
    <row r="103" spans="1:26" s="26" customFormat="1" outlineLevel="1" collapsed="1" x14ac:dyDescent="0.25">
      <c r="A103" s="25"/>
      <c r="B103" s="13" t="str">
        <f>CONCATENATE("     ","General                                           ")</f>
        <v xml:space="preserve">     General                                           </v>
      </c>
      <c r="C103" s="13"/>
      <c r="D103" s="1">
        <f>SUM(OSRRefD22_6x_0)</f>
        <v>0</v>
      </c>
      <c r="E103" s="1"/>
      <c r="F103" s="5">
        <f t="shared" si="36"/>
        <v>0</v>
      </c>
      <c r="G103" s="1"/>
      <c r="H103" s="1">
        <f>SUM(OSRRefH22_6x_0)</f>
        <v>80</v>
      </c>
      <c r="I103" s="1"/>
      <c r="J103" s="5">
        <f t="shared" si="37"/>
        <v>5.5362555535563526E-4</v>
      </c>
      <c r="K103" s="1"/>
      <c r="L103" s="1">
        <f t="shared" si="38"/>
        <v>-80</v>
      </c>
      <c r="M103" s="1"/>
      <c r="N103" s="5">
        <f t="shared" si="39"/>
        <v>-1</v>
      </c>
      <c r="O103" s="13"/>
      <c r="P103" s="1">
        <f>SUM(OSRRefP22_6x_0)</f>
        <v>694.55</v>
      </c>
      <c r="Q103" s="1"/>
      <c r="R103" s="5">
        <f t="shared" si="40"/>
        <v>4.5663733593879468E-3</v>
      </c>
      <c r="S103" s="1"/>
      <c r="T103" s="1">
        <f>SUM(OSRRefT22_6x_0)</f>
        <v>160</v>
      </c>
      <c r="U103" s="1"/>
      <c r="V103" s="5">
        <f t="shared" si="41"/>
        <v>9.8295192750729528E-4</v>
      </c>
      <c r="W103" s="1"/>
      <c r="X103" s="1">
        <f t="shared" si="42"/>
        <v>534.54999999999995</v>
      </c>
      <c r="Y103" s="1"/>
      <c r="Z103" s="5">
        <f t="shared" si="43"/>
        <v>3.3409374999999999</v>
      </c>
    </row>
    <row r="104" spans="1:26" s="24" customFormat="1" hidden="1" outlineLevel="2" x14ac:dyDescent="0.25">
      <c r="A104" s="27"/>
      <c r="B104" s="11" t="str">
        <f>CONCATENATE("          ", "6279", " - ", "GENERAL EXPENSE")</f>
        <v xml:space="preserve">          6279 - GENERAL EXPENSE</v>
      </c>
      <c r="C104" s="11"/>
      <c r="D104" s="6"/>
      <c r="E104" s="2"/>
      <c r="F104" s="7">
        <f t="shared" si="36"/>
        <v>0</v>
      </c>
      <c r="G104" s="2"/>
      <c r="H104" s="6">
        <v>80</v>
      </c>
      <c r="I104" s="2"/>
      <c r="J104" s="7">
        <f t="shared" si="37"/>
        <v>5.5362555535563526E-4</v>
      </c>
      <c r="K104" s="2"/>
      <c r="L104" s="6">
        <f t="shared" si="38"/>
        <v>-80</v>
      </c>
      <c r="M104" s="2"/>
      <c r="N104" s="7">
        <f t="shared" si="39"/>
        <v>-1</v>
      </c>
      <c r="O104" s="11"/>
      <c r="P104" s="6">
        <v>694.55</v>
      </c>
      <c r="Q104" s="2"/>
      <c r="R104" s="7">
        <f t="shared" si="40"/>
        <v>4.5663733593879468E-3</v>
      </c>
      <c r="S104" s="2"/>
      <c r="T104" s="6">
        <v>160</v>
      </c>
      <c r="U104" s="2"/>
      <c r="V104" s="7">
        <f t="shared" si="41"/>
        <v>9.8295192750729528E-4</v>
      </c>
      <c r="W104" s="2"/>
      <c r="X104" s="6">
        <f t="shared" si="42"/>
        <v>534.54999999999995</v>
      </c>
      <c r="Y104" s="2"/>
      <c r="Z104" s="7">
        <f t="shared" si="43"/>
        <v>3.3409374999999999</v>
      </c>
    </row>
    <row r="105" spans="1:26" s="26" customFormat="1" outlineLevel="1" collapsed="1" x14ac:dyDescent="0.25">
      <c r="A105" s="25"/>
      <c r="B105" s="13" t="str">
        <f>CONCATENATE("     ","Professional Services                             ")</f>
        <v xml:space="preserve">     Professional Services                             </v>
      </c>
      <c r="C105" s="13"/>
      <c r="D105" s="1">
        <f>SUM(OSRRefD22_7x_0)</f>
        <v>0</v>
      </c>
      <c r="E105" s="1"/>
      <c r="F105" s="5">
        <f t="shared" si="36"/>
        <v>0</v>
      </c>
      <c r="G105" s="1"/>
      <c r="H105" s="1">
        <f>SUM(OSRRefH22_7x_0)</f>
        <v>115</v>
      </c>
      <c r="I105" s="1"/>
      <c r="J105" s="5">
        <f t="shared" si="37"/>
        <v>7.9583673582372559E-4</v>
      </c>
      <c r="K105" s="1"/>
      <c r="L105" s="1">
        <f t="shared" si="38"/>
        <v>-115</v>
      </c>
      <c r="M105" s="1"/>
      <c r="N105" s="5">
        <f t="shared" si="39"/>
        <v>-1</v>
      </c>
      <c r="O105" s="13"/>
      <c r="P105" s="1">
        <f>SUM(OSRRefP22_7x_0)</f>
        <v>750</v>
      </c>
      <c r="Q105" s="1"/>
      <c r="R105" s="5">
        <f t="shared" si="40"/>
        <v>4.9309337262125981E-3</v>
      </c>
      <c r="S105" s="1"/>
      <c r="T105" s="1">
        <f>SUM(OSRRefT22_7x_0)</f>
        <v>230</v>
      </c>
      <c r="U105" s="1"/>
      <c r="V105" s="5">
        <f t="shared" si="41"/>
        <v>1.412993395791737E-3</v>
      </c>
      <c r="W105" s="1"/>
      <c r="X105" s="1">
        <f t="shared" si="42"/>
        <v>520</v>
      </c>
      <c r="Y105" s="1"/>
      <c r="Z105" s="5">
        <f t="shared" si="43"/>
        <v>2.2608695652173911</v>
      </c>
    </row>
    <row r="106" spans="1:26" s="24" customFormat="1" hidden="1" outlineLevel="2" x14ac:dyDescent="0.25">
      <c r="A106" s="27"/>
      <c r="B106" s="11" t="str">
        <f>CONCATENATE("          ", "6336", " - ", "PROFESSIONAL SERVICES")</f>
        <v xml:space="preserve">          6336 - PROFESSIONAL SERVICES</v>
      </c>
      <c r="C106" s="11"/>
      <c r="D106" s="6"/>
      <c r="E106" s="2"/>
      <c r="F106" s="7">
        <f t="shared" si="36"/>
        <v>0</v>
      </c>
      <c r="G106" s="2"/>
      <c r="H106" s="6">
        <v>115</v>
      </c>
      <c r="I106" s="2"/>
      <c r="J106" s="7">
        <f t="shared" si="37"/>
        <v>7.9583673582372559E-4</v>
      </c>
      <c r="K106" s="2"/>
      <c r="L106" s="6">
        <f t="shared" si="38"/>
        <v>-115</v>
      </c>
      <c r="M106" s="2"/>
      <c r="N106" s="7">
        <f t="shared" si="39"/>
        <v>-1</v>
      </c>
      <c r="O106" s="11"/>
      <c r="P106" s="6">
        <v>750</v>
      </c>
      <c r="Q106" s="2"/>
      <c r="R106" s="7">
        <f t="shared" si="40"/>
        <v>4.9309337262125981E-3</v>
      </c>
      <c r="S106" s="2"/>
      <c r="T106" s="6">
        <v>230</v>
      </c>
      <c r="U106" s="2"/>
      <c r="V106" s="7">
        <f t="shared" si="41"/>
        <v>1.412993395791737E-3</v>
      </c>
      <c r="W106" s="2"/>
      <c r="X106" s="6">
        <f t="shared" si="42"/>
        <v>520</v>
      </c>
      <c r="Y106" s="2"/>
      <c r="Z106" s="7">
        <f t="shared" si="43"/>
        <v>2.2608695652173911</v>
      </c>
    </row>
    <row r="107" spans="1:26" s="26" customFormat="1" outlineLevel="1" collapsed="1" x14ac:dyDescent="0.25">
      <c r="A107" s="25"/>
      <c r="B107" s="13" t="str">
        <f>CONCATENATE("     ","Repair and Maintenance                            ")</f>
        <v xml:space="preserve">     Repair and Maintenance                            </v>
      </c>
      <c r="C107" s="13"/>
      <c r="D107" s="1">
        <f>SUM(OSRRefD22_8x_0)</f>
        <v>0</v>
      </c>
      <c r="E107" s="1"/>
      <c r="F107" s="5">
        <f t="shared" si="36"/>
        <v>0</v>
      </c>
      <c r="G107" s="1"/>
      <c r="H107" s="1">
        <f>SUM(OSRRefH22_8x_0)</f>
        <v>125</v>
      </c>
      <c r="I107" s="1"/>
      <c r="J107" s="5">
        <f t="shared" si="37"/>
        <v>8.6503993024318008E-4</v>
      </c>
      <c r="K107" s="1"/>
      <c r="L107" s="1">
        <f t="shared" si="38"/>
        <v>-125</v>
      </c>
      <c r="M107" s="1"/>
      <c r="N107" s="5">
        <f t="shared" si="39"/>
        <v>-1</v>
      </c>
      <c r="O107" s="13"/>
      <c r="P107" s="1">
        <f>SUM(OSRRefP22_8x_0)</f>
        <v>0</v>
      </c>
      <c r="Q107" s="1"/>
      <c r="R107" s="5">
        <f t="shared" si="40"/>
        <v>0</v>
      </c>
      <c r="S107" s="1"/>
      <c r="T107" s="1">
        <f>SUM(OSRRefT22_8x_0)</f>
        <v>250</v>
      </c>
      <c r="U107" s="1"/>
      <c r="V107" s="5">
        <f t="shared" si="41"/>
        <v>1.535862386730149E-3</v>
      </c>
      <c r="W107" s="1"/>
      <c r="X107" s="1">
        <f t="shared" si="42"/>
        <v>-250</v>
      </c>
      <c r="Y107" s="1"/>
      <c r="Z107" s="5">
        <f t="shared" si="43"/>
        <v>-1</v>
      </c>
    </row>
    <row r="108" spans="1:26" s="24" customFormat="1" hidden="1" outlineLevel="2" x14ac:dyDescent="0.25">
      <c r="A108" s="27"/>
      <c r="B108" s="11" t="str">
        <f>CONCATENATE("          ", "6375", " - ", "OUTSIDE REPAIRS &amp; MAINTENANCE")</f>
        <v xml:space="preserve">          6375 - OUTSIDE REPAIRS &amp; MAINTENANCE</v>
      </c>
      <c r="C108" s="11"/>
      <c r="D108" s="6"/>
      <c r="E108" s="2"/>
      <c r="F108" s="7">
        <f t="shared" si="36"/>
        <v>0</v>
      </c>
      <c r="G108" s="2"/>
      <c r="H108" s="6">
        <v>125</v>
      </c>
      <c r="I108" s="2"/>
      <c r="J108" s="7">
        <f t="shared" si="37"/>
        <v>8.6503993024318008E-4</v>
      </c>
      <c r="K108" s="2"/>
      <c r="L108" s="6">
        <f t="shared" si="38"/>
        <v>-125</v>
      </c>
      <c r="M108" s="2"/>
      <c r="N108" s="7">
        <f t="shared" si="39"/>
        <v>-1</v>
      </c>
      <c r="O108" s="11"/>
      <c r="P108" s="6"/>
      <c r="Q108" s="2"/>
      <c r="R108" s="7">
        <f t="shared" si="40"/>
        <v>0</v>
      </c>
      <c r="S108" s="2"/>
      <c r="T108" s="6">
        <v>250</v>
      </c>
      <c r="U108" s="2"/>
      <c r="V108" s="7">
        <f t="shared" si="41"/>
        <v>1.535862386730149E-3</v>
      </c>
      <c r="W108" s="2"/>
      <c r="X108" s="6">
        <f t="shared" si="42"/>
        <v>-250</v>
      </c>
      <c r="Y108" s="2"/>
      <c r="Z108" s="7">
        <f t="shared" si="43"/>
        <v>-1</v>
      </c>
    </row>
    <row r="109" spans="1:26" s="26" customFormat="1" outlineLevel="1" collapsed="1" x14ac:dyDescent="0.25">
      <c r="A109" s="25"/>
      <c r="B109" s="13" t="str">
        <f>CONCATENATE("     ","Services                                          ")</f>
        <v xml:space="preserve">     Services                                          </v>
      </c>
      <c r="C109" s="13"/>
      <c r="D109" s="1">
        <f>SUM(OSRRefD22_9x_0)</f>
        <v>255.18</v>
      </c>
      <c r="E109" s="1"/>
      <c r="F109" s="5">
        <f t="shared" si="36"/>
        <v>1.9138658372398023E-3</v>
      </c>
      <c r="G109" s="1"/>
      <c r="H109" s="1">
        <f>SUM(OSRRefH22_9x_0)</f>
        <v>100</v>
      </c>
      <c r="I109" s="1"/>
      <c r="J109" s="5">
        <f t="shared" si="37"/>
        <v>6.9203194419454402E-4</v>
      </c>
      <c r="K109" s="1"/>
      <c r="L109" s="1">
        <f t="shared" si="38"/>
        <v>155.18</v>
      </c>
      <c r="M109" s="1"/>
      <c r="N109" s="5">
        <f t="shared" si="39"/>
        <v>1.5518000000000001</v>
      </c>
      <c r="O109" s="13"/>
      <c r="P109" s="1">
        <f>SUM(OSRRefP22_9x_0)</f>
        <v>462.85</v>
      </c>
      <c r="Q109" s="1"/>
      <c r="R109" s="5">
        <f t="shared" si="40"/>
        <v>3.0430435669033351E-3</v>
      </c>
      <c r="S109" s="1"/>
      <c r="T109" s="1">
        <f>SUM(OSRRefT22_9x_0)</f>
        <v>200</v>
      </c>
      <c r="U109" s="1"/>
      <c r="V109" s="5">
        <f t="shared" si="41"/>
        <v>1.2286899093841193E-3</v>
      </c>
      <c r="W109" s="1"/>
      <c r="X109" s="1">
        <f t="shared" si="42"/>
        <v>262.85000000000002</v>
      </c>
      <c r="Y109" s="1"/>
      <c r="Z109" s="5">
        <f t="shared" si="43"/>
        <v>1.3142500000000001</v>
      </c>
    </row>
    <row r="110" spans="1:26" s="24" customFormat="1" hidden="1" outlineLevel="2" x14ac:dyDescent="0.25">
      <c r="A110" s="27"/>
      <c r="B110" s="11" t="str">
        <f>CONCATENATE("          ", "6282", " - ", "JANITORIAL/EXTERMINATOR EXPENS")</f>
        <v xml:space="preserve">          6282 - JANITORIAL/EXTERMINATOR EXPENS</v>
      </c>
      <c r="C110" s="11"/>
      <c r="D110" s="6">
        <v>44</v>
      </c>
      <c r="E110" s="2"/>
      <c r="F110" s="7">
        <f t="shared" si="36"/>
        <v>3.3000273077259698E-4</v>
      </c>
      <c r="G110" s="2"/>
      <c r="H110" s="6">
        <v>50</v>
      </c>
      <c r="I110" s="2"/>
      <c r="J110" s="7">
        <f t="shared" si="37"/>
        <v>3.4601597209727201E-4</v>
      </c>
      <c r="K110" s="2"/>
      <c r="L110" s="6">
        <f t="shared" si="38"/>
        <v>-6</v>
      </c>
      <c r="M110" s="2"/>
      <c r="N110" s="7">
        <f t="shared" si="39"/>
        <v>-0.12</v>
      </c>
      <c r="O110" s="11"/>
      <c r="P110" s="6">
        <v>88</v>
      </c>
      <c r="Q110" s="2"/>
      <c r="R110" s="7">
        <f t="shared" si="40"/>
        <v>5.7856289054227818E-4</v>
      </c>
      <c r="S110" s="2"/>
      <c r="T110" s="6">
        <v>100</v>
      </c>
      <c r="U110" s="2"/>
      <c r="V110" s="7">
        <f t="shared" si="41"/>
        <v>6.1434495469205963E-4</v>
      </c>
      <c r="W110" s="2"/>
      <c r="X110" s="6">
        <f t="shared" si="42"/>
        <v>-12</v>
      </c>
      <c r="Y110" s="2"/>
      <c r="Z110" s="7">
        <f t="shared" si="43"/>
        <v>-0.12</v>
      </c>
    </row>
    <row r="111" spans="1:26" s="24" customFormat="1" hidden="1" outlineLevel="2" x14ac:dyDescent="0.25">
      <c r="A111" s="27"/>
      <c r="B111" s="11" t="str">
        <f>CONCATENATE("          ", "6285", " - ", "JANITORIAL SERVICES")</f>
        <v xml:space="preserve">          6285 - JANITORIAL SERVICES</v>
      </c>
      <c r="C111" s="11"/>
      <c r="D111" s="6">
        <v>211.18</v>
      </c>
      <c r="E111" s="2"/>
      <c r="F111" s="7">
        <f t="shared" si="36"/>
        <v>1.5838631064672053E-3</v>
      </c>
      <c r="G111" s="2"/>
      <c r="H111" s="6">
        <v>50</v>
      </c>
      <c r="I111" s="2"/>
      <c r="J111" s="7">
        <f t="shared" si="37"/>
        <v>3.4601597209727201E-4</v>
      </c>
      <c r="K111" s="2"/>
      <c r="L111" s="6">
        <f t="shared" si="38"/>
        <v>161.18</v>
      </c>
      <c r="M111" s="2"/>
      <c r="N111" s="7">
        <f t="shared" si="39"/>
        <v>3.2236000000000002</v>
      </c>
      <c r="O111" s="11"/>
      <c r="P111" s="6">
        <v>374.85</v>
      </c>
      <c r="Q111" s="2"/>
      <c r="R111" s="7">
        <f t="shared" si="40"/>
        <v>2.4644806763610568E-3</v>
      </c>
      <c r="S111" s="2"/>
      <c r="T111" s="6">
        <v>100</v>
      </c>
      <c r="U111" s="2"/>
      <c r="V111" s="7">
        <f t="shared" si="41"/>
        <v>6.1434495469205963E-4</v>
      </c>
      <c r="W111" s="2"/>
      <c r="X111" s="6">
        <f t="shared" si="42"/>
        <v>274.85000000000002</v>
      </c>
      <c r="Y111" s="2"/>
      <c r="Z111" s="7">
        <f t="shared" si="43"/>
        <v>2.7485000000000004</v>
      </c>
    </row>
    <row r="112" spans="1:26" s="26" customFormat="1" outlineLevel="1" collapsed="1" x14ac:dyDescent="0.25">
      <c r="A112" s="25"/>
      <c r="B112" s="13" t="str">
        <f>CONCATENATE("     ","Subscriptions &amp; Dues                              ")</f>
        <v xml:space="preserve">     Subscriptions &amp; Dues                              </v>
      </c>
      <c r="C112" s="13"/>
      <c r="D112" s="1">
        <f>SUM(OSRRefD22_10x_0)</f>
        <v>120</v>
      </c>
      <c r="E112" s="1"/>
      <c r="F112" s="5">
        <f t="shared" ref="F112:F119" si="44">IF(D$12=0,0,D112/D$12)</f>
        <v>9.0000744756162814E-4</v>
      </c>
      <c r="G112" s="1"/>
      <c r="H112" s="1">
        <f>SUM(OSRRefH22_10x_0)</f>
        <v>0</v>
      </c>
      <c r="I112" s="1"/>
      <c r="J112" s="5">
        <f t="shared" ref="J112:J119" si="45">IF(H$12=0,0,H112/H$12)</f>
        <v>0</v>
      </c>
      <c r="K112" s="1"/>
      <c r="L112" s="1">
        <f t="shared" ref="L112:L119" si="46">+D112-H112</f>
        <v>120</v>
      </c>
      <c r="M112" s="1"/>
      <c r="N112" s="5">
        <f t="shared" ref="N112:N119" si="47">IF(H112=0,0,L112/H112)</f>
        <v>0</v>
      </c>
      <c r="O112" s="13"/>
      <c r="P112" s="1">
        <f>SUM(OSRRefP22_10x_0)</f>
        <v>120</v>
      </c>
      <c r="Q112" s="1"/>
      <c r="R112" s="5">
        <f t="shared" ref="R112:R119" si="48">IF(P$12=0,0,P112/P$12)</f>
        <v>7.8894939619401569E-4</v>
      </c>
      <c r="S112" s="1"/>
      <c r="T112" s="1">
        <f>SUM(OSRRefT22_10x_0)</f>
        <v>0</v>
      </c>
      <c r="U112" s="1"/>
      <c r="V112" s="5">
        <f t="shared" ref="V112:V119" si="49">IF(T$12=0,0,T112/T$12)</f>
        <v>0</v>
      </c>
      <c r="W112" s="1"/>
      <c r="X112" s="1">
        <f t="shared" ref="X112:X119" si="50">+P112-T112</f>
        <v>120</v>
      </c>
      <c r="Y112" s="1"/>
      <c r="Z112" s="5">
        <f t="shared" ref="Z112:Z119" si="51">IF(T112=0,0,X112/T112)</f>
        <v>0</v>
      </c>
    </row>
    <row r="113" spans="1:26" s="24" customFormat="1" hidden="1" outlineLevel="2" x14ac:dyDescent="0.25">
      <c r="A113" s="27"/>
      <c r="B113" s="11" t="str">
        <f>CONCATENATE("          ", "6258", " - ", "MEMBERSHIP DUES")</f>
        <v xml:space="preserve">          6258 - MEMBERSHIP DUES</v>
      </c>
      <c r="C113" s="11"/>
      <c r="D113" s="6">
        <v>120</v>
      </c>
      <c r="E113" s="2"/>
      <c r="F113" s="7">
        <f t="shared" si="44"/>
        <v>9.0000744756162814E-4</v>
      </c>
      <c r="G113" s="2"/>
      <c r="H113" s="6"/>
      <c r="I113" s="2"/>
      <c r="J113" s="7">
        <f t="shared" si="45"/>
        <v>0</v>
      </c>
      <c r="K113" s="2"/>
      <c r="L113" s="6">
        <f t="shared" si="46"/>
        <v>120</v>
      </c>
      <c r="M113" s="2"/>
      <c r="N113" s="7">
        <f t="shared" si="47"/>
        <v>0</v>
      </c>
      <c r="O113" s="11"/>
      <c r="P113" s="6">
        <v>120</v>
      </c>
      <c r="Q113" s="2"/>
      <c r="R113" s="7">
        <f t="shared" si="48"/>
        <v>7.8894939619401569E-4</v>
      </c>
      <c r="S113" s="2"/>
      <c r="T113" s="6"/>
      <c r="U113" s="2"/>
      <c r="V113" s="7">
        <f t="shared" si="49"/>
        <v>0</v>
      </c>
      <c r="W113" s="2"/>
      <c r="X113" s="6">
        <f t="shared" si="50"/>
        <v>120</v>
      </c>
      <c r="Y113" s="2"/>
      <c r="Z113" s="7">
        <f t="shared" si="51"/>
        <v>0</v>
      </c>
    </row>
    <row r="114" spans="1:26" s="26" customFormat="1" outlineLevel="1" collapsed="1" x14ac:dyDescent="0.25">
      <c r="A114" s="25"/>
      <c r="B114" s="13" t="str">
        <f>CONCATENATE("     ","Supplies                                          ")</f>
        <v xml:space="preserve">     Supplies                                          </v>
      </c>
      <c r="C114" s="13"/>
      <c r="D114" s="1">
        <f>SUM(OSRRefD22_11x_0)</f>
        <v>52.29</v>
      </c>
      <c r="E114" s="1"/>
      <c r="F114" s="5">
        <f t="shared" si="44"/>
        <v>3.9217824527497944E-4</v>
      </c>
      <c r="G114" s="1"/>
      <c r="H114" s="1">
        <f>SUM(OSRRefH22_11x_0)</f>
        <v>225</v>
      </c>
      <c r="I114" s="1"/>
      <c r="J114" s="5">
        <f t="shared" si="45"/>
        <v>1.557071874437724E-3</v>
      </c>
      <c r="K114" s="1"/>
      <c r="L114" s="1">
        <f t="shared" si="46"/>
        <v>-172.71</v>
      </c>
      <c r="M114" s="1"/>
      <c r="N114" s="5">
        <f t="shared" si="47"/>
        <v>-0.76760000000000006</v>
      </c>
      <c r="O114" s="13"/>
      <c r="P114" s="1">
        <f>SUM(OSRRefP22_11x_0)</f>
        <v>213.42</v>
      </c>
      <c r="Q114" s="1"/>
      <c r="R114" s="5">
        <f t="shared" si="48"/>
        <v>1.4031465011310569E-3</v>
      </c>
      <c r="S114" s="1"/>
      <c r="T114" s="1">
        <f>SUM(OSRRefT22_11x_0)</f>
        <v>450</v>
      </c>
      <c r="U114" s="1"/>
      <c r="V114" s="5">
        <f t="shared" si="49"/>
        <v>2.7645522961142681E-3</v>
      </c>
      <c r="W114" s="1"/>
      <c r="X114" s="1">
        <f t="shared" si="50"/>
        <v>-236.58</v>
      </c>
      <c r="Y114" s="1"/>
      <c r="Z114" s="5">
        <f t="shared" si="51"/>
        <v>-0.52573333333333339</v>
      </c>
    </row>
    <row r="115" spans="1:26" s="24" customFormat="1" hidden="1" outlineLevel="2" x14ac:dyDescent="0.25">
      <c r="A115" s="27"/>
      <c r="B115" s="11" t="str">
        <f>CONCATENATE("          ", "6241", " - ", "OFFICE EXPENSE")</f>
        <v xml:space="preserve">          6241 - OFFICE EXPENSE</v>
      </c>
      <c r="C115" s="11"/>
      <c r="D115" s="6">
        <v>52.29</v>
      </c>
      <c r="E115" s="2"/>
      <c r="F115" s="7">
        <f t="shared" si="44"/>
        <v>3.9217824527497944E-4</v>
      </c>
      <c r="G115" s="2"/>
      <c r="H115" s="6">
        <v>225</v>
      </c>
      <c r="I115" s="2"/>
      <c r="J115" s="7">
        <f t="shared" si="45"/>
        <v>1.557071874437724E-3</v>
      </c>
      <c r="K115" s="2"/>
      <c r="L115" s="6">
        <f t="shared" si="46"/>
        <v>-172.71</v>
      </c>
      <c r="M115" s="2"/>
      <c r="N115" s="7">
        <f t="shared" si="47"/>
        <v>-0.76760000000000006</v>
      </c>
      <c r="O115" s="11"/>
      <c r="P115" s="6">
        <v>213.42</v>
      </c>
      <c r="Q115" s="2"/>
      <c r="R115" s="7">
        <f t="shared" si="48"/>
        <v>1.4031465011310569E-3</v>
      </c>
      <c r="S115" s="2"/>
      <c r="T115" s="6">
        <v>450</v>
      </c>
      <c r="U115" s="2"/>
      <c r="V115" s="7">
        <f t="shared" si="49"/>
        <v>2.7645522961142681E-3</v>
      </c>
      <c r="W115" s="2"/>
      <c r="X115" s="6">
        <f t="shared" si="50"/>
        <v>-236.58</v>
      </c>
      <c r="Y115" s="2"/>
      <c r="Z115" s="7">
        <f t="shared" si="51"/>
        <v>-0.52573333333333339</v>
      </c>
    </row>
    <row r="116" spans="1:26" s="26" customFormat="1" outlineLevel="1" collapsed="1" x14ac:dyDescent="0.25">
      <c r="A116" s="25"/>
      <c r="B116" s="13" t="str">
        <f>CONCATENATE("     ","Telephone/Data Lines                              ")</f>
        <v xml:space="preserve">     Telephone/Data Lines                              </v>
      </c>
      <c r="C116" s="13"/>
      <c r="D116" s="1">
        <f>SUM(OSRRefD22_12x_0)</f>
        <v>103.5</v>
      </c>
      <c r="E116" s="1"/>
      <c r="F116" s="5">
        <f t="shared" si="44"/>
        <v>7.762564235219042E-4</v>
      </c>
      <c r="G116" s="1"/>
      <c r="H116" s="1">
        <f>SUM(OSRRefH22_12x_0)</f>
        <v>75</v>
      </c>
      <c r="I116" s="1"/>
      <c r="J116" s="5">
        <f t="shared" si="45"/>
        <v>5.1902395814590807E-4</v>
      </c>
      <c r="K116" s="1"/>
      <c r="L116" s="1">
        <f t="shared" si="46"/>
        <v>28.5</v>
      </c>
      <c r="M116" s="1"/>
      <c r="N116" s="5">
        <f t="shared" si="47"/>
        <v>0.38</v>
      </c>
      <c r="O116" s="13"/>
      <c r="P116" s="1">
        <f>SUM(OSRRefP22_12x_0)</f>
        <v>177.5</v>
      </c>
      <c r="Q116" s="1"/>
      <c r="R116" s="5">
        <f t="shared" si="48"/>
        <v>1.1669876485369817E-3</v>
      </c>
      <c r="S116" s="1"/>
      <c r="T116" s="1">
        <f>SUM(OSRRefT22_12x_0)</f>
        <v>150</v>
      </c>
      <c r="U116" s="1"/>
      <c r="V116" s="5">
        <f t="shared" si="49"/>
        <v>9.2151743203808939E-4</v>
      </c>
      <c r="W116" s="1"/>
      <c r="X116" s="1">
        <f t="shared" si="50"/>
        <v>27.5</v>
      </c>
      <c r="Y116" s="1"/>
      <c r="Z116" s="5">
        <f t="shared" si="51"/>
        <v>0.18333333333333332</v>
      </c>
    </row>
    <row r="117" spans="1:26" s="24" customFormat="1" hidden="1" outlineLevel="2" x14ac:dyDescent="0.25">
      <c r="A117" s="27"/>
      <c r="B117" s="11" t="str">
        <f>CONCATENATE("          ", "6309", " - ", "TELEPHONE")</f>
        <v xml:space="preserve">          6309 - TELEPHONE</v>
      </c>
      <c r="C117" s="11"/>
      <c r="D117" s="6">
        <v>103.5</v>
      </c>
      <c r="E117" s="2"/>
      <c r="F117" s="7">
        <f t="shared" si="44"/>
        <v>7.762564235219042E-4</v>
      </c>
      <c r="G117" s="2"/>
      <c r="H117" s="6">
        <v>75</v>
      </c>
      <c r="I117" s="2"/>
      <c r="J117" s="7">
        <f t="shared" si="45"/>
        <v>5.1902395814590807E-4</v>
      </c>
      <c r="K117" s="2"/>
      <c r="L117" s="6">
        <f t="shared" si="46"/>
        <v>28.5</v>
      </c>
      <c r="M117" s="2"/>
      <c r="N117" s="7">
        <f t="shared" si="47"/>
        <v>0.38</v>
      </c>
      <c r="O117" s="11"/>
      <c r="P117" s="6">
        <v>177.5</v>
      </c>
      <c r="Q117" s="2"/>
      <c r="R117" s="7">
        <f t="shared" si="48"/>
        <v>1.1669876485369817E-3</v>
      </c>
      <c r="S117" s="2"/>
      <c r="T117" s="6">
        <v>150</v>
      </c>
      <c r="U117" s="2"/>
      <c r="V117" s="7">
        <f t="shared" si="49"/>
        <v>9.2151743203808939E-4</v>
      </c>
      <c r="W117" s="2"/>
      <c r="X117" s="6">
        <f t="shared" si="50"/>
        <v>27.5</v>
      </c>
      <c r="Y117" s="2"/>
      <c r="Z117" s="7">
        <f t="shared" si="51"/>
        <v>0.18333333333333332</v>
      </c>
    </row>
    <row r="118" spans="1:26" s="26" customFormat="1" outlineLevel="1" collapsed="1" x14ac:dyDescent="0.25">
      <c r="A118" s="25"/>
      <c r="B118" s="13" t="str">
        <f>CONCATENATE("     ","Training                                          ")</f>
        <v xml:space="preserve">     Training                                          </v>
      </c>
      <c r="C118" s="13"/>
      <c r="D118" s="1">
        <f>SUM(OSRRefD22_13x_0)</f>
        <v>0</v>
      </c>
      <c r="E118" s="1"/>
      <c r="F118" s="5">
        <f t="shared" si="44"/>
        <v>0</v>
      </c>
      <c r="G118" s="1"/>
      <c r="H118" s="1">
        <f>SUM(OSRRefH22_13x_0)</f>
        <v>175</v>
      </c>
      <c r="I118" s="1"/>
      <c r="J118" s="5">
        <f t="shared" si="45"/>
        <v>1.2110559023404521E-3</v>
      </c>
      <c r="K118" s="1"/>
      <c r="L118" s="1">
        <f t="shared" si="46"/>
        <v>-175</v>
      </c>
      <c r="M118" s="1"/>
      <c r="N118" s="5">
        <f t="shared" si="47"/>
        <v>-1</v>
      </c>
      <c r="O118" s="13"/>
      <c r="P118" s="1">
        <f>SUM(OSRRefP22_13x_0)</f>
        <v>0</v>
      </c>
      <c r="Q118" s="1"/>
      <c r="R118" s="5">
        <f t="shared" si="48"/>
        <v>0</v>
      </c>
      <c r="S118" s="1"/>
      <c r="T118" s="1">
        <f>SUM(OSRRefT22_13x_0)</f>
        <v>350</v>
      </c>
      <c r="U118" s="1"/>
      <c r="V118" s="5">
        <f t="shared" si="49"/>
        <v>2.1502073414222085E-3</v>
      </c>
      <c r="W118" s="1"/>
      <c r="X118" s="1">
        <f t="shared" si="50"/>
        <v>-350</v>
      </c>
      <c r="Y118" s="1"/>
      <c r="Z118" s="5">
        <f t="shared" si="51"/>
        <v>-1</v>
      </c>
    </row>
    <row r="119" spans="1:26" s="24" customFormat="1" hidden="1" outlineLevel="2" x14ac:dyDescent="0.25">
      <c r="A119" s="27"/>
      <c r="B119" s="11" t="str">
        <f>CONCATENATE("          ", "6376", " - ", "TRAINING")</f>
        <v xml:space="preserve">          6376 - TRAINING</v>
      </c>
      <c r="C119" s="11"/>
      <c r="D119" s="6"/>
      <c r="E119" s="2"/>
      <c r="F119" s="7">
        <f t="shared" si="44"/>
        <v>0</v>
      </c>
      <c r="G119" s="2"/>
      <c r="H119" s="6">
        <v>175</v>
      </c>
      <c r="I119" s="2"/>
      <c r="J119" s="7">
        <f t="shared" si="45"/>
        <v>1.2110559023404521E-3</v>
      </c>
      <c r="K119" s="2"/>
      <c r="L119" s="6">
        <f t="shared" si="46"/>
        <v>-175</v>
      </c>
      <c r="M119" s="2"/>
      <c r="N119" s="7">
        <f t="shared" si="47"/>
        <v>-1</v>
      </c>
      <c r="O119" s="11"/>
      <c r="P119" s="6"/>
      <c r="Q119" s="2"/>
      <c r="R119" s="7">
        <f t="shared" si="48"/>
        <v>0</v>
      </c>
      <c r="S119" s="2"/>
      <c r="T119" s="6">
        <v>350</v>
      </c>
      <c r="U119" s="2"/>
      <c r="V119" s="7">
        <f t="shared" si="49"/>
        <v>2.1502073414222085E-3</v>
      </c>
      <c r="W119" s="2"/>
      <c r="X119" s="6">
        <f t="shared" si="50"/>
        <v>-350</v>
      </c>
      <c r="Y119" s="2"/>
      <c r="Z119" s="7">
        <f t="shared" si="51"/>
        <v>-1</v>
      </c>
    </row>
    <row r="120" spans="1:26" s="63" customFormat="1" x14ac:dyDescent="0.25">
      <c r="A120" s="36"/>
      <c r="B120" s="36"/>
      <c r="C120" s="36"/>
      <c r="D120" s="1"/>
      <c r="E120" s="1"/>
      <c r="F120" s="5"/>
      <c r="G120" s="1"/>
      <c r="H120" s="1"/>
      <c r="I120" s="1"/>
      <c r="J120" s="5"/>
      <c r="K120" s="1"/>
      <c r="L120" s="1"/>
      <c r="M120" s="1"/>
      <c r="N120" s="5"/>
      <c r="O120" s="36"/>
      <c r="P120" s="1"/>
      <c r="Q120" s="1"/>
      <c r="R120" s="5"/>
      <c r="S120" s="1"/>
      <c r="T120" s="1"/>
      <c r="U120" s="1"/>
      <c r="V120" s="5"/>
      <c r="W120" s="1"/>
      <c r="X120" s="1"/>
      <c r="Y120" s="1"/>
      <c r="Z120" s="5"/>
    </row>
    <row r="121" spans="1:26" s="23" customFormat="1" x14ac:dyDescent="0.25">
      <c r="A121" s="10"/>
      <c r="B121" s="28" t="s">
        <v>0</v>
      </c>
      <c r="C121" s="10"/>
      <c r="D121" s="4">
        <f>SUM(0)</f>
        <v>0</v>
      </c>
      <c r="E121" s="4"/>
      <c r="F121" s="12">
        <f>IF(D$12=0,0,D121/D$12)</f>
        <v>0</v>
      </c>
      <c r="G121" s="4"/>
      <c r="H121" s="4">
        <f>SUM(0)</f>
        <v>0</v>
      </c>
      <c r="I121" s="4"/>
      <c r="J121" s="12">
        <f>IF(H$12=0,0,H121/H$12)</f>
        <v>0</v>
      </c>
      <c r="K121" s="4"/>
      <c r="L121" s="4">
        <f>+D121-H121</f>
        <v>0</v>
      </c>
      <c r="M121" s="4"/>
      <c r="N121" s="12">
        <f>IF(H121=0,0,L121/H121)</f>
        <v>0</v>
      </c>
      <c r="O121" s="10"/>
      <c r="P121" s="4">
        <f>SUM(0)</f>
        <v>0</v>
      </c>
      <c r="Q121" s="4"/>
      <c r="R121" s="12">
        <f>IF(P$12=0,0,P121/P$12)</f>
        <v>0</v>
      </c>
      <c r="S121" s="4"/>
      <c r="T121" s="4">
        <f>SUM(0)</f>
        <v>0</v>
      </c>
      <c r="U121" s="4"/>
      <c r="V121" s="12">
        <f>IF(T$12=0,0,T121/T$12)</f>
        <v>0</v>
      </c>
      <c r="W121" s="4"/>
      <c r="X121" s="4">
        <f>+P121-T121</f>
        <v>0</v>
      </c>
      <c r="Y121" s="4"/>
      <c r="Z121" s="12">
        <f>IF(T121=0,0,X121/T121)</f>
        <v>0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9" t="s">
        <v>3</v>
      </c>
      <c r="C123" s="29"/>
      <c r="D123" s="22">
        <f>+D70-D72+D121</f>
        <v>52353.050000000061</v>
      </c>
      <c r="E123" s="14"/>
      <c r="F123" s="20">
        <f>IF(D$12=0,0,D123/D$12)</f>
        <v>0.39265112418805292</v>
      </c>
      <c r="G123" s="14"/>
      <c r="H123" s="22">
        <f>+H70-H72+H121</f>
        <v>55050.591384955391</v>
      </c>
      <c r="I123" s="14"/>
      <c r="J123" s="20">
        <f>IF(H$12=0,0,H123/H$12)</f>
        <v>0.38096767785190094</v>
      </c>
      <c r="K123" s="15"/>
      <c r="L123" s="22">
        <f>+D123-H123</f>
        <v>-2697.5413849553297</v>
      </c>
      <c r="M123" s="15"/>
      <c r="N123" s="20">
        <f>IF(H123=0,0,L123/H123)</f>
        <v>-4.9001133631645828E-2</v>
      </c>
      <c r="O123" s="28"/>
      <c r="P123" s="22">
        <f>+P70-P72+P121</f>
        <v>38148.910000000047</v>
      </c>
      <c r="Q123" s="14"/>
      <c r="R123" s="20">
        <f>IF(P$12=0,0,P123/P$12)</f>
        <v>0.25081299591633238</v>
      </c>
      <c r="S123" s="14"/>
      <c r="T123" s="22">
        <f>+T70-T72+T121</f>
        <v>44203.72475052462</v>
      </c>
      <c r="U123" s="14"/>
      <c r="V123" s="20">
        <f>IF(T$12=0,0,T123/T$12)</f>
        <v>0.27156335279081323</v>
      </c>
      <c r="W123" s="15"/>
      <c r="X123" s="22">
        <f>+P123-T123</f>
        <v>-6054.8147505245724</v>
      </c>
      <c r="Y123" s="15"/>
      <c r="Z123" s="20">
        <f>IF(T123=0,0,X123/T123)</f>
        <v>-0.13697521610897084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2"/>
      <c r="B125" s="10" t="s">
        <v>14</v>
      </c>
      <c r="C125" s="10"/>
      <c r="D125" s="4">
        <v>15061.64</v>
      </c>
      <c r="E125" s="4"/>
      <c r="F125" s="12">
        <f>IF(D$12=0,0,D125/D$12)</f>
        <v>0.11296323477076767</v>
      </c>
      <c r="G125" s="4"/>
      <c r="H125" s="4">
        <v>21981</v>
      </c>
      <c r="I125" s="4"/>
      <c r="J125" s="12">
        <f>IF(H$12=0,0,H125/H$12)</f>
        <v>0.15211554165340271</v>
      </c>
      <c r="K125" s="4"/>
      <c r="L125" s="4">
        <f>+D125-H125</f>
        <v>-6919.3600000000006</v>
      </c>
      <c r="M125" s="4"/>
      <c r="N125" s="12">
        <f>IF(H125=0,0,L125/H125)</f>
        <v>-0.31478822619535057</v>
      </c>
      <c r="O125" s="10"/>
      <c r="P125" s="4">
        <v>18964.22</v>
      </c>
      <c r="Q125" s="4"/>
      <c r="R125" s="12">
        <f>IF(P$12=0,0,P125/P$12)</f>
        <v>0.12468174931908732</v>
      </c>
      <c r="S125" s="4"/>
      <c r="T125" s="4">
        <v>26435</v>
      </c>
      <c r="U125" s="4"/>
      <c r="V125" s="12">
        <f>IF(T$12=0,0,T125/T$12)</f>
        <v>0.16240208877284595</v>
      </c>
      <c r="W125" s="4"/>
      <c r="X125" s="4">
        <f>+P125-T125</f>
        <v>-7470.7799999999988</v>
      </c>
      <c r="Y125" s="4"/>
      <c r="Z125" s="12">
        <f>IF(T125=0,0,X125/T125)</f>
        <v>-0.2826094193304331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9" t="s">
        <v>4</v>
      </c>
      <c r="C127" s="29"/>
      <c r="D127" s="31">
        <f>+D123-D125</f>
        <v>37291.410000000062</v>
      </c>
      <c r="E127" s="14"/>
      <c r="F127" s="32">
        <f>IF(D$12=0,0,D127/D$12)</f>
        <v>0.27968788941728523</v>
      </c>
      <c r="G127" s="14"/>
      <c r="H127" s="31">
        <f>+H123-H125</f>
        <v>33069.591384955391</v>
      </c>
      <c r="I127" s="14"/>
      <c r="J127" s="32">
        <f>IF(H$12=0,0,H127/H$12)</f>
        <v>0.22885213619849823</v>
      </c>
      <c r="K127" s="15"/>
      <c r="L127" s="31">
        <f>D127-H127</f>
        <v>4221.8186150446709</v>
      </c>
      <c r="M127" s="15"/>
      <c r="N127" s="32">
        <f>IF(H127=0,0,L127/H127)</f>
        <v>0.1276646743499025</v>
      </c>
      <c r="O127" s="28"/>
      <c r="P127" s="31">
        <f>+P123-P125</f>
        <v>19184.690000000046</v>
      </c>
      <c r="Q127" s="14"/>
      <c r="R127" s="32">
        <f>IF(P$12=0,0,P127/P$12)</f>
        <v>0.12613124659724506</v>
      </c>
      <c r="S127" s="14"/>
      <c r="T127" s="31">
        <f>+T123-T125</f>
        <v>17768.72475052462</v>
      </c>
      <c r="U127" s="14"/>
      <c r="V127" s="32">
        <f>IF(T$12=0,0,T127/T$12)</f>
        <v>0.10916126401796725</v>
      </c>
      <c r="W127" s="15"/>
      <c r="X127" s="31">
        <f>P127-T127</f>
        <v>1415.9652494754264</v>
      </c>
      <c r="Y127" s="15"/>
      <c r="Z127" s="32">
        <f>IF(T127=0,0,X127/T127)</f>
        <v>7.9688625343449032E-2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9" t="s">
        <v>5</v>
      </c>
      <c r="C130" s="29"/>
      <c r="D130" s="33">
        <f>SUM(D127:D129)</f>
        <v>37291.410000000062</v>
      </c>
      <c r="E130" s="14"/>
      <c r="F130" s="35">
        <f>IF(D$12=0,0,D130/D$12)</f>
        <v>0.27968788941728523</v>
      </c>
      <c r="G130" s="14"/>
      <c r="H130" s="33">
        <f>SUM(H127:H129)</f>
        <v>33069.591384955391</v>
      </c>
      <c r="I130" s="14"/>
      <c r="J130" s="35">
        <f>IF(H$12=0,0,H130/H$12)</f>
        <v>0.22885213619849823</v>
      </c>
      <c r="K130" s="15"/>
      <c r="L130" s="33">
        <f>+D130-H130</f>
        <v>4221.8186150446709</v>
      </c>
      <c r="M130" s="15"/>
      <c r="N130" s="35">
        <f>IF(H130=0,0,L130/H130)</f>
        <v>0.1276646743499025</v>
      </c>
      <c r="O130" s="28"/>
      <c r="P130" s="33">
        <f>SUM(P127:P129)</f>
        <v>19184.690000000046</v>
      </c>
      <c r="Q130" s="14"/>
      <c r="R130" s="35">
        <f>IF(P$12=0,0,P130/P$12)</f>
        <v>0.12613124659724506</v>
      </c>
      <c r="S130" s="14"/>
      <c r="T130" s="33">
        <f>SUM(T127:T129)</f>
        <v>17768.72475052462</v>
      </c>
      <c r="U130" s="14"/>
      <c r="V130" s="35">
        <f>IF(T$12=0,0,T130/T$12)</f>
        <v>0.10916126401796725</v>
      </c>
      <c r="W130" s="15"/>
      <c r="X130" s="33">
        <f>+P130-T130</f>
        <v>1415.9652494754264</v>
      </c>
      <c r="Y130" s="15"/>
      <c r="Z130" s="35">
        <f>IF(T130=0,0,X130/T130)</f>
        <v>7.9688625343449032E-2</v>
      </c>
    </row>
    <row r="131" spans="1:26" ht="15.75" thickTop="1" x14ac:dyDescent="0.25">
      <c r="A131" s="9"/>
      <c r="C131" s="9"/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6" x14ac:dyDescent="0.25">
      <c r="A132" s="9"/>
      <c r="B132" s="61">
        <v>43732.705489004627</v>
      </c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62" t="s">
        <v>314</v>
      </c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A134" s="9"/>
      <c r="B134" s="58"/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  <row r="135" spans="1:26" x14ac:dyDescent="0.25">
      <c r="D135" s="17"/>
      <c r="E135" s="17"/>
      <c r="G135" s="17"/>
      <c r="H135" s="17"/>
      <c r="I135" s="17"/>
      <c r="J135" s="42"/>
      <c r="K135" s="17"/>
      <c r="L135" s="17"/>
      <c r="M135" s="17"/>
      <c r="P135" s="17"/>
      <c r="Q135" s="17"/>
      <c r="R135" s="42"/>
      <c r="S135" s="17"/>
      <c r="T135" s="17"/>
      <c r="U135" s="17"/>
      <c r="V135" s="42"/>
      <c r="W135" s="17"/>
      <c r="X135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","307", " - ", "Art Store")</f>
        <v>Department 307 - Art 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53259.419999999991</v>
      </c>
      <c r="E12" s="4"/>
      <c r="F12" s="12"/>
      <c r="G12" s="4"/>
      <c r="H12" s="4">
        <f>SUM(OSRRefH13x_0)</f>
        <v>52374</v>
      </c>
      <c r="I12" s="4"/>
      <c r="J12" s="12"/>
      <c r="K12" s="4"/>
      <c r="L12" s="4">
        <f t="shared" ref="L12:L35" si="0">+D12-H12</f>
        <v>885.41999999999098</v>
      </c>
      <c r="M12" s="4"/>
      <c r="N12" s="12">
        <f t="shared" ref="N12:N35" si="1">IF(H12=0,0,L12/H12)</f>
        <v>1.6905716576927309E-2</v>
      </c>
      <c r="O12" s="10"/>
      <c r="P12" s="4">
        <f>SUM(OSRRefP13x_0)</f>
        <v>55685.37999999999</v>
      </c>
      <c r="Q12" s="4"/>
      <c r="R12" s="12"/>
      <c r="S12" s="4"/>
      <c r="T12" s="4">
        <f>SUM(OSRRefT13x_0)</f>
        <v>54198</v>
      </c>
      <c r="U12" s="4"/>
      <c r="V12" s="12"/>
      <c r="W12" s="4"/>
      <c r="X12" s="4">
        <f t="shared" ref="X12:X35" si="2">+P12-T12</f>
        <v>1487.3799999999901</v>
      </c>
      <c r="Y12" s="4"/>
      <c r="Z12" s="12">
        <f t="shared" ref="Z12:Z35" si="3">IF(T12=0,0,X12/T12)</f>
        <v>2.7443448097715602E-2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48145</v>
      </c>
      <c r="I13" s="2"/>
      <c r="J13" s="21"/>
      <c r="K13" s="2"/>
      <c r="L13" s="2">
        <f t="shared" si="0"/>
        <v>-48145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49570</v>
      </c>
      <c r="U13" s="2"/>
      <c r="V13" s="21"/>
      <c r="W13" s="2"/>
      <c r="X13" s="2">
        <f t="shared" si="2"/>
        <v>-49570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"4025", " - ", "TAXABLE SALES-TEST FORMS")</f>
        <v xml:space="preserve">          4025 - TAXABLE SALES-TEST FORMS</v>
      </c>
      <c r="C14" s="11"/>
      <c r="D14" s="2">
        <f>--101.25</f>
        <v>101.25</v>
      </c>
      <c r="E14" s="2"/>
      <c r="F14" s="21"/>
      <c r="G14" s="2"/>
      <c r="H14" s="2"/>
      <c r="I14" s="2"/>
      <c r="J14" s="21"/>
      <c r="K14" s="2"/>
      <c r="L14" s="2">
        <f t="shared" si="0"/>
        <v>101.25</v>
      </c>
      <c r="M14" s="2"/>
      <c r="N14" s="21">
        <f t="shared" si="1"/>
        <v>0</v>
      </c>
      <c r="O14" s="11"/>
      <c r="P14" s="2">
        <f>--102.72</f>
        <v>102.72</v>
      </c>
      <c r="Q14" s="2"/>
      <c r="R14" s="21"/>
      <c r="S14" s="2"/>
      <c r="T14" s="2"/>
      <c r="U14" s="2"/>
      <c r="V14" s="21"/>
      <c r="W14" s="2"/>
      <c r="X14" s="2">
        <f t="shared" si="2"/>
        <v>102.72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>--650.62</f>
        <v>650.62</v>
      </c>
      <c r="E15" s="2"/>
      <c r="F15" s="21"/>
      <c r="G15" s="2"/>
      <c r="H15" s="2"/>
      <c r="I15" s="2"/>
      <c r="J15" s="21"/>
      <c r="K15" s="2"/>
      <c r="L15" s="2">
        <f t="shared" si="0"/>
        <v>650.62</v>
      </c>
      <c r="M15" s="2"/>
      <c r="N15" s="21">
        <f t="shared" si="1"/>
        <v>0</v>
      </c>
      <c r="O15" s="11"/>
      <c r="P15" s="2">
        <f>--673.42</f>
        <v>673.42</v>
      </c>
      <c r="Q15" s="2"/>
      <c r="R15" s="21"/>
      <c r="S15" s="2"/>
      <c r="T15" s="2"/>
      <c r="U15" s="2"/>
      <c r="V15" s="21"/>
      <c r="W15" s="2"/>
      <c r="X15" s="2">
        <f t="shared" si="2"/>
        <v>673.42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--3262.97</f>
        <v>3262.97</v>
      </c>
      <c r="E16" s="2"/>
      <c r="F16" s="21"/>
      <c r="G16" s="2"/>
      <c r="H16" s="2"/>
      <c r="I16" s="2"/>
      <c r="J16" s="21"/>
      <c r="K16" s="2"/>
      <c r="L16" s="2">
        <f t="shared" si="0"/>
        <v>3262.97</v>
      </c>
      <c r="M16" s="2"/>
      <c r="N16" s="21">
        <f t="shared" si="1"/>
        <v>0</v>
      </c>
      <c r="O16" s="11"/>
      <c r="P16" s="2">
        <f>--3335.08</f>
        <v>3335.08</v>
      </c>
      <c r="Q16" s="2"/>
      <c r="R16" s="21"/>
      <c r="S16" s="2"/>
      <c r="T16" s="2"/>
      <c r="U16" s="2"/>
      <c r="V16" s="21"/>
      <c r="W16" s="2"/>
      <c r="X16" s="2">
        <f t="shared" si="2"/>
        <v>3335.08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"4028", " - ", "TAXABLE SALES-ART/TECH")</f>
        <v xml:space="preserve">          4028 - TAXABLE SALES-ART/TECH</v>
      </c>
      <c r="C17" s="11"/>
      <c r="D17" s="2">
        <f>--44894.72</f>
        <v>44894.720000000001</v>
      </c>
      <c r="E17" s="2"/>
      <c r="F17" s="21"/>
      <c r="G17" s="2"/>
      <c r="H17" s="2"/>
      <c r="I17" s="2"/>
      <c r="J17" s="21"/>
      <c r="K17" s="2"/>
      <c r="L17" s="2">
        <f t="shared" si="0"/>
        <v>44894.720000000001</v>
      </c>
      <c r="M17" s="2"/>
      <c r="N17" s="21">
        <f t="shared" si="1"/>
        <v>0</v>
      </c>
      <c r="O17" s="11"/>
      <c r="P17" s="2">
        <f>--46751.09</f>
        <v>46751.09</v>
      </c>
      <c r="Q17" s="2"/>
      <c r="R17" s="21"/>
      <c r="S17" s="2"/>
      <c r="T17" s="2"/>
      <c r="U17" s="2"/>
      <c r="V17" s="21"/>
      <c r="W17" s="2"/>
      <c r="X17" s="2">
        <f t="shared" si="2"/>
        <v>46751.09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"4031", " - ", "TAXABLE SALES-FOOD")</f>
        <v xml:space="preserve">          4031 - TAXABLE SALES-FOOD</v>
      </c>
      <c r="C18" s="11"/>
      <c r="D18" s="2">
        <f>--30.82</f>
        <v>30.82</v>
      </c>
      <c r="E18" s="2"/>
      <c r="F18" s="21"/>
      <c r="G18" s="2"/>
      <c r="H18" s="2"/>
      <c r="I18" s="2"/>
      <c r="J18" s="21"/>
      <c r="K18" s="2"/>
      <c r="L18" s="2">
        <f t="shared" si="0"/>
        <v>30.82</v>
      </c>
      <c r="M18" s="2"/>
      <c r="N18" s="21">
        <f t="shared" si="1"/>
        <v>0</v>
      </c>
      <c r="O18" s="11"/>
      <c r="P18" s="2">
        <f>--32.34</f>
        <v>32.340000000000003</v>
      </c>
      <c r="Q18" s="2"/>
      <c r="R18" s="21"/>
      <c r="S18" s="2"/>
      <c r="T18" s="2"/>
      <c r="U18" s="2"/>
      <c r="V18" s="21"/>
      <c r="W18" s="2"/>
      <c r="X18" s="2">
        <f t="shared" si="2"/>
        <v>32.340000000000003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"4032", " - ", "TAXABLE SALES-JUICE")</f>
        <v xml:space="preserve">          4032 - TAXABLE SALES-JUICE</v>
      </c>
      <c r="C19" s="11"/>
      <c r="D19" s="2">
        <f>--2.34</f>
        <v>2.34</v>
      </c>
      <c r="E19" s="2"/>
      <c r="F19" s="21"/>
      <c r="G19" s="2"/>
      <c r="H19" s="2"/>
      <c r="I19" s="2"/>
      <c r="J19" s="21"/>
      <c r="K19" s="2"/>
      <c r="L19" s="2">
        <f t="shared" si="0"/>
        <v>2.34</v>
      </c>
      <c r="M19" s="2"/>
      <c r="N19" s="21">
        <f t="shared" si="1"/>
        <v>0</v>
      </c>
      <c r="O19" s="11"/>
      <c r="P19" s="2">
        <f>--3.81</f>
        <v>3.81</v>
      </c>
      <c r="Q19" s="2"/>
      <c r="R19" s="21"/>
      <c r="S19" s="2"/>
      <c r="T19" s="2"/>
      <c r="U19" s="2"/>
      <c r="V19" s="21"/>
      <c r="W19" s="2"/>
      <c r="X19" s="2">
        <f t="shared" si="2"/>
        <v>3.81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"4033", " - ", "TAXABLE SALES-CANDY")</f>
        <v xml:space="preserve">          4033 - TAXABLE SALES-CANDY</v>
      </c>
      <c r="C20" s="11"/>
      <c r="D20" s="2">
        <f>--9.83</f>
        <v>9.83</v>
      </c>
      <c r="E20" s="2"/>
      <c r="F20" s="21"/>
      <c r="G20" s="2"/>
      <c r="H20" s="2"/>
      <c r="I20" s="2"/>
      <c r="J20" s="21"/>
      <c r="K20" s="2"/>
      <c r="L20" s="2">
        <f t="shared" si="0"/>
        <v>9.83</v>
      </c>
      <c r="M20" s="2"/>
      <c r="N20" s="21">
        <f t="shared" si="1"/>
        <v>0</v>
      </c>
      <c r="O20" s="11"/>
      <c r="P20" s="2">
        <f>--13</f>
        <v>13</v>
      </c>
      <c r="Q20" s="2"/>
      <c r="R20" s="21"/>
      <c r="S20" s="2"/>
      <c r="T20" s="2"/>
      <c r="U20" s="2"/>
      <c r="V20" s="21"/>
      <c r="W20" s="2"/>
      <c r="X20" s="2">
        <f t="shared" si="2"/>
        <v>13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"4034", " - ", "TAXABLE SALES-SODA")</f>
        <v xml:space="preserve">          4034 - TAXABLE SALES-SODA</v>
      </c>
      <c r="C21" s="11"/>
      <c r="D21" s="2">
        <f>--280.8</f>
        <v>280.8</v>
      </c>
      <c r="E21" s="2"/>
      <c r="F21" s="21"/>
      <c r="G21" s="2"/>
      <c r="H21" s="2"/>
      <c r="I21" s="2"/>
      <c r="J21" s="21"/>
      <c r="K21" s="2"/>
      <c r="L21" s="2">
        <f t="shared" si="0"/>
        <v>280.8</v>
      </c>
      <c r="M21" s="2"/>
      <c r="N21" s="21">
        <f t="shared" si="1"/>
        <v>0</v>
      </c>
      <c r="O21" s="11"/>
      <c r="P21" s="2">
        <f>--315.54</f>
        <v>315.54000000000002</v>
      </c>
      <c r="Q21" s="2"/>
      <c r="R21" s="21"/>
      <c r="S21" s="2"/>
      <c r="T21" s="2"/>
      <c r="U21" s="2"/>
      <c r="V21" s="21"/>
      <c r="W21" s="2"/>
      <c r="X21" s="2">
        <f t="shared" si="2"/>
        <v>315.54000000000002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"4035", " - ", "TAXABLE SALES-HEALTH &amp; BEAUTY")</f>
        <v xml:space="preserve">          4035 - TAXABLE SALES-HEALTH &amp; BEAUTY</v>
      </c>
      <c r="C22" s="11"/>
      <c r="D22" s="2">
        <f>--88.53</f>
        <v>88.53</v>
      </c>
      <c r="E22" s="2"/>
      <c r="F22" s="21"/>
      <c r="G22" s="2"/>
      <c r="H22" s="2"/>
      <c r="I22" s="2"/>
      <c r="J22" s="21"/>
      <c r="K22" s="2"/>
      <c r="L22" s="2">
        <f t="shared" si="0"/>
        <v>88.53</v>
      </c>
      <c r="M22" s="2"/>
      <c r="N22" s="21">
        <f t="shared" si="1"/>
        <v>0</v>
      </c>
      <c r="O22" s="11"/>
      <c r="P22" s="2">
        <f>--91.52</f>
        <v>91.52</v>
      </c>
      <c r="Q22" s="2"/>
      <c r="R22" s="21"/>
      <c r="S22" s="2"/>
      <c r="T22" s="2"/>
      <c r="U22" s="2"/>
      <c r="V22" s="21"/>
      <c r="W22" s="2"/>
      <c r="X22" s="2">
        <f t="shared" si="2"/>
        <v>91.52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"4037", " - ", "TAXABLE SALES-WATER")</f>
        <v xml:space="preserve">          4037 - TAXABLE SALES-WATER</v>
      </c>
      <c r="C23" s="11"/>
      <c r="D23" s="2">
        <f>--36.88</f>
        <v>36.880000000000003</v>
      </c>
      <c r="E23" s="2"/>
      <c r="F23" s="21"/>
      <c r="G23" s="2"/>
      <c r="H23" s="2"/>
      <c r="I23" s="2"/>
      <c r="J23" s="21"/>
      <c r="K23" s="2"/>
      <c r="L23" s="2">
        <f t="shared" si="0"/>
        <v>36.880000000000003</v>
      </c>
      <c r="M23" s="2"/>
      <c r="N23" s="21">
        <f t="shared" si="1"/>
        <v>0</v>
      </c>
      <c r="O23" s="11"/>
      <c r="P23" s="2">
        <f>--42.17</f>
        <v>42.17</v>
      </c>
      <c r="Q23" s="2"/>
      <c r="R23" s="21"/>
      <c r="S23" s="2"/>
      <c r="T23" s="2"/>
      <c r="U23" s="2"/>
      <c r="V23" s="21"/>
      <c r="W23" s="2"/>
      <c r="X23" s="2">
        <f t="shared" si="2"/>
        <v>42.17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"4081", " - ", "TAXABLE SALES-ELECTRONICS")</f>
        <v xml:space="preserve">          4081 - TAXABLE SALES-ELECTRONICS</v>
      </c>
      <c r="C24" s="11"/>
      <c r="D24" s="2">
        <f>--260.88</f>
        <v>260.88</v>
      </c>
      <c r="E24" s="2"/>
      <c r="F24" s="21"/>
      <c r="G24" s="2"/>
      <c r="H24" s="2"/>
      <c r="I24" s="2"/>
      <c r="J24" s="21"/>
      <c r="K24" s="2"/>
      <c r="L24" s="2">
        <f t="shared" si="0"/>
        <v>260.88</v>
      </c>
      <c r="M24" s="2"/>
      <c r="N24" s="21">
        <f t="shared" si="1"/>
        <v>0</v>
      </c>
      <c r="O24" s="11"/>
      <c r="P24" s="2">
        <f>--268.86</f>
        <v>268.86</v>
      </c>
      <c r="Q24" s="2"/>
      <c r="R24" s="21"/>
      <c r="S24" s="2"/>
      <c r="T24" s="2"/>
      <c r="U24" s="2"/>
      <c r="V24" s="21"/>
      <c r="W24" s="2"/>
      <c r="X24" s="2">
        <f t="shared" si="2"/>
        <v>268.86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"4082", " - ", "TAXABLE SALES-COMPUTER HARDWAR")</f>
        <v xml:space="preserve">          4082 - TAXABLE SALES-COMPUTER HARDWAR</v>
      </c>
      <c r="C25" s="11"/>
      <c r="D25" s="2">
        <f>--19</f>
        <v>19</v>
      </c>
      <c r="E25" s="2"/>
      <c r="F25" s="21"/>
      <c r="G25" s="2"/>
      <c r="H25" s="2"/>
      <c r="I25" s="2"/>
      <c r="J25" s="21"/>
      <c r="K25" s="2"/>
      <c r="L25" s="2">
        <f t="shared" si="0"/>
        <v>19</v>
      </c>
      <c r="M25" s="2"/>
      <c r="N25" s="21">
        <f t="shared" si="1"/>
        <v>0</v>
      </c>
      <c r="O25" s="11"/>
      <c r="P25" s="2">
        <f>--38</f>
        <v>38</v>
      </c>
      <c r="Q25" s="2"/>
      <c r="R25" s="21"/>
      <c r="S25" s="2"/>
      <c r="T25" s="2"/>
      <c r="U25" s="2"/>
      <c r="V25" s="21"/>
      <c r="W25" s="2"/>
      <c r="X25" s="2">
        <f t="shared" si="2"/>
        <v>38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"4083", " - ", "TAXABLE SALES-COMPUTER EQUIPME")</f>
        <v xml:space="preserve">          4083 - TAXABLE SALES-COMPUTER EQUIPME</v>
      </c>
      <c r="C26" s="11"/>
      <c r="D26" s="2">
        <f>--29.98</f>
        <v>29.98</v>
      </c>
      <c r="E26" s="2"/>
      <c r="F26" s="21"/>
      <c r="G26" s="2"/>
      <c r="H26" s="2"/>
      <c r="I26" s="2"/>
      <c r="J26" s="21"/>
      <c r="K26" s="2"/>
      <c r="L26" s="2">
        <f t="shared" si="0"/>
        <v>29.98</v>
      </c>
      <c r="M26" s="2"/>
      <c r="N26" s="21">
        <f t="shared" si="1"/>
        <v>0</v>
      </c>
      <c r="O26" s="11"/>
      <c r="P26" s="2">
        <f>--29.98</f>
        <v>29.98</v>
      </c>
      <c r="Q26" s="2"/>
      <c r="R26" s="21"/>
      <c r="S26" s="2"/>
      <c r="T26" s="2"/>
      <c r="U26" s="2"/>
      <c r="V26" s="21"/>
      <c r="W26" s="2"/>
      <c r="X26" s="2">
        <f t="shared" si="2"/>
        <v>29.98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"4086", " - ", "TAXABLE SALES-COMPUTER SUPPLIE")</f>
        <v xml:space="preserve">          4086 - TAXABLE SALES-COMPUTER SUPPLIE</v>
      </c>
      <c r="C27" s="11"/>
      <c r="D27" s="2">
        <f>--93.96</f>
        <v>93.96</v>
      </c>
      <c r="E27" s="2"/>
      <c r="F27" s="21"/>
      <c r="G27" s="2"/>
      <c r="H27" s="2"/>
      <c r="I27" s="2"/>
      <c r="J27" s="21"/>
      <c r="K27" s="2"/>
      <c r="L27" s="2">
        <f t="shared" si="0"/>
        <v>93.96</v>
      </c>
      <c r="M27" s="2"/>
      <c r="N27" s="21">
        <f t="shared" si="1"/>
        <v>0</v>
      </c>
      <c r="O27" s="11"/>
      <c r="P27" s="2">
        <f>--108.95</f>
        <v>108.95</v>
      </c>
      <c r="Q27" s="2"/>
      <c r="R27" s="21"/>
      <c r="S27" s="2"/>
      <c r="T27" s="2"/>
      <c r="U27" s="2"/>
      <c r="V27" s="21"/>
      <c r="W27" s="2"/>
      <c r="X27" s="2">
        <f t="shared" si="2"/>
        <v>108.95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"4100", " - ", "NON-TAXABLE SALES")</f>
        <v xml:space="preserve">          4100 - NON-TAXABLE SALES</v>
      </c>
      <c r="C28" s="11"/>
      <c r="D28" s="2">
        <f>0</f>
        <v>0</v>
      </c>
      <c r="E28" s="2"/>
      <c r="F28" s="21"/>
      <c r="G28" s="2"/>
      <c r="H28" s="2">
        <v>4229</v>
      </c>
      <c r="I28" s="2"/>
      <c r="J28" s="21"/>
      <c r="K28" s="2"/>
      <c r="L28" s="2">
        <f t="shared" si="0"/>
        <v>-4229</v>
      </c>
      <c r="M28" s="2"/>
      <c r="N28" s="21">
        <f t="shared" si="1"/>
        <v>-1</v>
      </c>
      <c r="O28" s="11"/>
      <c r="P28" s="2">
        <f>0</f>
        <v>0</v>
      </c>
      <c r="Q28" s="2"/>
      <c r="R28" s="21"/>
      <c r="S28" s="2"/>
      <c r="T28" s="2">
        <v>4628</v>
      </c>
      <c r="U28" s="2"/>
      <c r="V28" s="21"/>
      <c r="W28" s="2"/>
      <c r="X28" s="2">
        <f t="shared" si="2"/>
        <v>-4628</v>
      </c>
      <c r="Y28" s="2"/>
      <c r="Z28" s="21">
        <f t="shared" si="3"/>
        <v>-1</v>
      </c>
    </row>
    <row r="29" spans="1:26" s="24" customFormat="1" hidden="1" outlineLevel="1" x14ac:dyDescent="0.25">
      <c r="A29" s="46"/>
      <c r="B29" s="11" t="str">
        <f>CONCATENATE("          ", "4131", " - ", "NON-TAXABLE SALES-FOOD")</f>
        <v xml:space="preserve">          4131 - NON-TAXABLE SALES-FOOD</v>
      </c>
      <c r="C29" s="11"/>
      <c r="D29" s="2">
        <f>--2311.07</f>
        <v>2311.0700000000002</v>
      </c>
      <c r="E29" s="2"/>
      <c r="F29" s="21"/>
      <c r="G29" s="2"/>
      <c r="H29" s="2"/>
      <c r="I29" s="2"/>
      <c r="J29" s="21"/>
      <c r="K29" s="2"/>
      <c r="L29" s="2">
        <f t="shared" si="0"/>
        <v>2311.0700000000002</v>
      </c>
      <c r="M29" s="2"/>
      <c r="N29" s="21">
        <f t="shared" si="1"/>
        <v>0</v>
      </c>
      <c r="O29" s="11"/>
      <c r="P29" s="2">
        <f>--2453.27</f>
        <v>2453.27</v>
      </c>
      <c r="Q29" s="2"/>
      <c r="R29" s="21"/>
      <c r="S29" s="2"/>
      <c r="T29" s="2"/>
      <c r="U29" s="2"/>
      <c r="V29" s="21"/>
      <c r="W29" s="2"/>
      <c r="X29" s="2">
        <f t="shared" si="2"/>
        <v>2453.27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"4132", " - ", "NON-TAXABLE SALES-JUICE")</f>
        <v xml:space="preserve">          4132 - NON-TAXABLE SALES-JUICE</v>
      </c>
      <c r="C30" s="11"/>
      <c r="D30" s="2">
        <f>--713.6</f>
        <v>713.6</v>
      </c>
      <c r="E30" s="2"/>
      <c r="F30" s="21"/>
      <c r="G30" s="2"/>
      <c r="H30" s="2"/>
      <c r="I30" s="2"/>
      <c r="J30" s="21"/>
      <c r="K30" s="2"/>
      <c r="L30" s="2">
        <f t="shared" si="0"/>
        <v>713.6</v>
      </c>
      <c r="M30" s="2"/>
      <c r="N30" s="21">
        <f t="shared" si="1"/>
        <v>0</v>
      </c>
      <c r="O30" s="11"/>
      <c r="P30" s="2">
        <f>--758.91</f>
        <v>758.91</v>
      </c>
      <c r="Q30" s="2"/>
      <c r="R30" s="21"/>
      <c r="S30" s="2"/>
      <c r="T30" s="2"/>
      <c r="U30" s="2"/>
      <c r="V30" s="21"/>
      <c r="W30" s="2"/>
      <c r="X30" s="2">
        <f t="shared" si="2"/>
        <v>758.91</v>
      </c>
      <c r="Y30" s="2"/>
      <c r="Z30" s="21">
        <f t="shared" si="3"/>
        <v>0</v>
      </c>
    </row>
    <row r="31" spans="1:26" s="24" customFormat="1" hidden="1" outlineLevel="1" x14ac:dyDescent="0.25">
      <c r="A31" s="46"/>
      <c r="B31" s="11" t="str">
        <f>CONCATENATE("          ", "4133", " - ", "NON-TAXABLE SALES-CANDY")</f>
        <v xml:space="preserve">          4133 - NON-TAXABLE SALES-CANDY</v>
      </c>
      <c r="C31" s="11"/>
      <c r="D31" s="2">
        <f>--715.78</f>
        <v>715.78</v>
      </c>
      <c r="E31" s="2"/>
      <c r="F31" s="21"/>
      <c r="G31" s="2"/>
      <c r="H31" s="2"/>
      <c r="I31" s="2"/>
      <c r="J31" s="21"/>
      <c r="K31" s="2"/>
      <c r="L31" s="2">
        <f t="shared" si="0"/>
        <v>715.78</v>
      </c>
      <c r="M31" s="2"/>
      <c r="N31" s="21">
        <f t="shared" si="1"/>
        <v>0</v>
      </c>
      <c r="O31" s="11"/>
      <c r="P31" s="2">
        <f>--899.15</f>
        <v>899.15</v>
      </c>
      <c r="Q31" s="2"/>
      <c r="R31" s="21"/>
      <c r="S31" s="2"/>
      <c r="T31" s="2"/>
      <c r="U31" s="2"/>
      <c r="V31" s="21"/>
      <c r="W31" s="2"/>
      <c r="X31" s="2">
        <f t="shared" si="2"/>
        <v>899.15</v>
      </c>
      <c r="Y31" s="2"/>
      <c r="Z31" s="21">
        <f t="shared" si="3"/>
        <v>0</v>
      </c>
    </row>
    <row r="32" spans="1:26" s="24" customFormat="1" hidden="1" outlineLevel="1" x14ac:dyDescent="0.25">
      <c r="A32" s="46"/>
      <c r="B32" s="11" t="str">
        <f>CONCATENATE("          ", "4135", " - ", "NON-TAXABLE SALES")</f>
        <v xml:space="preserve">          4135 - NON-TAXABLE SALES</v>
      </c>
      <c r="C32" s="11"/>
      <c r="D32" s="2">
        <f>--7.18</f>
        <v>7.18</v>
      </c>
      <c r="E32" s="2"/>
      <c r="F32" s="21"/>
      <c r="G32" s="2"/>
      <c r="H32" s="2"/>
      <c r="I32" s="2"/>
      <c r="J32" s="21"/>
      <c r="K32" s="2"/>
      <c r="L32" s="2">
        <f t="shared" si="0"/>
        <v>7.18</v>
      </c>
      <c r="M32" s="2"/>
      <c r="N32" s="21">
        <f t="shared" si="1"/>
        <v>0</v>
      </c>
      <c r="O32" s="11"/>
      <c r="P32" s="2">
        <f>--7.18</f>
        <v>7.18</v>
      </c>
      <c r="Q32" s="2"/>
      <c r="R32" s="21"/>
      <c r="S32" s="2"/>
      <c r="T32" s="2"/>
      <c r="U32" s="2"/>
      <c r="V32" s="21"/>
      <c r="W32" s="2"/>
      <c r="X32" s="2">
        <f t="shared" si="2"/>
        <v>7.18</v>
      </c>
      <c r="Y32" s="2"/>
      <c r="Z32" s="21">
        <f t="shared" si="3"/>
        <v>0</v>
      </c>
    </row>
    <row r="33" spans="1:26" s="24" customFormat="1" hidden="1" outlineLevel="1" x14ac:dyDescent="0.25">
      <c r="A33" s="46"/>
      <c r="B33" s="11" t="str">
        <f>CONCATENATE("          ", "4137", " - ", "NON-TAXABLE SALES-WATER")</f>
        <v xml:space="preserve">          4137 - NON-TAXABLE SALES-WATER</v>
      </c>
      <c r="C33" s="11"/>
      <c r="D33" s="2">
        <f>--522.2</f>
        <v>522.20000000000005</v>
      </c>
      <c r="E33" s="2"/>
      <c r="F33" s="21"/>
      <c r="G33" s="2"/>
      <c r="H33" s="2"/>
      <c r="I33" s="2"/>
      <c r="J33" s="21"/>
      <c r="K33" s="2"/>
      <c r="L33" s="2">
        <f t="shared" si="0"/>
        <v>522.20000000000005</v>
      </c>
      <c r="M33" s="2"/>
      <c r="N33" s="21">
        <f t="shared" si="1"/>
        <v>0</v>
      </c>
      <c r="O33" s="11"/>
      <c r="P33" s="2">
        <f>--552.72</f>
        <v>552.72</v>
      </c>
      <c r="Q33" s="2"/>
      <c r="R33" s="21"/>
      <c r="S33" s="2"/>
      <c r="T33" s="2"/>
      <c r="U33" s="2"/>
      <c r="V33" s="21"/>
      <c r="W33" s="2"/>
      <c r="X33" s="2">
        <f t="shared" si="2"/>
        <v>552.72</v>
      </c>
      <c r="Y33" s="2"/>
      <c r="Z33" s="21">
        <f t="shared" si="3"/>
        <v>0</v>
      </c>
    </row>
    <row r="34" spans="1:26" s="24" customFormat="1" hidden="1" outlineLevel="1" x14ac:dyDescent="0.25">
      <c r="A34" s="46"/>
      <c r="B34" s="11" t="str">
        <f>CONCATENATE("          ", "4227", " - ", "SALES RETURN TAXABLE-SCHOOL SU")</f>
        <v xml:space="preserve">          4227 - SALES RETURN TAXABLE-SCHOOL SU</v>
      </c>
      <c r="C34" s="11"/>
      <c r="D34" s="2">
        <f>-1.49</f>
        <v>-1.49</v>
      </c>
      <c r="E34" s="2"/>
      <c r="F34" s="21"/>
      <c r="G34" s="2"/>
      <c r="H34" s="2"/>
      <c r="I34" s="2"/>
      <c r="J34" s="21"/>
      <c r="K34" s="2"/>
      <c r="L34" s="2">
        <f t="shared" si="0"/>
        <v>-1.49</v>
      </c>
      <c r="M34" s="2"/>
      <c r="N34" s="21">
        <f t="shared" si="1"/>
        <v>0</v>
      </c>
      <c r="O34" s="11"/>
      <c r="P34" s="2">
        <f>-10.46</f>
        <v>-10.46</v>
      </c>
      <c r="Q34" s="2"/>
      <c r="R34" s="21"/>
      <c r="S34" s="2"/>
      <c r="T34" s="2"/>
      <c r="U34" s="2"/>
      <c r="V34" s="21"/>
      <c r="W34" s="2"/>
      <c r="X34" s="2">
        <f t="shared" si="2"/>
        <v>-10.46</v>
      </c>
      <c r="Y34" s="2"/>
      <c r="Z34" s="21">
        <f t="shared" si="3"/>
        <v>0</v>
      </c>
    </row>
    <row r="35" spans="1:26" s="24" customFormat="1" hidden="1" outlineLevel="1" x14ac:dyDescent="0.25">
      <c r="A35" s="46"/>
      <c r="B35" s="11" t="str">
        <f>CONCATENATE("          ", "4228", " - ", "SALES RETURN TAXABLE-ART/TECH")</f>
        <v xml:space="preserve">          4228 - SALES RETURN TAXABLE-ART/TECH</v>
      </c>
      <c r="C35" s="11"/>
      <c r="D35" s="2">
        <f>-771.5</f>
        <v>-771.5</v>
      </c>
      <c r="E35" s="2"/>
      <c r="F35" s="21"/>
      <c r="G35" s="2"/>
      <c r="H35" s="2"/>
      <c r="I35" s="2"/>
      <c r="J35" s="21"/>
      <c r="K35" s="2"/>
      <c r="L35" s="2">
        <f t="shared" si="0"/>
        <v>-771.5</v>
      </c>
      <c r="M35" s="2"/>
      <c r="N35" s="21">
        <f t="shared" si="1"/>
        <v>0</v>
      </c>
      <c r="O35" s="11"/>
      <c r="P35" s="2">
        <f>-781.87</f>
        <v>-781.87</v>
      </c>
      <c r="Q35" s="2"/>
      <c r="R35" s="21"/>
      <c r="S35" s="2"/>
      <c r="T35" s="2"/>
      <c r="U35" s="2"/>
      <c r="V35" s="21"/>
      <c r="W35" s="2"/>
      <c r="X35" s="2">
        <f t="shared" si="2"/>
        <v>-781.87</v>
      </c>
      <c r="Y35" s="2"/>
      <c r="Z35" s="21">
        <f t="shared" si="3"/>
        <v>0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8" t="s">
        <v>8</v>
      </c>
      <c r="C37" s="10"/>
      <c r="D37" s="4">
        <f>SUM(OSRRefD16x_0)</f>
        <v>28053.26</v>
      </c>
      <c r="E37" s="4"/>
      <c r="F37" s="12">
        <f t="shared" ref="F37:F54" si="4">IF(D$12=0,0,D37/D$12)</f>
        <v>0.52672860500546204</v>
      </c>
      <c r="G37" s="4"/>
      <c r="H37" s="4">
        <f>SUM(OSRRefH16x_0)</f>
        <v>22072</v>
      </c>
      <c r="I37" s="4"/>
      <c r="J37" s="12">
        <f t="shared" ref="J37:J54" si="5">IF(H$12=0,0,H37/H$12)</f>
        <v>0.42143048077290257</v>
      </c>
      <c r="K37" s="4"/>
      <c r="L37" s="4">
        <f t="shared" ref="L37:L54" si="6">+D37-H37</f>
        <v>5981.2599999999984</v>
      </c>
      <c r="M37" s="4"/>
      <c r="N37" s="12">
        <f t="shared" ref="N37:N54" si="7">IF(H37=0,0,L37/H37)</f>
        <v>0.27098858281986221</v>
      </c>
      <c r="O37" s="10"/>
      <c r="P37" s="4">
        <f>SUM(OSRRefP16x_0)</f>
        <v>29418.140000000003</v>
      </c>
      <c r="Q37" s="4"/>
      <c r="R37" s="12">
        <f t="shared" ref="R37:R54" si="8">IF(P$12=0,0,P37/P$12)</f>
        <v>0.52829198615507356</v>
      </c>
      <c r="S37" s="4"/>
      <c r="T37" s="4">
        <f>SUM(OSRRefT16x_0)</f>
        <v>22868</v>
      </c>
      <c r="U37" s="4"/>
      <c r="V37" s="12">
        <f t="shared" ref="V37:V54" si="9">IF(T$12=0,0,T37/T$12)</f>
        <v>0.42193438872283112</v>
      </c>
      <c r="W37" s="4"/>
      <c r="X37" s="4">
        <f t="shared" ref="X37:X54" si="10">+P37-T37</f>
        <v>6550.1400000000031</v>
      </c>
      <c r="Y37" s="4"/>
      <c r="Z37" s="12">
        <f t="shared" ref="Z37:Z54" si="11">IF(T37=0,0,X37/T37)</f>
        <v>0.28643256952947366</v>
      </c>
    </row>
    <row r="38" spans="1:26" s="24" customFormat="1" hidden="1" outlineLevel="1" x14ac:dyDescent="0.25">
      <c r="A38" s="46"/>
      <c r="B38" s="11" t="str">
        <f>CONCATENATE("          ", "5000", " - ", "PURCHASES @ COST")</f>
        <v xml:space="preserve">          5000 - PURCHASES @ COST</v>
      </c>
      <c r="C38" s="11"/>
      <c r="D38" s="2"/>
      <c r="E38" s="2"/>
      <c r="F38" s="21">
        <f t="shared" si="4"/>
        <v>0</v>
      </c>
      <c r="G38" s="2"/>
      <c r="H38" s="2">
        <v>22072</v>
      </c>
      <c r="I38" s="2"/>
      <c r="J38" s="21">
        <f t="shared" si="5"/>
        <v>0.42143048077290257</v>
      </c>
      <c r="K38" s="2"/>
      <c r="L38" s="2">
        <f t="shared" si="6"/>
        <v>-22072</v>
      </c>
      <c r="M38" s="2"/>
      <c r="N38" s="21">
        <f t="shared" si="7"/>
        <v>-1</v>
      </c>
      <c r="O38" s="11"/>
      <c r="P38" s="2"/>
      <c r="Q38" s="2"/>
      <c r="R38" s="21">
        <f t="shared" si="8"/>
        <v>0</v>
      </c>
      <c r="S38" s="2"/>
      <c r="T38" s="2">
        <v>22868</v>
      </c>
      <c r="U38" s="2"/>
      <c r="V38" s="21">
        <f t="shared" si="9"/>
        <v>0.42193438872283112</v>
      </c>
      <c r="W38" s="2"/>
      <c r="X38" s="2">
        <f t="shared" si="10"/>
        <v>-22868</v>
      </c>
      <c r="Y38" s="2"/>
      <c r="Z38" s="21">
        <f t="shared" si="11"/>
        <v>-1</v>
      </c>
    </row>
    <row r="39" spans="1:26" s="24" customFormat="1" hidden="1" outlineLevel="1" x14ac:dyDescent="0.25">
      <c r="A39" s="46"/>
      <c r="B39" s="11" t="str">
        <f>CONCATENATE("          ", "5026", " - ", "PURCHASES @ COST-WRITING INSTR")</f>
        <v xml:space="preserve">          5026 - PURCHASES @ COST-WRITING INSTR</v>
      </c>
      <c r="C39" s="11"/>
      <c r="D39" s="2">
        <v>-484.71</v>
      </c>
      <c r="E39" s="2"/>
      <c r="F39" s="21">
        <f t="shared" si="4"/>
        <v>-9.1009252447736017E-3</v>
      </c>
      <c r="G39" s="2"/>
      <c r="H39" s="2"/>
      <c r="I39" s="2"/>
      <c r="J39" s="21">
        <f t="shared" si="5"/>
        <v>0</v>
      </c>
      <c r="K39" s="2"/>
      <c r="L39" s="2">
        <f t="shared" si="6"/>
        <v>-484.71</v>
      </c>
      <c r="M39" s="2"/>
      <c r="N39" s="21">
        <f t="shared" si="7"/>
        <v>0</v>
      </c>
      <c r="O39" s="11"/>
      <c r="P39" s="2">
        <v>390.82</v>
      </c>
      <c r="Q39" s="2"/>
      <c r="R39" s="21">
        <f t="shared" si="8"/>
        <v>7.0183592174463041E-3</v>
      </c>
      <c r="S39" s="2"/>
      <c r="T39" s="2"/>
      <c r="U39" s="2"/>
      <c r="V39" s="21">
        <f t="shared" si="9"/>
        <v>0</v>
      </c>
      <c r="W39" s="2"/>
      <c r="X39" s="2">
        <f t="shared" si="10"/>
        <v>390.82</v>
      </c>
      <c r="Y39" s="2"/>
      <c r="Z39" s="21">
        <f t="shared" si="11"/>
        <v>0</v>
      </c>
    </row>
    <row r="40" spans="1:26" s="24" customFormat="1" hidden="1" outlineLevel="1" x14ac:dyDescent="0.25">
      <c r="A40" s="46"/>
      <c r="B40" s="11" t="str">
        <f>CONCATENATE("          ", "5027", " - ", "PURCHASES @ COST-SCHOOL SUPPLI")</f>
        <v xml:space="preserve">          5027 - PURCHASES @ COST-SCHOOL SUPPLI</v>
      </c>
      <c r="C40" s="11"/>
      <c r="D40" s="2">
        <v>-460.76</v>
      </c>
      <c r="E40" s="2"/>
      <c r="F40" s="21">
        <f t="shared" si="4"/>
        <v>-8.651239536592777E-3</v>
      </c>
      <c r="G40" s="2"/>
      <c r="H40" s="2"/>
      <c r="I40" s="2"/>
      <c r="J40" s="21">
        <f t="shared" si="5"/>
        <v>0</v>
      </c>
      <c r="K40" s="2"/>
      <c r="L40" s="2">
        <f t="shared" si="6"/>
        <v>-460.76</v>
      </c>
      <c r="M40" s="2"/>
      <c r="N40" s="21">
        <f t="shared" si="7"/>
        <v>0</v>
      </c>
      <c r="O40" s="11"/>
      <c r="P40" s="2">
        <v>396.73</v>
      </c>
      <c r="Q40" s="2"/>
      <c r="R40" s="21">
        <f t="shared" si="8"/>
        <v>7.1244912039749048E-3</v>
      </c>
      <c r="S40" s="2"/>
      <c r="T40" s="2"/>
      <c r="U40" s="2"/>
      <c r="V40" s="21">
        <f t="shared" si="9"/>
        <v>0</v>
      </c>
      <c r="W40" s="2"/>
      <c r="X40" s="2">
        <f t="shared" si="10"/>
        <v>396.73</v>
      </c>
      <c r="Y40" s="2"/>
      <c r="Z40" s="21">
        <f t="shared" si="11"/>
        <v>0</v>
      </c>
    </row>
    <row r="41" spans="1:26" s="24" customFormat="1" hidden="1" outlineLevel="1" x14ac:dyDescent="0.25">
      <c r="A41" s="46"/>
      <c r="B41" s="11" t="str">
        <f>CONCATENATE("          ", "5028", " - ", "PURCHASES @ COST-ART/TECH")</f>
        <v xml:space="preserve">          5028 - PURCHASES @ COST-ART/TECH</v>
      </c>
      <c r="C41" s="11"/>
      <c r="D41" s="2">
        <v>27515.48</v>
      </c>
      <c r="E41" s="2"/>
      <c r="F41" s="21">
        <f t="shared" si="4"/>
        <v>0.5166312363146276</v>
      </c>
      <c r="G41" s="2"/>
      <c r="H41" s="2"/>
      <c r="I41" s="2"/>
      <c r="J41" s="21">
        <f t="shared" si="5"/>
        <v>0</v>
      </c>
      <c r="K41" s="2"/>
      <c r="L41" s="2">
        <f t="shared" si="6"/>
        <v>27515.48</v>
      </c>
      <c r="M41" s="2"/>
      <c r="N41" s="21">
        <f t="shared" si="7"/>
        <v>0</v>
      </c>
      <c r="O41" s="11"/>
      <c r="P41" s="2">
        <v>53398.57</v>
      </c>
      <c r="Q41" s="2"/>
      <c r="R41" s="21">
        <f t="shared" si="8"/>
        <v>0.9589333861060122</v>
      </c>
      <c r="S41" s="2"/>
      <c r="T41" s="2"/>
      <c r="U41" s="2"/>
      <c r="V41" s="21">
        <f t="shared" si="9"/>
        <v>0</v>
      </c>
      <c r="W41" s="2"/>
      <c r="X41" s="2">
        <f t="shared" si="10"/>
        <v>53398.57</v>
      </c>
      <c r="Y41" s="2"/>
      <c r="Z41" s="21">
        <f t="shared" si="11"/>
        <v>0</v>
      </c>
    </row>
    <row r="42" spans="1:26" s="24" customFormat="1" hidden="1" outlineLevel="1" x14ac:dyDescent="0.25">
      <c r="A42" s="46"/>
      <c r="B42" s="11" t="str">
        <f>CONCATENATE("          ", "5031", " - ", "PURCHASES @ COST-FOOD")</f>
        <v xml:space="preserve">          5031 - PURCHASES @ COST-FOOD</v>
      </c>
      <c r="C42" s="11"/>
      <c r="D42" s="2">
        <v>2529.9299999999998</v>
      </c>
      <c r="E42" s="2"/>
      <c r="F42" s="21">
        <f t="shared" si="4"/>
        <v>4.7502019361082046E-2</v>
      </c>
      <c r="G42" s="2"/>
      <c r="H42" s="2"/>
      <c r="I42" s="2"/>
      <c r="J42" s="21">
        <f t="shared" si="5"/>
        <v>0</v>
      </c>
      <c r="K42" s="2"/>
      <c r="L42" s="2">
        <f t="shared" si="6"/>
        <v>2529.9299999999998</v>
      </c>
      <c r="M42" s="2"/>
      <c r="N42" s="21">
        <f t="shared" si="7"/>
        <v>0</v>
      </c>
      <c r="O42" s="11"/>
      <c r="P42" s="2">
        <v>2529.9299999999998</v>
      </c>
      <c r="Q42" s="2"/>
      <c r="R42" s="21">
        <f t="shared" si="8"/>
        <v>4.5432571349966547E-2</v>
      </c>
      <c r="S42" s="2"/>
      <c r="T42" s="2"/>
      <c r="U42" s="2"/>
      <c r="V42" s="21">
        <f t="shared" si="9"/>
        <v>0</v>
      </c>
      <c r="W42" s="2"/>
      <c r="X42" s="2">
        <f t="shared" si="10"/>
        <v>2529.9299999999998</v>
      </c>
      <c r="Y42" s="2"/>
      <c r="Z42" s="21">
        <f t="shared" si="11"/>
        <v>0</v>
      </c>
    </row>
    <row r="43" spans="1:26" s="24" customFormat="1" hidden="1" outlineLevel="1" x14ac:dyDescent="0.25">
      <c r="A43" s="46"/>
      <c r="B43" s="11" t="str">
        <f>CONCATENATE("          ", "5032", " - ", "PURCHASES @ COST-JUICE")</f>
        <v xml:space="preserve">          5032 - PURCHASES @ COST-JUICE</v>
      </c>
      <c r="C43" s="11"/>
      <c r="D43" s="2">
        <v>227.18</v>
      </c>
      <c r="E43" s="2"/>
      <c r="F43" s="21">
        <f t="shared" si="4"/>
        <v>4.2655365003974894E-3</v>
      </c>
      <c r="G43" s="2"/>
      <c r="H43" s="2"/>
      <c r="I43" s="2"/>
      <c r="J43" s="21">
        <f t="shared" si="5"/>
        <v>0</v>
      </c>
      <c r="K43" s="2"/>
      <c r="L43" s="2">
        <f t="shared" si="6"/>
        <v>227.18</v>
      </c>
      <c r="M43" s="2"/>
      <c r="N43" s="21">
        <f t="shared" si="7"/>
        <v>0</v>
      </c>
      <c r="O43" s="11"/>
      <c r="P43" s="2">
        <v>341.6</v>
      </c>
      <c r="Q43" s="2"/>
      <c r="R43" s="21">
        <f t="shared" si="8"/>
        <v>6.1344647374230021E-3</v>
      </c>
      <c r="S43" s="2"/>
      <c r="T43" s="2"/>
      <c r="U43" s="2"/>
      <c r="V43" s="21">
        <f t="shared" si="9"/>
        <v>0</v>
      </c>
      <c r="W43" s="2"/>
      <c r="X43" s="2">
        <f t="shared" si="10"/>
        <v>341.6</v>
      </c>
      <c r="Y43" s="2"/>
      <c r="Z43" s="21">
        <f t="shared" si="11"/>
        <v>0</v>
      </c>
    </row>
    <row r="44" spans="1:26" s="24" customFormat="1" hidden="1" outlineLevel="1" x14ac:dyDescent="0.25">
      <c r="A44" s="46"/>
      <c r="B44" s="11" t="str">
        <f>CONCATENATE("          ", "5033", " - ", "PURCHASES @ COST-CANDY")</f>
        <v xml:space="preserve">          5033 - PURCHASES @ COST-CANDY</v>
      </c>
      <c r="C44" s="11"/>
      <c r="D44" s="2">
        <v>905.51</v>
      </c>
      <c r="E44" s="2"/>
      <c r="F44" s="21">
        <f t="shared" si="4"/>
        <v>1.7001874973478874E-2</v>
      </c>
      <c r="G44" s="2"/>
      <c r="H44" s="2"/>
      <c r="I44" s="2"/>
      <c r="J44" s="21">
        <f t="shared" si="5"/>
        <v>0</v>
      </c>
      <c r="K44" s="2"/>
      <c r="L44" s="2">
        <f t="shared" si="6"/>
        <v>905.51</v>
      </c>
      <c r="M44" s="2"/>
      <c r="N44" s="21">
        <f t="shared" si="7"/>
        <v>0</v>
      </c>
      <c r="O44" s="11"/>
      <c r="P44" s="2">
        <v>905.51</v>
      </c>
      <c r="Q44" s="2"/>
      <c r="R44" s="21">
        <f t="shared" si="8"/>
        <v>1.6261180223606269E-2</v>
      </c>
      <c r="S44" s="2"/>
      <c r="T44" s="2"/>
      <c r="U44" s="2"/>
      <c r="V44" s="21">
        <f t="shared" si="9"/>
        <v>0</v>
      </c>
      <c r="W44" s="2"/>
      <c r="X44" s="2">
        <f t="shared" si="10"/>
        <v>905.51</v>
      </c>
      <c r="Y44" s="2"/>
      <c r="Z44" s="21">
        <f t="shared" si="11"/>
        <v>0</v>
      </c>
    </row>
    <row r="45" spans="1:26" s="24" customFormat="1" hidden="1" outlineLevel="1" x14ac:dyDescent="0.25">
      <c r="A45" s="46"/>
      <c r="B45" s="11" t="str">
        <f>CONCATENATE("          ", "5034", " - ", "PURCHASES @ COST-SODA")</f>
        <v xml:space="preserve">          5034 - PURCHASES @ COST-SODA</v>
      </c>
      <c r="C45" s="11"/>
      <c r="D45" s="2">
        <v>350.04</v>
      </c>
      <c r="E45" s="2"/>
      <c r="F45" s="21">
        <f t="shared" si="4"/>
        <v>6.5723584672908583E-3</v>
      </c>
      <c r="G45" s="2"/>
      <c r="H45" s="2"/>
      <c r="I45" s="2"/>
      <c r="J45" s="21">
        <f t="shared" si="5"/>
        <v>0</v>
      </c>
      <c r="K45" s="2"/>
      <c r="L45" s="2">
        <f t="shared" si="6"/>
        <v>350.04</v>
      </c>
      <c r="M45" s="2"/>
      <c r="N45" s="21">
        <f t="shared" si="7"/>
        <v>0</v>
      </c>
      <c r="O45" s="11"/>
      <c r="P45" s="2">
        <v>288.5</v>
      </c>
      <c r="Q45" s="2"/>
      <c r="R45" s="21">
        <f t="shared" si="8"/>
        <v>5.1808930818107021E-3</v>
      </c>
      <c r="S45" s="2"/>
      <c r="T45" s="2"/>
      <c r="U45" s="2"/>
      <c r="V45" s="21">
        <f t="shared" si="9"/>
        <v>0</v>
      </c>
      <c r="W45" s="2"/>
      <c r="X45" s="2">
        <f t="shared" si="10"/>
        <v>288.5</v>
      </c>
      <c r="Y45" s="2"/>
      <c r="Z45" s="21">
        <f t="shared" si="11"/>
        <v>0</v>
      </c>
    </row>
    <row r="46" spans="1:26" s="24" customFormat="1" hidden="1" outlineLevel="1" x14ac:dyDescent="0.25">
      <c r="A46" s="46"/>
      <c r="B46" s="11" t="str">
        <f>CONCATENATE("          ", "5035", " - ", "PURCHASES @ COST-HEALTH &amp; BEAU")</f>
        <v xml:space="preserve">          5035 - PURCHASES @ COST-HEALTH &amp; BEAU</v>
      </c>
      <c r="C46" s="11"/>
      <c r="D46" s="2">
        <v>42.24</v>
      </c>
      <c r="E46" s="2"/>
      <c r="F46" s="21">
        <f t="shared" si="4"/>
        <v>7.9309913626547212E-4</v>
      </c>
      <c r="G46" s="2"/>
      <c r="H46" s="2"/>
      <c r="I46" s="2"/>
      <c r="J46" s="21">
        <f t="shared" si="5"/>
        <v>0</v>
      </c>
      <c r="K46" s="2"/>
      <c r="L46" s="2">
        <f t="shared" si="6"/>
        <v>42.24</v>
      </c>
      <c r="M46" s="2"/>
      <c r="N46" s="21">
        <f t="shared" si="7"/>
        <v>0</v>
      </c>
      <c r="O46" s="11"/>
      <c r="P46" s="2">
        <v>42.24</v>
      </c>
      <c r="Q46" s="2"/>
      <c r="R46" s="21">
        <f t="shared" si="8"/>
        <v>7.5854739610289109E-4</v>
      </c>
      <c r="S46" s="2"/>
      <c r="T46" s="2"/>
      <c r="U46" s="2"/>
      <c r="V46" s="21">
        <f t="shared" si="9"/>
        <v>0</v>
      </c>
      <c r="W46" s="2"/>
      <c r="X46" s="2">
        <f t="shared" si="10"/>
        <v>42.24</v>
      </c>
      <c r="Y46" s="2"/>
      <c r="Z46" s="21">
        <f t="shared" si="11"/>
        <v>0</v>
      </c>
    </row>
    <row r="47" spans="1:26" s="24" customFormat="1" hidden="1" outlineLevel="1" x14ac:dyDescent="0.25">
      <c r="A47" s="46"/>
      <c r="B47" s="11" t="str">
        <f>CONCATENATE("          ", "5037", " - ", "PURCHASES @ COST-WATER")</f>
        <v xml:space="preserve">          5037 - PURCHASES @ COST-WATER</v>
      </c>
      <c r="C47" s="11"/>
      <c r="D47" s="2">
        <v>449.64</v>
      </c>
      <c r="E47" s="2"/>
      <c r="F47" s="21">
        <f t="shared" si="4"/>
        <v>8.442450180644101E-3</v>
      </c>
      <c r="G47" s="2"/>
      <c r="H47" s="2"/>
      <c r="I47" s="2"/>
      <c r="J47" s="21">
        <f t="shared" si="5"/>
        <v>0</v>
      </c>
      <c r="K47" s="2"/>
      <c r="L47" s="2">
        <f t="shared" si="6"/>
        <v>449.64</v>
      </c>
      <c r="M47" s="2"/>
      <c r="N47" s="21">
        <f t="shared" si="7"/>
        <v>0</v>
      </c>
      <c r="O47" s="11"/>
      <c r="P47" s="2">
        <v>466.18</v>
      </c>
      <c r="Q47" s="2"/>
      <c r="R47" s="21">
        <f t="shared" si="8"/>
        <v>8.3716767309480536E-3</v>
      </c>
      <c r="S47" s="2"/>
      <c r="T47" s="2"/>
      <c r="U47" s="2"/>
      <c r="V47" s="21">
        <f t="shared" si="9"/>
        <v>0</v>
      </c>
      <c r="W47" s="2"/>
      <c r="X47" s="2">
        <f t="shared" si="10"/>
        <v>466.18</v>
      </c>
      <c r="Y47" s="2"/>
      <c r="Z47" s="21">
        <f t="shared" si="11"/>
        <v>0</v>
      </c>
    </row>
    <row r="48" spans="1:26" s="24" customFormat="1" hidden="1" outlineLevel="1" x14ac:dyDescent="0.25">
      <c r="A48" s="46"/>
      <c r="B48" s="11" t="str">
        <f>CONCATENATE("          ", "5081", " - ", "PURCHASES @ COST-ELECTRONICS")</f>
        <v xml:space="preserve">          5081 - PURCHASES @ COST-ELECTRONICS</v>
      </c>
      <c r="C48" s="11"/>
      <c r="D48" s="2">
        <v>304.16000000000003</v>
      </c>
      <c r="E48" s="2"/>
      <c r="F48" s="21">
        <f t="shared" si="4"/>
        <v>5.7109146137903884E-3</v>
      </c>
      <c r="G48" s="2"/>
      <c r="H48" s="2"/>
      <c r="I48" s="2"/>
      <c r="J48" s="21">
        <f t="shared" si="5"/>
        <v>0</v>
      </c>
      <c r="K48" s="2"/>
      <c r="L48" s="2">
        <f t="shared" si="6"/>
        <v>304.16000000000003</v>
      </c>
      <c r="M48" s="2"/>
      <c r="N48" s="21">
        <f t="shared" si="7"/>
        <v>0</v>
      </c>
      <c r="O48" s="11"/>
      <c r="P48" s="2">
        <v>304.16000000000003</v>
      </c>
      <c r="Q48" s="2"/>
      <c r="R48" s="21">
        <f t="shared" si="8"/>
        <v>5.4621159090590754E-3</v>
      </c>
      <c r="S48" s="2"/>
      <c r="T48" s="2"/>
      <c r="U48" s="2"/>
      <c r="V48" s="21">
        <f t="shared" si="9"/>
        <v>0</v>
      </c>
      <c r="W48" s="2"/>
      <c r="X48" s="2">
        <f t="shared" si="10"/>
        <v>304.16000000000003</v>
      </c>
      <c r="Y48" s="2"/>
      <c r="Z48" s="21">
        <f t="shared" si="11"/>
        <v>0</v>
      </c>
    </row>
    <row r="49" spans="1:26" s="24" customFormat="1" hidden="1" outlineLevel="1" x14ac:dyDescent="0.25">
      <c r="A49" s="46"/>
      <c r="B49" s="11" t="str">
        <f>CONCATENATE("          ", "5082", " - ", "PURCHASES @ COST-COMPUTER HARD")</f>
        <v xml:space="preserve">          5082 - PURCHASES @ COST-COMPUTER HARD</v>
      </c>
      <c r="C49" s="11"/>
      <c r="D49" s="2">
        <v>130.6</v>
      </c>
      <c r="E49" s="2"/>
      <c r="F49" s="21">
        <f t="shared" si="4"/>
        <v>2.4521483711238317E-3</v>
      </c>
      <c r="G49" s="2"/>
      <c r="H49" s="2"/>
      <c r="I49" s="2"/>
      <c r="J49" s="21">
        <f t="shared" si="5"/>
        <v>0</v>
      </c>
      <c r="K49" s="2"/>
      <c r="L49" s="2">
        <f t="shared" si="6"/>
        <v>130.6</v>
      </c>
      <c r="M49" s="2"/>
      <c r="N49" s="21">
        <f t="shared" si="7"/>
        <v>0</v>
      </c>
      <c r="O49" s="11"/>
      <c r="P49" s="2">
        <v>130.6</v>
      </c>
      <c r="Q49" s="2"/>
      <c r="R49" s="21">
        <f t="shared" si="8"/>
        <v>2.3453193638976696E-3</v>
      </c>
      <c r="S49" s="2"/>
      <c r="T49" s="2"/>
      <c r="U49" s="2"/>
      <c r="V49" s="21">
        <f t="shared" si="9"/>
        <v>0</v>
      </c>
      <c r="W49" s="2"/>
      <c r="X49" s="2">
        <f t="shared" si="10"/>
        <v>130.6</v>
      </c>
      <c r="Y49" s="2"/>
      <c r="Z49" s="21">
        <f t="shared" si="11"/>
        <v>0</v>
      </c>
    </row>
    <row r="50" spans="1:26" s="24" customFormat="1" hidden="1" outlineLevel="1" x14ac:dyDescent="0.25">
      <c r="A50" s="46"/>
      <c r="B50" s="11" t="str">
        <f>CONCATENATE("          ", "5083", " - ", "PURCHASES @ COST-COMPUTER EQUI")</f>
        <v xml:space="preserve">          5083 - PURCHASES @ COST-COMPUTER EQUI</v>
      </c>
      <c r="C50" s="11"/>
      <c r="D50" s="2">
        <v>41.5</v>
      </c>
      <c r="E50" s="2"/>
      <c r="F50" s="21">
        <f t="shared" si="4"/>
        <v>7.7920488056385157E-4</v>
      </c>
      <c r="G50" s="2"/>
      <c r="H50" s="2"/>
      <c r="I50" s="2"/>
      <c r="J50" s="21">
        <f t="shared" si="5"/>
        <v>0</v>
      </c>
      <c r="K50" s="2"/>
      <c r="L50" s="2">
        <f t="shared" si="6"/>
        <v>41.5</v>
      </c>
      <c r="M50" s="2"/>
      <c r="N50" s="21">
        <f t="shared" si="7"/>
        <v>0</v>
      </c>
      <c r="O50" s="11"/>
      <c r="P50" s="2">
        <v>41.5</v>
      </c>
      <c r="Q50" s="2"/>
      <c r="R50" s="21">
        <f t="shared" si="8"/>
        <v>7.4525845024313395E-4</v>
      </c>
      <c r="S50" s="2"/>
      <c r="T50" s="2"/>
      <c r="U50" s="2"/>
      <c r="V50" s="21">
        <f t="shared" si="9"/>
        <v>0</v>
      </c>
      <c r="W50" s="2"/>
      <c r="X50" s="2">
        <f t="shared" si="10"/>
        <v>41.5</v>
      </c>
      <c r="Y50" s="2"/>
      <c r="Z50" s="21">
        <f t="shared" si="11"/>
        <v>0</v>
      </c>
    </row>
    <row r="51" spans="1:26" s="24" customFormat="1" hidden="1" outlineLevel="1" x14ac:dyDescent="0.25">
      <c r="A51" s="46"/>
      <c r="B51" s="11" t="str">
        <f>CONCATENATE("          ", "5086", " - ", "PURCHASES @ COST-COMPUTER SUPP")</f>
        <v xml:space="preserve">          5086 - PURCHASES @ COST-COMPUTER SUPP</v>
      </c>
      <c r="C51" s="11"/>
      <c r="D51" s="2">
        <v>58</v>
      </c>
      <c r="E51" s="2"/>
      <c r="F51" s="21">
        <f t="shared" si="4"/>
        <v>1.0890092306675516E-3</v>
      </c>
      <c r="G51" s="2"/>
      <c r="H51" s="2"/>
      <c r="I51" s="2"/>
      <c r="J51" s="21">
        <f t="shared" si="5"/>
        <v>0</v>
      </c>
      <c r="K51" s="2"/>
      <c r="L51" s="2">
        <f t="shared" si="6"/>
        <v>58</v>
      </c>
      <c r="M51" s="2"/>
      <c r="N51" s="21">
        <f t="shared" si="7"/>
        <v>0</v>
      </c>
      <c r="O51" s="11"/>
      <c r="P51" s="2">
        <v>58</v>
      </c>
      <c r="Q51" s="2"/>
      <c r="R51" s="21">
        <f t="shared" si="8"/>
        <v>1.0415660268458258E-3</v>
      </c>
      <c r="S51" s="2"/>
      <c r="T51" s="2"/>
      <c r="U51" s="2"/>
      <c r="V51" s="21">
        <f t="shared" si="9"/>
        <v>0</v>
      </c>
      <c r="W51" s="2"/>
      <c r="X51" s="2">
        <f t="shared" si="10"/>
        <v>58</v>
      </c>
      <c r="Y51" s="2"/>
      <c r="Z51" s="21">
        <f t="shared" si="11"/>
        <v>0</v>
      </c>
    </row>
    <row r="52" spans="1:26" s="24" customFormat="1" hidden="1" outlineLevel="1" x14ac:dyDescent="0.25">
      <c r="A52" s="46"/>
      <c r="B52" s="11" t="str">
        <f>CONCATENATE("          ", "5200", " - ", "PURCHASES OFFSET")</f>
        <v xml:space="preserve">          5200 - PURCHASES OFFSET</v>
      </c>
      <c r="C52" s="11"/>
      <c r="D52" s="2">
        <v>-31865</v>
      </c>
      <c r="E52" s="2"/>
      <c r="F52" s="21">
        <f t="shared" si="4"/>
        <v>-0.59829791612450911</v>
      </c>
      <c r="G52" s="2"/>
      <c r="H52" s="2"/>
      <c r="I52" s="2"/>
      <c r="J52" s="21">
        <f t="shared" si="5"/>
        <v>0</v>
      </c>
      <c r="K52" s="2"/>
      <c r="L52" s="2">
        <f t="shared" si="6"/>
        <v>-31865</v>
      </c>
      <c r="M52" s="2"/>
      <c r="N52" s="21">
        <f t="shared" si="7"/>
        <v>0</v>
      </c>
      <c r="O52" s="11"/>
      <c r="P52" s="2">
        <v>-59550</v>
      </c>
      <c r="Q52" s="2"/>
      <c r="R52" s="21">
        <f t="shared" si="8"/>
        <v>-1.0694009810115332</v>
      </c>
      <c r="S52" s="2"/>
      <c r="T52" s="2"/>
      <c r="U52" s="2"/>
      <c r="V52" s="21">
        <f t="shared" si="9"/>
        <v>0</v>
      </c>
      <c r="W52" s="2"/>
      <c r="X52" s="2">
        <f t="shared" si="10"/>
        <v>-59550</v>
      </c>
      <c r="Y52" s="2"/>
      <c r="Z52" s="21">
        <f t="shared" si="11"/>
        <v>0</v>
      </c>
    </row>
    <row r="53" spans="1:26" s="24" customFormat="1" hidden="1" outlineLevel="1" x14ac:dyDescent="0.25">
      <c r="A53" s="46"/>
      <c r="B53" s="11" t="str">
        <f>CONCATENATE("          ", "5300", " - ", "COG$ OFFSET")</f>
        <v xml:space="preserve">          5300 - COG$ OFFSET</v>
      </c>
      <c r="C53" s="11"/>
      <c r="D53" s="2">
        <v>28054</v>
      </c>
      <c r="E53" s="2"/>
      <c r="F53" s="21">
        <f t="shared" si="4"/>
        <v>0.52674249926116368</v>
      </c>
      <c r="G53" s="2"/>
      <c r="H53" s="2"/>
      <c r="I53" s="2"/>
      <c r="J53" s="21">
        <f t="shared" si="5"/>
        <v>0</v>
      </c>
      <c r="K53" s="2"/>
      <c r="L53" s="2">
        <f t="shared" si="6"/>
        <v>28054</v>
      </c>
      <c r="M53" s="2"/>
      <c r="N53" s="21">
        <f t="shared" si="7"/>
        <v>0</v>
      </c>
      <c r="O53" s="11"/>
      <c r="P53" s="2">
        <v>29418</v>
      </c>
      <c r="Q53" s="2"/>
      <c r="R53" s="21">
        <f t="shared" si="8"/>
        <v>0.52828947203018106</v>
      </c>
      <c r="S53" s="2"/>
      <c r="T53" s="2"/>
      <c r="U53" s="2"/>
      <c r="V53" s="21">
        <f t="shared" si="9"/>
        <v>0</v>
      </c>
      <c r="W53" s="2"/>
      <c r="X53" s="2">
        <f t="shared" si="10"/>
        <v>29418</v>
      </c>
      <c r="Y53" s="2"/>
      <c r="Z53" s="21">
        <f t="shared" si="11"/>
        <v>0</v>
      </c>
    </row>
    <row r="54" spans="1:26" s="24" customFormat="1" hidden="1" outlineLevel="1" x14ac:dyDescent="0.25">
      <c r="A54" s="46"/>
      <c r="B54" s="11" t="str">
        <f>CONCATENATE("          ", "5528", " - ", "FREIGHT-IN-ART/TECH")</f>
        <v xml:space="preserve">          5528 - FREIGHT-IN-ART/TECH</v>
      </c>
      <c r="C54" s="11"/>
      <c r="D54" s="2">
        <v>255.45</v>
      </c>
      <c r="E54" s="2"/>
      <c r="F54" s="21">
        <f t="shared" si="4"/>
        <v>4.7963346202418286E-3</v>
      </c>
      <c r="G54" s="2"/>
      <c r="H54" s="2"/>
      <c r="I54" s="2"/>
      <c r="J54" s="21">
        <f t="shared" si="5"/>
        <v>0</v>
      </c>
      <c r="K54" s="2"/>
      <c r="L54" s="2">
        <f t="shared" si="6"/>
        <v>255.45</v>
      </c>
      <c r="M54" s="2"/>
      <c r="N54" s="21">
        <f t="shared" si="7"/>
        <v>0</v>
      </c>
      <c r="O54" s="11"/>
      <c r="P54" s="2">
        <v>255.8</v>
      </c>
      <c r="Q54" s="2"/>
      <c r="R54" s="21">
        <f t="shared" si="8"/>
        <v>4.5936653390890045E-3</v>
      </c>
      <c r="S54" s="2"/>
      <c r="T54" s="2"/>
      <c r="U54" s="2"/>
      <c r="V54" s="21">
        <f t="shared" si="9"/>
        <v>0</v>
      </c>
      <c r="W54" s="2"/>
      <c r="X54" s="2">
        <f t="shared" si="10"/>
        <v>255.8</v>
      </c>
      <c r="Y54" s="2"/>
      <c r="Z54" s="21">
        <f t="shared" si="11"/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9" t="s">
        <v>6</v>
      </c>
      <c r="C56" s="29"/>
      <c r="D56" s="22">
        <f>D12-D37</f>
        <v>25206.159999999993</v>
      </c>
      <c r="E56" s="14"/>
      <c r="F56" s="20">
        <f>IF(D$12=0,0,D56/D$12)</f>
        <v>0.47327139499453802</v>
      </c>
      <c r="G56" s="14"/>
      <c r="H56" s="22">
        <f>H12-H37</f>
        <v>30302</v>
      </c>
      <c r="I56" s="14"/>
      <c r="J56" s="20">
        <f>IF(H$12=0,0,H56/H$12)</f>
        <v>0.57856951922709743</v>
      </c>
      <c r="K56" s="15"/>
      <c r="L56" s="22">
        <f>+D56-H56</f>
        <v>-5095.8400000000074</v>
      </c>
      <c r="M56" s="15"/>
      <c r="N56" s="20">
        <f>IF(H56=0,0,L56/H56)</f>
        <v>-0.16816843772688295</v>
      </c>
      <c r="O56" s="28"/>
      <c r="P56" s="22">
        <f>P12-P37</f>
        <v>26267.239999999987</v>
      </c>
      <c r="Q56" s="14"/>
      <c r="R56" s="20">
        <f>IF(P$12=0,0,P56/P$12)</f>
        <v>0.4717080138449265</v>
      </c>
      <c r="S56" s="14"/>
      <c r="T56" s="22">
        <f>T12-T37</f>
        <v>31330</v>
      </c>
      <c r="U56" s="14"/>
      <c r="V56" s="20">
        <f>IF(T$12=0,0,T56/T$12)</f>
        <v>0.57806561127716893</v>
      </c>
      <c r="W56" s="15"/>
      <c r="X56" s="22">
        <f>+P56-T56</f>
        <v>-5062.760000000013</v>
      </c>
      <c r="Y56" s="15"/>
      <c r="Z56" s="20">
        <f>IF(T56=0,0,X56/T56)</f>
        <v>-0.16159463772741822</v>
      </c>
    </row>
    <row r="57" spans="1:26" x14ac:dyDescent="0.25">
      <c r="A57" s="9"/>
      <c r="B57" s="10"/>
      <c r="C57" s="9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8" t="s">
        <v>9</v>
      </c>
      <c r="C58" s="10"/>
      <c r="D58" s="19">
        <f>SUM(OSRRefD22x_0)</f>
        <v>8153.29</v>
      </c>
      <c r="E58" s="19"/>
      <c r="F58" s="34">
        <f t="shared" ref="F58:F68" si="12">IF(D$12=0,0,D58/D$12)</f>
        <v>0.15308634603981797</v>
      </c>
      <c r="G58" s="19"/>
      <c r="H58" s="19">
        <f>SUM(OSRRefH22x_0)</f>
        <v>10085.016122000001</v>
      </c>
      <c r="I58" s="19"/>
      <c r="J58" s="34">
        <f t="shared" ref="J58:J68" si="13">IF(H$12=0,0,H58/H$12)</f>
        <v>0.19255768362164435</v>
      </c>
      <c r="K58" s="4"/>
      <c r="L58" s="19">
        <f t="shared" ref="L58:L68" si="14">+D58-H58</f>
        <v>-1931.7261220000009</v>
      </c>
      <c r="M58" s="4"/>
      <c r="N58" s="34">
        <f t="shared" ref="N58:N68" si="15">IF(H58=0,0,L58/H58)</f>
        <v>-0.1915441778804923</v>
      </c>
      <c r="O58" s="10"/>
      <c r="P58" s="19">
        <f>SUM(OSRRefP22x_0)</f>
        <v>19436.990000000002</v>
      </c>
      <c r="Q58" s="19"/>
      <c r="R58" s="34">
        <f t="shared" ref="R58:R68" si="16">IF(P$12=0,0,P58/P$12)</f>
        <v>0.34905014565762155</v>
      </c>
      <c r="S58" s="19"/>
      <c r="T58" s="19">
        <f>SUM(OSRRefT22x_0)</f>
        <v>19035.758962</v>
      </c>
      <c r="U58" s="19"/>
      <c r="V58" s="34">
        <f t="shared" ref="V58:V68" si="17">IF(T$12=0,0,T58/T$12)</f>
        <v>0.35122622535886933</v>
      </c>
      <c r="W58" s="4"/>
      <c r="X58" s="19">
        <f t="shared" ref="X58:X68" si="18">+P58-T58</f>
        <v>401.23103800000172</v>
      </c>
      <c r="Y58" s="4"/>
      <c r="Z58" s="34">
        <f t="shared" ref="Z58:Z68" si="19">IF(T58=0,0,X58/T58)</f>
        <v>2.1077753653056669E-2</v>
      </c>
    </row>
    <row r="59" spans="1:26" s="26" customFormat="1" outlineLevel="1" collapsed="1" x14ac:dyDescent="0.25">
      <c r="A59" s="25"/>
      <c r="B59" s="13" t="str">
        <f>CONCATENATE("     ","*Benefits                                         ")</f>
        <v xml:space="preserve">     *Benefits                                         </v>
      </c>
      <c r="C59" s="13"/>
      <c r="D59" s="1">
        <f>SUM(OSRRefD22_0x_0)</f>
        <v>1596.77</v>
      </c>
      <c r="E59" s="1"/>
      <c r="F59" s="5">
        <f t="shared" si="12"/>
        <v>2.9980987400914247E-2</v>
      </c>
      <c r="G59" s="1"/>
      <c r="H59" s="1">
        <f>SUM(OSRRefH22_0x_0)</f>
        <v>1634.2061220000001</v>
      </c>
      <c r="I59" s="1"/>
      <c r="J59" s="5">
        <f t="shared" si="13"/>
        <v>3.1202621949822432E-2</v>
      </c>
      <c r="K59" s="1"/>
      <c r="L59" s="1">
        <f t="shared" si="14"/>
        <v>-37.436122000000069</v>
      </c>
      <c r="M59" s="1"/>
      <c r="N59" s="5">
        <f t="shared" si="15"/>
        <v>-2.2907833654535817E-2</v>
      </c>
      <c r="O59" s="13"/>
      <c r="P59" s="1">
        <f>SUM(OSRRefP22_0x_0)</f>
        <v>3200.52</v>
      </c>
      <c r="Q59" s="1"/>
      <c r="R59" s="5">
        <f t="shared" si="16"/>
        <v>5.7475050004148313E-2</v>
      </c>
      <c r="S59" s="1"/>
      <c r="T59" s="1">
        <f>SUM(OSRRefT22_0x_0)</f>
        <v>3087.6139619999999</v>
      </c>
      <c r="U59" s="1"/>
      <c r="V59" s="5">
        <f t="shared" si="17"/>
        <v>5.6969149452009295E-2</v>
      </c>
      <c r="W59" s="1"/>
      <c r="X59" s="1">
        <f t="shared" si="18"/>
        <v>112.90603800000008</v>
      </c>
      <c r="Y59" s="1"/>
      <c r="Z59" s="5">
        <f t="shared" si="19"/>
        <v>3.6567407515823408E-2</v>
      </c>
    </row>
    <row r="60" spans="1:26" s="24" customFormat="1" hidden="1" outlineLevel="2" x14ac:dyDescent="0.25">
      <c r="A60" s="27"/>
      <c r="B60" s="11" t="str">
        <f>CONCATENATE("          ", "6111", " - ", "F.I.C.A.")</f>
        <v xml:space="preserve">          6111 - F.I.C.A.</v>
      </c>
      <c r="C60" s="11"/>
      <c r="D60" s="6">
        <v>357.38</v>
      </c>
      <c r="E60" s="2"/>
      <c r="F60" s="7">
        <f t="shared" si="12"/>
        <v>6.7101744630339586E-3</v>
      </c>
      <c r="G60" s="2"/>
      <c r="H60" s="6">
        <v>491.27668199999999</v>
      </c>
      <c r="I60" s="2"/>
      <c r="J60" s="7">
        <f t="shared" si="13"/>
        <v>9.3801634780616341E-3</v>
      </c>
      <c r="K60" s="2"/>
      <c r="L60" s="6">
        <f t="shared" si="14"/>
        <v>-133.896682</v>
      </c>
      <c r="M60" s="2"/>
      <c r="N60" s="7">
        <f t="shared" si="15"/>
        <v>-0.27254841702419735</v>
      </c>
      <c r="O60" s="11"/>
      <c r="P60" s="6">
        <v>721.63</v>
      </c>
      <c r="Q60" s="2"/>
      <c r="R60" s="7">
        <f t="shared" si="16"/>
        <v>1.295905675780609E-2</v>
      </c>
      <c r="S60" s="2"/>
      <c r="T60" s="6">
        <v>775.04992200000004</v>
      </c>
      <c r="U60" s="2"/>
      <c r="V60" s="7">
        <f t="shared" si="17"/>
        <v>1.4300341746927932E-2</v>
      </c>
      <c r="W60" s="2"/>
      <c r="X60" s="6">
        <f t="shared" si="18"/>
        <v>-53.419922000000042</v>
      </c>
      <c r="Y60" s="2"/>
      <c r="Z60" s="7">
        <f t="shared" si="19"/>
        <v>-6.8924491808412883E-2</v>
      </c>
    </row>
    <row r="61" spans="1:26" s="24" customFormat="1" hidden="1" outlineLevel="2" x14ac:dyDescent="0.25">
      <c r="A61" s="27"/>
      <c r="B61" s="11" t="str">
        <f>CONCATENATE("          ", "6112", " - ", "COMPENSATION INSURANCE")</f>
        <v xml:space="preserve">          6112 - COMPENSATION INSURANCE</v>
      </c>
      <c r="C61" s="11"/>
      <c r="D61" s="6">
        <v>88.76</v>
      </c>
      <c r="E61" s="2"/>
      <c r="F61" s="7">
        <f t="shared" si="12"/>
        <v>1.6665596433457221E-3</v>
      </c>
      <c r="G61" s="2"/>
      <c r="H61" s="6">
        <v>121.9686</v>
      </c>
      <c r="I61" s="2"/>
      <c r="J61" s="7">
        <f t="shared" si="13"/>
        <v>2.3288005498911671E-3</v>
      </c>
      <c r="K61" s="2"/>
      <c r="L61" s="6">
        <f t="shared" si="14"/>
        <v>-33.20859999999999</v>
      </c>
      <c r="M61" s="2"/>
      <c r="N61" s="7">
        <f t="shared" si="15"/>
        <v>-0.2722717158350591</v>
      </c>
      <c r="O61" s="11"/>
      <c r="P61" s="6">
        <v>178.74</v>
      </c>
      <c r="Q61" s="2"/>
      <c r="R61" s="7">
        <f t="shared" si="16"/>
        <v>3.2098191661797055E-3</v>
      </c>
      <c r="S61" s="2"/>
      <c r="T61" s="6">
        <v>224.82509999999999</v>
      </c>
      <c r="U61" s="2"/>
      <c r="V61" s="7">
        <f t="shared" si="17"/>
        <v>4.1482176464076167E-3</v>
      </c>
      <c r="W61" s="2"/>
      <c r="X61" s="6">
        <f t="shared" si="18"/>
        <v>-46.085099999999983</v>
      </c>
      <c r="Y61" s="2"/>
      <c r="Z61" s="7">
        <f t="shared" si="19"/>
        <v>-0.20498200601267377</v>
      </c>
    </row>
    <row r="62" spans="1:26" s="24" customFormat="1" hidden="1" outlineLevel="2" x14ac:dyDescent="0.25">
      <c r="A62" s="27"/>
      <c r="B62" s="11" t="str">
        <f>CONCATENATE("          ", "6113", " - ", "GROUP INSURANCE")</f>
        <v xml:space="preserve">          6113 - GROUP INSURANCE</v>
      </c>
      <c r="C62" s="11"/>
      <c r="D62" s="6">
        <v>488.51</v>
      </c>
      <c r="E62" s="2"/>
      <c r="F62" s="7">
        <f t="shared" si="12"/>
        <v>9.1722741254035445E-3</v>
      </c>
      <c r="G62" s="2"/>
      <c r="H62" s="6">
        <v>497.25</v>
      </c>
      <c r="I62" s="2"/>
      <c r="J62" s="7">
        <f t="shared" si="13"/>
        <v>9.4942146866765949E-3</v>
      </c>
      <c r="K62" s="2"/>
      <c r="L62" s="6">
        <f t="shared" si="14"/>
        <v>-8.7400000000000091</v>
      </c>
      <c r="M62" s="2"/>
      <c r="N62" s="7">
        <f t="shared" si="15"/>
        <v>-1.7576671694318771E-2</v>
      </c>
      <c r="O62" s="11"/>
      <c r="P62" s="6">
        <v>977.02</v>
      </c>
      <c r="Q62" s="2"/>
      <c r="R62" s="7">
        <f t="shared" si="16"/>
        <v>1.7545359302567391E-2</v>
      </c>
      <c r="S62" s="2"/>
      <c r="T62" s="6">
        <v>994.5</v>
      </c>
      <c r="U62" s="2"/>
      <c r="V62" s="7">
        <f t="shared" si="17"/>
        <v>1.8349385586183993E-2</v>
      </c>
      <c r="W62" s="2"/>
      <c r="X62" s="6">
        <f t="shared" si="18"/>
        <v>-17.480000000000018</v>
      </c>
      <c r="Y62" s="2"/>
      <c r="Z62" s="7">
        <f t="shared" si="19"/>
        <v>-1.7576671694318771E-2</v>
      </c>
    </row>
    <row r="63" spans="1:26" s="24" customFormat="1" hidden="1" outlineLevel="2" x14ac:dyDescent="0.25">
      <c r="A63" s="27"/>
      <c r="B63" s="11" t="str">
        <f>CONCATENATE("          ", "6114", " - ", "STATE UNEMPLOYMENT INSURANCE")</f>
        <v xml:space="preserve">          6114 - STATE UNEMPLOYMENT INSURANCE</v>
      </c>
      <c r="C63" s="11"/>
      <c r="D63" s="6">
        <v>12.15</v>
      </c>
      <c r="E63" s="2"/>
      <c r="F63" s="7">
        <f t="shared" si="12"/>
        <v>2.2812865780363366E-4</v>
      </c>
      <c r="G63" s="2"/>
      <c r="H63" s="6">
        <v>16.690439999999999</v>
      </c>
      <c r="I63" s="2"/>
      <c r="J63" s="7">
        <f t="shared" si="13"/>
        <v>3.1867796998510711E-4</v>
      </c>
      <c r="K63" s="2"/>
      <c r="L63" s="6">
        <f t="shared" si="14"/>
        <v>-4.5404399999999985</v>
      </c>
      <c r="M63" s="2"/>
      <c r="N63" s="7">
        <f t="shared" si="15"/>
        <v>-0.27203836447691004</v>
      </c>
      <c r="O63" s="11"/>
      <c r="P63" s="6">
        <v>24.46</v>
      </c>
      <c r="Q63" s="2"/>
      <c r="R63" s="7">
        <f t="shared" si="16"/>
        <v>4.3925353476980864E-4</v>
      </c>
      <c r="S63" s="2"/>
      <c r="T63" s="6">
        <v>30.765540000000001</v>
      </c>
      <c r="U63" s="2"/>
      <c r="V63" s="7">
        <f t="shared" si="17"/>
        <v>5.6765083582420016E-4</v>
      </c>
      <c r="W63" s="2"/>
      <c r="X63" s="6">
        <f t="shared" si="18"/>
        <v>-6.3055400000000006</v>
      </c>
      <c r="Y63" s="2"/>
      <c r="Z63" s="7">
        <f t="shared" si="19"/>
        <v>-0.20495463430838531</v>
      </c>
    </row>
    <row r="64" spans="1:26" s="24" customFormat="1" hidden="1" outlineLevel="2" x14ac:dyDescent="0.25">
      <c r="A64" s="27"/>
      <c r="B64" s="11" t="str">
        <f>CONCATENATE("          ", "6115", " - ", "P.E.R.S.")</f>
        <v xml:space="preserve">          6115 - P.E.R.S.</v>
      </c>
      <c r="C64" s="11"/>
      <c r="D64" s="6">
        <v>201.17</v>
      </c>
      <c r="E64" s="2"/>
      <c r="F64" s="7">
        <f t="shared" si="12"/>
        <v>3.7771721885067472E-3</v>
      </c>
      <c r="G64" s="2"/>
      <c r="H64" s="6">
        <v>255.1104</v>
      </c>
      <c r="I64" s="2"/>
      <c r="J64" s="7">
        <f t="shared" si="13"/>
        <v>4.8709359605911334E-3</v>
      </c>
      <c r="K64" s="2"/>
      <c r="L64" s="6">
        <f t="shared" si="14"/>
        <v>-53.940400000000011</v>
      </c>
      <c r="M64" s="2"/>
      <c r="N64" s="7">
        <f t="shared" si="15"/>
        <v>-0.21143943955244479</v>
      </c>
      <c r="O64" s="11"/>
      <c r="P64" s="6">
        <v>402.34</v>
      </c>
      <c r="Q64" s="2"/>
      <c r="R64" s="7">
        <f t="shared" si="16"/>
        <v>7.2252357800198196E-3</v>
      </c>
      <c r="S64" s="2"/>
      <c r="T64" s="6">
        <v>573.99839999999995</v>
      </c>
      <c r="U64" s="2"/>
      <c r="V64" s="7">
        <f t="shared" si="17"/>
        <v>1.0590767186981069E-2</v>
      </c>
      <c r="W64" s="2"/>
      <c r="X64" s="6">
        <f t="shared" si="18"/>
        <v>-171.65839999999997</v>
      </c>
      <c r="Y64" s="2"/>
      <c r="Z64" s="7">
        <f t="shared" si="19"/>
        <v>-0.2990572796021731</v>
      </c>
    </row>
    <row r="65" spans="1:26" s="24" customFormat="1" hidden="1" outlineLevel="2" x14ac:dyDescent="0.25">
      <c r="A65" s="27"/>
      <c r="B65" s="11" t="str">
        <f>CONCATENATE("          ", "6116", " - ", "EDUCATIONAL BENEFITS")</f>
        <v xml:space="preserve">          6116 - EDUCATIONAL BENEFITS</v>
      </c>
      <c r="C65" s="11"/>
      <c r="D65" s="6"/>
      <c r="E65" s="2"/>
      <c r="F65" s="7">
        <f t="shared" si="12"/>
        <v>0</v>
      </c>
      <c r="G65" s="2"/>
      <c r="H65" s="6">
        <v>0</v>
      </c>
      <c r="I65" s="2"/>
      <c r="J65" s="7">
        <f t="shared" si="13"/>
        <v>0</v>
      </c>
      <c r="K65" s="2"/>
      <c r="L65" s="6">
        <f t="shared" si="14"/>
        <v>0</v>
      </c>
      <c r="M65" s="2"/>
      <c r="N65" s="7">
        <f t="shared" si="15"/>
        <v>0</v>
      </c>
      <c r="O65" s="11"/>
      <c r="P65" s="6"/>
      <c r="Q65" s="2"/>
      <c r="R65" s="7">
        <f t="shared" si="16"/>
        <v>0</v>
      </c>
      <c r="S65" s="2"/>
      <c r="T65" s="6">
        <v>0</v>
      </c>
      <c r="U65" s="2"/>
      <c r="V65" s="7">
        <f t="shared" si="17"/>
        <v>0</v>
      </c>
      <c r="W65" s="2"/>
      <c r="X65" s="6">
        <f t="shared" si="18"/>
        <v>0</v>
      </c>
      <c r="Y65" s="2"/>
      <c r="Z65" s="7">
        <f t="shared" si="19"/>
        <v>0</v>
      </c>
    </row>
    <row r="66" spans="1:26" s="24" customFormat="1" hidden="1" outlineLevel="2" x14ac:dyDescent="0.25">
      <c r="A66" s="27"/>
      <c r="B66" s="11" t="str">
        <f>CONCATENATE("          ", "6118", " - ", "VACATION")</f>
        <v xml:space="preserve">          6118 - VACATION</v>
      </c>
      <c r="C66" s="11"/>
      <c r="D66" s="6">
        <v>165.96</v>
      </c>
      <c r="E66" s="2"/>
      <c r="F66" s="7">
        <f t="shared" si="12"/>
        <v>3.1160684814066702E-3</v>
      </c>
      <c r="G66" s="2"/>
      <c r="H66" s="6">
        <v>88.992000000000004</v>
      </c>
      <c r="I66" s="2"/>
      <c r="J66" s="7">
        <f t="shared" si="13"/>
        <v>1.6991637071829535E-3</v>
      </c>
      <c r="K66" s="2"/>
      <c r="L66" s="6">
        <f t="shared" si="14"/>
        <v>76.968000000000004</v>
      </c>
      <c r="M66" s="2"/>
      <c r="N66" s="7">
        <f t="shared" si="15"/>
        <v>0.86488673139158578</v>
      </c>
      <c r="O66" s="11"/>
      <c r="P66" s="6">
        <v>331.92</v>
      </c>
      <c r="Q66" s="2"/>
      <c r="R66" s="7">
        <f t="shared" si="16"/>
        <v>5.9606309591494228E-3</v>
      </c>
      <c r="S66" s="2"/>
      <c r="T66" s="6">
        <v>200.232</v>
      </c>
      <c r="U66" s="2"/>
      <c r="V66" s="7">
        <f t="shared" si="17"/>
        <v>3.6944536698771172E-3</v>
      </c>
      <c r="W66" s="2"/>
      <c r="X66" s="6">
        <f t="shared" si="18"/>
        <v>131.68800000000002</v>
      </c>
      <c r="Y66" s="2"/>
      <c r="Z66" s="7">
        <f t="shared" si="19"/>
        <v>0.65767709457029855</v>
      </c>
    </row>
    <row r="67" spans="1:26" s="24" customFormat="1" hidden="1" outlineLevel="2" x14ac:dyDescent="0.25">
      <c r="A67" s="27"/>
      <c r="B67" s="11" t="str">
        <f>CONCATENATE("          ", "6119", " - ", "SICK LEAVE")</f>
        <v xml:space="preserve">          6119 - SICK LEAVE</v>
      </c>
      <c r="C67" s="11"/>
      <c r="D67" s="6">
        <v>132.84</v>
      </c>
      <c r="E67" s="2"/>
      <c r="F67" s="7">
        <f t="shared" si="12"/>
        <v>2.4942066586530615E-3</v>
      </c>
      <c r="G67" s="2"/>
      <c r="H67" s="6">
        <v>162.91800000000001</v>
      </c>
      <c r="I67" s="2"/>
      <c r="J67" s="7">
        <f t="shared" si="13"/>
        <v>3.1106655974338414E-3</v>
      </c>
      <c r="K67" s="2"/>
      <c r="L67" s="6">
        <f t="shared" si="14"/>
        <v>-30.078000000000003</v>
      </c>
      <c r="M67" s="2"/>
      <c r="N67" s="7">
        <f t="shared" si="15"/>
        <v>-0.18462048392442826</v>
      </c>
      <c r="O67" s="11"/>
      <c r="P67" s="6">
        <v>265.68</v>
      </c>
      <c r="Q67" s="2"/>
      <c r="R67" s="7">
        <f t="shared" si="16"/>
        <v>4.7710907243517066E-3</v>
      </c>
      <c r="S67" s="2"/>
      <c r="T67" s="6">
        <v>288.24299999999999</v>
      </c>
      <c r="U67" s="2"/>
      <c r="V67" s="7">
        <f t="shared" si="17"/>
        <v>5.3183327798073726E-3</v>
      </c>
      <c r="W67" s="2"/>
      <c r="X67" s="6">
        <f t="shared" si="18"/>
        <v>-22.562999999999988</v>
      </c>
      <c r="Y67" s="2"/>
      <c r="Z67" s="7">
        <f t="shared" si="19"/>
        <v>-7.8277703187935144E-2</v>
      </c>
    </row>
    <row r="68" spans="1:26" s="24" customFormat="1" hidden="1" outlineLevel="2" x14ac:dyDescent="0.25">
      <c r="A68" s="27"/>
      <c r="B68" s="11" t="str">
        <f>CONCATENATE("          ", "6156", " - ", "EMPLOYEE MEALS")</f>
        <v xml:space="preserve">          6156 - EMPLOYEE MEALS</v>
      </c>
      <c r="C68" s="11"/>
      <c r="D68" s="6">
        <v>150</v>
      </c>
      <c r="E68" s="2"/>
      <c r="F68" s="7">
        <f t="shared" si="12"/>
        <v>2.8164031827609091E-3</v>
      </c>
      <c r="G68" s="2"/>
      <c r="H68" s="6"/>
      <c r="I68" s="2"/>
      <c r="J68" s="7">
        <f t="shared" si="13"/>
        <v>0</v>
      </c>
      <c r="K68" s="2"/>
      <c r="L68" s="6">
        <f t="shared" si="14"/>
        <v>150</v>
      </c>
      <c r="M68" s="2"/>
      <c r="N68" s="7">
        <f t="shared" si="15"/>
        <v>0</v>
      </c>
      <c r="O68" s="11"/>
      <c r="P68" s="6">
        <v>298.73</v>
      </c>
      <c r="Q68" s="2"/>
      <c r="R68" s="7">
        <f t="shared" si="16"/>
        <v>5.3646037793043718E-3</v>
      </c>
      <c r="S68" s="2"/>
      <c r="T68" s="6"/>
      <c r="U68" s="2"/>
      <c r="V68" s="7">
        <f t="shared" si="17"/>
        <v>0</v>
      </c>
      <c r="W68" s="2"/>
      <c r="X68" s="6">
        <f t="shared" si="18"/>
        <v>298.73</v>
      </c>
      <c r="Y68" s="2"/>
      <c r="Z68" s="7">
        <f t="shared" si="19"/>
        <v>0</v>
      </c>
    </row>
    <row r="69" spans="1:26" s="26" customFormat="1" outlineLevel="1" collapsed="1" x14ac:dyDescent="0.25">
      <c r="A69" s="25"/>
      <c r="B69" s="13" t="str">
        <f>CONCATENATE("     ","*Payroll                                          ")</f>
        <v xml:space="preserve">     *Payroll                                          </v>
      </c>
      <c r="C69" s="13"/>
      <c r="D69" s="1">
        <f>SUM(OSRRefD22_1x_0)</f>
        <v>3840.56</v>
      </c>
      <c r="E69" s="1"/>
      <c r="F69" s="5">
        <f t="shared" ref="F69:F79" si="20">IF(D$12=0,0,D69/D$12)</f>
        <v>7.2110436050561583E-2</v>
      </c>
      <c r="G69" s="1"/>
      <c r="H69" s="1">
        <f>SUM(OSRRefH22_1x_0)</f>
        <v>6315.8099999999995</v>
      </c>
      <c r="I69" s="1"/>
      <c r="J69" s="5">
        <f t="shared" ref="J69:J79" si="21">IF(H$12=0,0,H69/H$12)</f>
        <v>0.12059056020162676</v>
      </c>
      <c r="K69" s="1"/>
      <c r="L69" s="1">
        <f t="shared" ref="L69:L79" si="22">+D69-H69</f>
        <v>-2475.2499999999995</v>
      </c>
      <c r="M69" s="1"/>
      <c r="N69" s="5">
        <f t="shared" ref="N69:N79" si="23">IF(H69=0,0,L69/H69)</f>
        <v>-0.39191330961507703</v>
      </c>
      <c r="O69" s="13"/>
      <c r="P69" s="1">
        <f>SUM(OSRRefP22_1x_0)</f>
        <v>11658.75</v>
      </c>
      <c r="Q69" s="1"/>
      <c r="R69" s="5">
        <f t="shared" ref="R69:R79" si="24">IF(P$12=0,0,P69/P$12)</f>
        <v>0.2093682399222202</v>
      </c>
      <c r="S69" s="1"/>
      <c r="T69" s="1">
        <f>SUM(OSRRefT22_1x_0)</f>
        <v>11678.145</v>
      </c>
      <c r="U69" s="1"/>
      <c r="V69" s="5">
        <f t="shared" ref="V69:V79" si="25">IF(T$12=0,0,T69/T$12)</f>
        <v>0.21547188088121333</v>
      </c>
      <c r="W69" s="1"/>
      <c r="X69" s="1">
        <f t="shared" ref="X69:X79" si="26">+P69-T69</f>
        <v>-19.395000000000437</v>
      </c>
      <c r="Y69" s="1"/>
      <c r="Z69" s="5">
        <f t="shared" ref="Z69:Z79" si="27">IF(T69=0,0,X69/T69)</f>
        <v>-1.6607945868115557E-3</v>
      </c>
    </row>
    <row r="70" spans="1:26" s="24" customFormat="1" hidden="1" outlineLevel="2" x14ac:dyDescent="0.25">
      <c r="A70" s="27"/>
      <c r="B70" s="11" t="str">
        <f>CONCATENATE("          ", "6001", " - ", "ADMINISTRATIVE SALARIES")</f>
        <v xml:space="preserve">          6001 - ADMINISTRATIVE SALARIES</v>
      </c>
      <c r="C70" s="11"/>
      <c r="D70" s="6"/>
      <c r="E70" s="2"/>
      <c r="F70" s="7">
        <f t="shared" si="20"/>
        <v>0</v>
      </c>
      <c r="G70" s="2"/>
      <c r="H70" s="6">
        <v>2966.4</v>
      </c>
      <c r="I70" s="2"/>
      <c r="J70" s="7">
        <f t="shared" si="21"/>
        <v>5.6638790239431781E-2</v>
      </c>
      <c r="K70" s="2"/>
      <c r="L70" s="6">
        <f t="shared" si="22"/>
        <v>-2966.4</v>
      </c>
      <c r="M70" s="2"/>
      <c r="N70" s="7">
        <f t="shared" si="23"/>
        <v>-1</v>
      </c>
      <c r="O70" s="11"/>
      <c r="P70" s="6"/>
      <c r="Q70" s="2"/>
      <c r="R70" s="7">
        <f t="shared" si="24"/>
        <v>0</v>
      </c>
      <c r="S70" s="2"/>
      <c r="T70" s="6">
        <v>6674.4</v>
      </c>
      <c r="U70" s="2"/>
      <c r="V70" s="7">
        <f t="shared" si="25"/>
        <v>0.12314845566257057</v>
      </c>
      <c r="W70" s="2"/>
      <c r="X70" s="6">
        <f t="shared" si="26"/>
        <v>-6674.4</v>
      </c>
      <c r="Y70" s="2"/>
      <c r="Z70" s="7">
        <f t="shared" si="27"/>
        <v>-1</v>
      </c>
    </row>
    <row r="71" spans="1:26" s="24" customFormat="1" hidden="1" outlineLevel="2" x14ac:dyDescent="0.25">
      <c r="A71" s="27"/>
      <c r="B71" s="11" t="str">
        <f>CONCATENATE("          ", "6002", " - ", "STAFF SALARIES")</f>
        <v xml:space="preserve">          6002 - STAFF SALARIES</v>
      </c>
      <c r="C71" s="11"/>
      <c r="D71" s="6">
        <v>707</v>
      </c>
      <c r="E71" s="2"/>
      <c r="F71" s="7">
        <f t="shared" si="20"/>
        <v>1.3274647001413085E-2</v>
      </c>
      <c r="G71" s="2"/>
      <c r="H71" s="6">
        <v>0</v>
      </c>
      <c r="I71" s="2"/>
      <c r="J71" s="7">
        <f t="shared" si="21"/>
        <v>0</v>
      </c>
      <c r="K71" s="2"/>
      <c r="L71" s="6">
        <f t="shared" si="22"/>
        <v>707</v>
      </c>
      <c r="M71" s="2"/>
      <c r="N71" s="7">
        <f t="shared" si="23"/>
        <v>0</v>
      </c>
      <c r="O71" s="11"/>
      <c r="P71" s="6">
        <v>6336</v>
      </c>
      <c r="Q71" s="2"/>
      <c r="R71" s="7">
        <f t="shared" si="24"/>
        <v>0.11378210941543365</v>
      </c>
      <c r="S71" s="2"/>
      <c r="T71" s="6">
        <v>0</v>
      </c>
      <c r="U71" s="2"/>
      <c r="V71" s="7">
        <f t="shared" si="25"/>
        <v>0</v>
      </c>
      <c r="W71" s="2"/>
      <c r="X71" s="6">
        <f t="shared" si="26"/>
        <v>6336</v>
      </c>
      <c r="Y71" s="2"/>
      <c r="Z71" s="7">
        <f t="shared" si="27"/>
        <v>0</v>
      </c>
    </row>
    <row r="72" spans="1:26" s="24" customFormat="1" hidden="1" outlineLevel="2" x14ac:dyDescent="0.25">
      <c r="A72" s="27"/>
      <c r="B72" s="11" t="str">
        <f>CONCATENATE("          ", "6003", " - ", "STAFF HOURLY-9 MONTH")</f>
        <v xml:space="preserve">          6003 - STAFF HOURLY-9 MONTH</v>
      </c>
      <c r="C72" s="11"/>
      <c r="D72" s="6"/>
      <c r="E72" s="2"/>
      <c r="F72" s="7">
        <f t="shared" si="20"/>
        <v>0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0</v>
      </c>
      <c r="M72" s="2"/>
      <c r="N72" s="7">
        <f t="shared" si="23"/>
        <v>0</v>
      </c>
      <c r="O72" s="11"/>
      <c r="P72" s="6"/>
      <c r="Q72" s="2"/>
      <c r="R72" s="7">
        <f t="shared" si="24"/>
        <v>0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0</v>
      </c>
      <c r="Y72" s="2"/>
      <c r="Z72" s="7">
        <f t="shared" si="27"/>
        <v>0</v>
      </c>
    </row>
    <row r="73" spans="1:26" s="24" customFormat="1" hidden="1" outlineLevel="2" x14ac:dyDescent="0.25">
      <c r="A73" s="27"/>
      <c r="B73" s="11" t="str">
        <f>CONCATENATE("          ", "6004", " - ", "STAFF HOURLY")</f>
        <v xml:space="preserve">          6004 - STAFF HOURLY</v>
      </c>
      <c r="C73" s="11"/>
      <c r="D73" s="6"/>
      <c r="E73" s="2"/>
      <c r="F73" s="7">
        <f t="shared" si="20"/>
        <v>0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0</v>
      </c>
      <c r="M73" s="2"/>
      <c r="N73" s="7">
        <f t="shared" si="23"/>
        <v>0</v>
      </c>
      <c r="O73" s="11"/>
      <c r="P73" s="6"/>
      <c r="Q73" s="2"/>
      <c r="R73" s="7">
        <f t="shared" si="24"/>
        <v>0</v>
      </c>
      <c r="S73" s="2"/>
      <c r="T73" s="6">
        <v>0</v>
      </c>
      <c r="U73" s="2"/>
      <c r="V73" s="7">
        <f t="shared" si="25"/>
        <v>0</v>
      </c>
      <c r="W73" s="2"/>
      <c r="X73" s="6">
        <f t="shared" si="26"/>
        <v>0</v>
      </c>
      <c r="Y73" s="2"/>
      <c r="Z73" s="7">
        <f t="shared" si="27"/>
        <v>0</v>
      </c>
    </row>
    <row r="74" spans="1:26" s="24" customFormat="1" hidden="1" outlineLevel="2" x14ac:dyDescent="0.25">
      <c r="A74" s="27"/>
      <c r="B74" s="11" t="str">
        <f>CONCATENATE("          ", "6005", " - ", "TEMPORARY WAGES-HOURLY")</f>
        <v xml:space="preserve">          6005 - TEMPORARY WAGES-HOURLY</v>
      </c>
      <c r="C74" s="11"/>
      <c r="D74" s="6"/>
      <c r="E74" s="2"/>
      <c r="F74" s="7">
        <f t="shared" si="20"/>
        <v>0</v>
      </c>
      <c r="G74" s="2"/>
      <c r="H74" s="6">
        <v>0</v>
      </c>
      <c r="I74" s="2"/>
      <c r="J74" s="7">
        <f t="shared" si="21"/>
        <v>0</v>
      </c>
      <c r="K74" s="2"/>
      <c r="L74" s="6">
        <f t="shared" si="22"/>
        <v>0</v>
      </c>
      <c r="M74" s="2"/>
      <c r="N74" s="7">
        <f t="shared" si="23"/>
        <v>0</v>
      </c>
      <c r="O74" s="11"/>
      <c r="P74" s="6"/>
      <c r="Q74" s="2"/>
      <c r="R74" s="7">
        <f t="shared" si="24"/>
        <v>0</v>
      </c>
      <c r="S74" s="2"/>
      <c r="T74" s="6">
        <v>0</v>
      </c>
      <c r="U74" s="2"/>
      <c r="V74" s="7">
        <f t="shared" si="25"/>
        <v>0</v>
      </c>
      <c r="W74" s="2"/>
      <c r="X74" s="6">
        <f t="shared" si="26"/>
        <v>0</v>
      </c>
      <c r="Y74" s="2"/>
      <c r="Z74" s="7">
        <f t="shared" si="27"/>
        <v>0</v>
      </c>
    </row>
    <row r="75" spans="1:26" s="24" customFormat="1" hidden="1" outlineLevel="2" x14ac:dyDescent="0.25">
      <c r="A75" s="27"/>
      <c r="B75" s="11" t="str">
        <f>CONCATENATE("          ", "6006", " - ", "TEMPORARY PART TIME")</f>
        <v xml:space="preserve">          6006 - TEMPORARY PART TIME</v>
      </c>
      <c r="C75" s="11"/>
      <c r="D75" s="6"/>
      <c r="E75" s="2"/>
      <c r="F75" s="7">
        <f t="shared" si="20"/>
        <v>0</v>
      </c>
      <c r="G75" s="2"/>
      <c r="H75" s="6">
        <v>0</v>
      </c>
      <c r="I75" s="2"/>
      <c r="J75" s="7">
        <f t="shared" si="21"/>
        <v>0</v>
      </c>
      <c r="K75" s="2"/>
      <c r="L75" s="6">
        <f t="shared" si="22"/>
        <v>0</v>
      </c>
      <c r="M75" s="2"/>
      <c r="N75" s="7">
        <f t="shared" si="23"/>
        <v>0</v>
      </c>
      <c r="O75" s="11"/>
      <c r="P75" s="6">
        <v>25.5</v>
      </c>
      <c r="Q75" s="2"/>
      <c r="R75" s="7">
        <f t="shared" si="24"/>
        <v>4.5792989111325099E-4</v>
      </c>
      <c r="S75" s="2"/>
      <c r="T75" s="6">
        <v>0</v>
      </c>
      <c r="U75" s="2"/>
      <c r="V75" s="7">
        <f t="shared" si="25"/>
        <v>0</v>
      </c>
      <c r="W75" s="2"/>
      <c r="X75" s="6">
        <f t="shared" si="26"/>
        <v>25.5</v>
      </c>
      <c r="Y75" s="2"/>
      <c r="Z75" s="7">
        <f t="shared" si="27"/>
        <v>0</v>
      </c>
    </row>
    <row r="76" spans="1:26" s="24" customFormat="1" hidden="1" outlineLevel="2" x14ac:dyDescent="0.25">
      <c r="A76" s="27"/>
      <c r="B76" s="11" t="str">
        <f>CONCATENATE("          ", "6007", " - ", "STUDENT HOURLY")</f>
        <v xml:space="preserve">          6007 - STUDENT HOURLY</v>
      </c>
      <c r="C76" s="11"/>
      <c r="D76" s="6">
        <v>3133.56</v>
      </c>
      <c r="E76" s="2"/>
      <c r="F76" s="7">
        <f t="shared" si="20"/>
        <v>5.8835789049148497E-2</v>
      </c>
      <c r="G76" s="2"/>
      <c r="H76" s="6">
        <v>3349.41</v>
      </c>
      <c r="I76" s="2"/>
      <c r="J76" s="7">
        <f t="shared" si="21"/>
        <v>6.3951769962194982E-2</v>
      </c>
      <c r="K76" s="2"/>
      <c r="L76" s="6">
        <f t="shared" si="22"/>
        <v>-215.84999999999991</v>
      </c>
      <c r="M76" s="2"/>
      <c r="N76" s="7">
        <f t="shared" si="23"/>
        <v>-6.4444185692405509E-2</v>
      </c>
      <c r="O76" s="11"/>
      <c r="P76" s="6">
        <v>5297.25</v>
      </c>
      <c r="Q76" s="2"/>
      <c r="R76" s="7">
        <f t="shared" si="24"/>
        <v>9.5128200615673286E-2</v>
      </c>
      <c r="S76" s="2"/>
      <c r="T76" s="6">
        <v>3349.41</v>
      </c>
      <c r="U76" s="2"/>
      <c r="V76" s="7">
        <f t="shared" si="25"/>
        <v>6.1799512897154872E-2</v>
      </c>
      <c r="W76" s="2"/>
      <c r="X76" s="6">
        <f t="shared" si="26"/>
        <v>1947.8400000000001</v>
      </c>
      <c r="Y76" s="2"/>
      <c r="Z76" s="7">
        <f t="shared" si="27"/>
        <v>0.58154719786469866</v>
      </c>
    </row>
    <row r="77" spans="1:26" s="24" customFormat="1" hidden="1" outlineLevel="2" x14ac:dyDescent="0.25">
      <c r="A77" s="27"/>
      <c r="B77" s="11" t="str">
        <f>CONCATENATE("          ", "6008", " - ", "STUDENT HOURLY-FICA EXEMPT")</f>
        <v xml:space="preserve">          6008 - STUDENT HOURLY-FICA EXEMPT</v>
      </c>
      <c r="C77" s="11"/>
      <c r="D77" s="6"/>
      <c r="E77" s="2"/>
      <c r="F77" s="7">
        <f t="shared" si="20"/>
        <v>0</v>
      </c>
      <c r="G77" s="2"/>
      <c r="H77" s="6">
        <v>0</v>
      </c>
      <c r="I77" s="2"/>
      <c r="J77" s="7">
        <f t="shared" si="21"/>
        <v>0</v>
      </c>
      <c r="K77" s="2"/>
      <c r="L77" s="6">
        <f t="shared" si="22"/>
        <v>0</v>
      </c>
      <c r="M77" s="2"/>
      <c r="N77" s="7">
        <f t="shared" si="23"/>
        <v>0</v>
      </c>
      <c r="O77" s="11"/>
      <c r="P77" s="6"/>
      <c r="Q77" s="2"/>
      <c r="R77" s="7">
        <f t="shared" si="24"/>
        <v>0</v>
      </c>
      <c r="S77" s="2"/>
      <c r="T77" s="6">
        <v>1654.335</v>
      </c>
      <c r="U77" s="2"/>
      <c r="V77" s="7">
        <f t="shared" si="25"/>
        <v>3.0523912321487878E-2</v>
      </c>
      <c r="W77" s="2"/>
      <c r="X77" s="6">
        <f t="shared" si="26"/>
        <v>-1654.335</v>
      </c>
      <c r="Y77" s="2"/>
      <c r="Z77" s="7">
        <f t="shared" si="27"/>
        <v>-1</v>
      </c>
    </row>
    <row r="78" spans="1:26" s="24" customFormat="1" hidden="1" outlineLevel="2" x14ac:dyDescent="0.25">
      <c r="A78" s="27"/>
      <c r="B78" s="11" t="str">
        <f>CONCATENATE("          ", "6009", " - ", "TEMPORARY-SEASONAL")</f>
        <v xml:space="preserve">          6009 - TEMPORARY-SEASONAL</v>
      </c>
      <c r="C78" s="11"/>
      <c r="D78" s="6"/>
      <c r="E78" s="2"/>
      <c r="F78" s="7">
        <f t="shared" si="20"/>
        <v>0</v>
      </c>
      <c r="G78" s="2"/>
      <c r="H78" s="6">
        <v>0</v>
      </c>
      <c r="I78" s="2"/>
      <c r="J78" s="7">
        <f t="shared" si="21"/>
        <v>0</v>
      </c>
      <c r="K78" s="2"/>
      <c r="L78" s="6">
        <f t="shared" si="22"/>
        <v>0</v>
      </c>
      <c r="M78" s="2"/>
      <c r="N78" s="7">
        <f t="shared" si="23"/>
        <v>0</v>
      </c>
      <c r="O78" s="11"/>
      <c r="P78" s="6"/>
      <c r="Q78" s="2"/>
      <c r="R78" s="7">
        <f t="shared" si="24"/>
        <v>0</v>
      </c>
      <c r="S78" s="2"/>
      <c r="T78" s="6">
        <v>0</v>
      </c>
      <c r="U78" s="2"/>
      <c r="V78" s="7">
        <f t="shared" si="25"/>
        <v>0</v>
      </c>
      <c r="W78" s="2"/>
      <c r="X78" s="6">
        <f t="shared" si="26"/>
        <v>0</v>
      </c>
      <c r="Y78" s="2"/>
      <c r="Z78" s="7">
        <f t="shared" si="27"/>
        <v>0</v>
      </c>
    </row>
    <row r="79" spans="1:26" s="24" customFormat="1" hidden="1" outlineLevel="2" x14ac:dyDescent="0.25">
      <c r="A79" s="27"/>
      <c r="B79" s="11" t="str">
        <f>CONCATENATE("          ", "6010", " - ", "GRATUITY")</f>
        <v xml:space="preserve">          6010 - GRATUITY</v>
      </c>
      <c r="C79" s="11"/>
      <c r="D79" s="6"/>
      <c r="E79" s="2"/>
      <c r="F79" s="7">
        <f t="shared" si="20"/>
        <v>0</v>
      </c>
      <c r="G79" s="2"/>
      <c r="H79" s="6">
        <v>0</v>
      </c>
      <c r="I79" s="2"/>
      <c r="J79" s="7">
        <f t="shared" si="21"/>
        <v>0</v>
      </c>
      <c r="K79" s="2"/>
      <c r="L79" s="6">
        <f t="shared" si="22"/>
        <v>0</v>
      </c>
      <c r="M79" s="2"/>
      <c r="N79" s="7">
        <f t="shared" si="23"/>
        <v>0</v>
      </c>
      <c r="O79" s="11"/>
      <c r="P79" s="6"/>
      <c r="Q79" s="2"/>
      <c r="R79" s="7">
        <f t="shared" si="24"/>
        <v>0</v>
      </c>
      <c r="S79" s="2"/>
      <c r="T79" s="6">
        <v>0</v>
      </c>
      <c r="U79" s="2"/>
      <c r="V79" s="7">
        <f t="shared" si="25"/>
        <v>0</v>
      </c>
      <c r="W79" s="2"/>
      <c r="X79" s="6">
        <f t="shared" si="26"/>
        <v>0</v>
      </c>
      <c r="Y79" s="2"/>
      <c r="Z79" s="7">
        <f t="shared" si="27"/>
        <v>0</v>
      </c>
    </row>
    <row r="80" spans="1:26" s="26" customFormat="1" outlineLevel="1" collapsed="1" x14ac:dyDescent="0.25">
      <c r="A80" s="25"/>
      <c r="B80" s="13" t="str">
        <f>CONCATENATE("     ","Advertising/Promo                                 ")</f>
        <v xml:space="preserve">     Advertising/Promo                                 </v>
      </c>
      <c r="C80" s="13"/>
      <c r="D80" s="1">
        <f>SUM(OSRRefD22_2x_0)</f>
        <v>45.86</v>
      </c>
      <c r="E80" s="1"/>
      <c r="F80" s="5">
        <f t="shared" ref="F80:F86" si="28">IF(D$12=0,0,D80/D$12)</f>
        <v>8.6106833307610195E-4</v>
      </c>
      <c r="G80" s="1"/>
      <c r="H80" s="1">
        <f>SUM(OSRRefH22_2x_0)</f>
        <v>40</v>
      </c>
      <c r="I80" s="1"/>
      <c r="J80" s="5">
        <f t="shared" ref="J80:J86" si="29">IF(H$12=0,0,H80/H$12)</f>
        <v>7.6373773246267234E-4</v>
      </c>
      <c r="K80" s="1"/>
      <c r="L80" s="1">
        <f t="shared" ref="L80:L86" si="30">+D80-H80</f>
        <v>5.8599999999999994</v>
      </c>
      <c r="M80" s="1"/>
      <c r="N80" s="5">
        <f t="shared" ref="N80:N86" si="31">IF(H80=0,0,L80/H80)</f>
        <v>0.14649999999999999</v>
      </c>
      <c r="O80" s="13"/>
      <c r="P80" s="1">
        <f>SUM(OSRRefP22_2x_0)</f>
        <v>45.86</v>
      </c>
      <c r="Q80" s="1"/>
      <c r="R80" s="5">
        <f t="shared" ref="R80:R86" si="32">IF(P$12=0,0,P80/P$12)</f>
        <v>8.2355548260602709E-4</v>
      </c>
      <c r="S80" s="1"/>
      <c r="T80" s="1">
        <f>SUM(OSRRefT22_2x_0)</f>
        <v>80</v>
      </c>
      <c r="U80" s="1"/>
      <c r="V80" s="5">
        <f t="shared" ref="V80:V86" si="33">IF(T$12=0,0,T80/T$12)</f>
        <v>1.4760692276467766E-3</v>
      </c>
      <c r="W80" s="1"/>
      <c r="X80" s="1">
        <f t="shared" ref="X80:X86" si="34">+P80-T80</f>
        <v>-34.14</v>
      </c>
      <c r="Y80" s="1"/>
      <c r="Z80" s="5">
        <f t="shared" ref="Z80:Z86" si="35">IF(T80=0,0,X80/T80)</f>
        <v>-0.42675000000000002</v>
      </c>
    </row>
    <row r="81" spans="1:26" s="24" customFormat="1" hidden="1" outlineLevel="2" x14ac:dyDescent="0.25">
      <c r="A81" s="27"/>
      <c r="B81" s="11" t="str">
        <f>CONCATENATE("          ", "6362", " - ", "ADVERTISING EXPENSE")</f>
        <v xml:space="preserve">          6362 - ADVERTISING EXPENSE</v>
      </c>
      <c r="C81" s="11"/>
      <c r="D81" s="6">
        <v>45.86</v>
      </c>
      <c r="E81" s="2"/>
      <c r="F81" s="7">
        <f t="shared" si="28"/>
        <v>8.6106833307610195E-4</v>
      </c>
      <c r="G81" s="2"/>
      <c r="H81" s="6">
        <v>40</v>
      </c>
      <c r="I81" s="2"/>
      <c r="J81" s="7">
        <f t="shared" si="29"/>
        <v>7.6373773246267234E-4</v>
      </c>
      <c r="K81" s="2"/>
      <c r="L81" s="6">
        <f t="shared" si="30"/>
        <v>5.8599999999999994</v>
      </c>
      <c r="M81" s="2"/>
      <c r="N81" s="7">
        <f t="shared" si="31"/>
        <v>0.14649999999999999</v>
      </c>
      <c r="O81" s="11"/>
      <c r="P81" s="6">
        <v>45.86</v>
      </c>
      <c r="Q81" s="2"/>
      <c r="R81" s="7">
        <f t="shared" si="32"/>
        <v>8.2355548260602709E-4</v>
      </c>
      <c r="S81" s="2"/>
      <c r="T81" s="6">
        <v>80</v>
      </c>
      <c r="U81" s="2"/>
      <c r="V81" s="7">
        <f t="shared" si="33"/>
        <v>1.4760692276467766E-3</v>
      </c>
      <c r="W81" s="2"/>
      <c r="X81" s="6">
        <f t="shared" si="34"/>
        <v>-34.14</v>
      </c>
      <c r="Y81" s="2"/>
      <c r="Z81" s="7">
        <f t="shared" si="35"/>
        <v>-0.42675000000000002</v>
      </c>
    </row>
    <row r="82" spans="1:26" s="26" customFormat="1" outlineLevel="1" collapsed="1" x14ac:dyDescent="0.25">
      <c r="A82" s="25"/>
      <c r="B82" s="13" t="str">
        <f>CONCATENATE("     ","Bad Debts/Over/Short                              ")</f>
        <v xml:space="preserve">     Bad Debts/Over/Short                              </v>
      </c>
      <c r="C82" s="13"/>
      <c r="D82" s="1">
        <f>SUM(OSRRefD22_3x_0)</f>
        <v>-9.4499999999999993</v>
      </c>
      <c r="E82" s="1"/>
      <c r="F82" s="5">
        <f t="shared" si="28"/>
        <v>-1.7743340051393726E-4</v>
      </c>
      <c r="G82" s="1"/>
      <c r="H82" s="1">
        <f>SUM(OSRRefH22_3x_0)</f>
        <v>0</v>
      </c>
      <c r="I82" s="1"/>
      <c r="J82" s="5">
        <f t="shared" si="29"/>
        <v>0</v>
      </c>
      <c r="K82" s="1"/>
      <c r="L82" s="1">
        <f t="shared" si="30"/>
        <v>-9.4499999999999993</v>
      </c>
      <c r="M82" s="1"/>
      <c r="N82" s="5">
        <f t="shared" si="31"/>
        <v>0</v>
      </c>
      <c r="O82" s="13"/>
      <c r="P82" s="1">
        <f>SUM(OSRRefP22_3x_0)</f>
        <v>-9.07</v>
      </c>
      <c r="Q82" s="1"/>
      <c r="R82" s="5">
        <f t="shared" si="32"/>
        <v>-1.628793769567524E-4</v>
      </c>
      <c r="S82" s="1"/>
      <c r="T82" s="1">
        <f>SUM(OSRRefT22_3x_0)</f>
        <v>0</v>
      </c>
      <c r="U82" s="1"/>
      <c r="V82" s="5">
        <f t="shared" si="33"/>
        <v>0</v>
      </c>
      <c r="W82" s="1"/>
      <c r="X82" s="1">
        <f t="shared" si="34"/>
        <v>-9.07</v>
      </c>
      <c r="Y82" s="1"/>
      <c r="Z82" s="5">
        <f t="shared" si="35"/>
        <v>0</v>
      </c>
    </row>
    <row r="83" spans="1:26" s="24" customFormat="1" hidden="1" outlineLevel="2" x14ac:dyDescent="0.25">
      <c r="A83" s="27"/>
      <c r="B83" s="11" t="str">
        <f>CONCATENATE("          ", "6272", " - ", "CASH (OVER/SHORT)")</f>
        <v xml:space="preserve">          6272 - CASH (OVER/SHORT)</v>
      </c>
      <c r="C83" s="11"/>
      <c r="D83" s="6">
        <v>-9.4499999999999993</v>
      </c>
      <c r="E83" s="2"/>
      <c r="F83" s="7">
        <f t="shared" si="28"/>
        <v>-1.7743340051393726E-4</v>
      </c>
      <c r="G83" s="2"/>
      <c r="H83" s="6"/>
      <c r="I83" s="2"/>
      <c r="J83" s="7">
        <f t="shared" si="29"/>
        <v>0</v>
      </c>
      <c r="K83" s="2"/>
      <c r="L83" s="6">
        <f t="shared" si="30"/>
        <v>-9.4499999999999993</v>
      </c>
      <c r="M83" s="2"/>
      <c r="N83" s="7">
        <f t="shared" si="31"/>
        <v>0</v>
      </c>
      <c r="O83" s="11"/>
      <c r="P83" s="6">
        <v>-9.07</v>
      </c>
      <c r="Q83" s="2"/>
      <c r="R83" s="7">
        <f t="shared" si="32"/>
        <v>-1.628793769567524E-4</v>
      </c>
      <c r="S83" s="2"/>
      <c r="T83" s="6"/>
      <c r="U83" s="2"/>
      <c r="V83" s="7">
        <f t="shared" si="33"/>
        <v>0</v>
      </c>
      <c r="W83" s="2"/>
      <c r="X83" s="6">
        <f t="shared" si="34"/>
        <v>-9.07</v>
      </c>
      <c r="Y83" s="2"/>
      <c r="Z83" s="7">
        <f t="shared" si="35"/>
        <v>0</v>
      </c>
    </row>
    <row r="84" spans="1:26" s="26" customFormat="1" outlineLevel="1" collapsed="1" x14ac:dyDescent="0.25">
      <c r="A84" s="25"/>
      <c r="B84" s="13" t="str">
        <f>CONCATENATE("     ","Discounts and Markdowns                           ")</f>
        <v xml:space="preserve">     Discounts and Markdowns                           </v>
      </c>
      <c r="C84" s="13"/>
      <c r="D84" s="1">
        <f>SUM(OSRRefD22_4x_0)</f>
        <v>2310.4499999999998</v>
      </c>
      <c r="E84" s="1"/>
      <c r="F84" s="5">
        <f t="shared" si="28"/>
        <v>4.338105822406628E-2</v>
      </c>
      <c r="G84" s="1"/>
      <c r="H84" s="1">
        <f>SUM(OSRRefH22_4x_0)</f>
        <v>1250</v>
      </c>
      <c r="I84" s="1"/>
      <c r="J84" s="5">
        <f t="shared" si="29"/>
        <v>2.3866804139458509E-2</v>
      </c>
      <c r="K84" s="1"/>
      <c r="L84" s="1">
        <f t="shared" si="30"/>
        <v>1060.4499999999998</v>
      </c>
      <c r="M84" s="1"/>
      <c r="N84" s="5">
        <f t="shared" si="31"/>
        <v>0.84835999999999989</v>
      </c>
      <c r="O84" s="13"/>
      <c r="P84" s="1">
        <f>SUM(OSRRefP22_4x_0)</f>
        <v>2440.94</v>
      </c>
      <c r="Q84" s="1"/>
      <c r="R84" s="5">
        <f t="shared" si="32"/>
        <v>4.3834485820156033E-2</v>
      </c>
      <c r="S84" s="1"/>
      <c r="T84" s="1">
        <f>SUM(OSRRefT22_4x_0)</f>
        <v>2500</v>
      </c>
      <c r="U84" s="1"/>
      <c r="V84" s="5">
        <f t="shared" si="33"/>
        <v>4.6127163363961769E-2</v>
      </c>
      <c r="W84" s="1"/>
      <c r="X84" s="1">
        <f t="shared" si="34"/>
        <v>-59.059999999999945</v>
      </c>
      <c r="Y84" s="1"/>
      <c r="Z84" s="5">
        <f t="shared" si="35"/>
        <v>-2.3623999999999978E-2</v>
      </c>
    </row>
    <row r="85" spans="1:26" s="24" customFormat="1" hidden="1" outlineLevel="2" x14ac:dyDescent="0.25">
      <c r="A85" s="27"/>
      <c r="B85" s="11" t="str">
        <f>CONCATENATE("          ", "6382", " - ", "DISCOUNTS/MARK DOWNS")</f>
        <v xml:space="preserve">          6382 - DISCOUNTS/MARK DOWNS</v>
      </c>
      <c r="C85" s="11"/>
      <c r="D85" s="6">
        <v>2368.89</v>
      </c>
      <c r="E85" s="2"/>
      <c r="F85" s="7">
        <f t="shared" si="28"/>
        <v>4.4478328904069935E-2</v>
      </c>
      <c r="G85" s="2"/>
      <c r="H85" s="6">
        <v>1250</v>
      </c>
      <c r="I85" s="2"/>
      <c r="J85" s="7">
        <f t="shared" si="29"/>
        <v>2.3866804139458509E-2</v>
      </c>
      <c r="K85" s="2"/>
      <c r="L85" s="6">
        <f t="shared" si="30"/>
        <v>1118.8899999999999</v>
      </c>
      <c r="M85" s="2"/>
      <c r="N85" s="7">
        <f t="shared" si="31"/>
        <v>0.89511199999999991</v>
      </c>
      <c r="O85" s="11"/>
      <c r="P85" s="6">
        <v>2499.38</v>
      </c>
      <c r="Q85" s="2"/>
      <c r="R85" s="7">
        <f t="shared" si="32"/>
        <v>4.4883953382377932E-2</v>
      </c>
      <c r="S85" s="2"/>
      <c r="T85" s="6">
        <v>2500</v>
      </c>
      <c r="U85" s="2"/>
      <c r="V85" s="7">
        <f t="shared" si="33"/>
        <v>4.6127163363961769E-2</v>
      </c>
      <c r="W85" s="2"/>
      <c r="X85" s="6">
        <f t="shared" si="34"/>
        <v>-0.61999999999989086</v>
      </c>
      <c r="Y85" s="2"/>
      <c r="Z85" s="7">
        <f t="shared" si="35"/>
        <v>-2.4799999999995632E-4</v>
      </c>
    </row>
    <row r="86" spans="1:26" s="24" customFormat="1" hidden="1" outlineLevel="2" x14ac:dyDescent="0.25">
      <c r="A86" s="27"/>
      <c r="B86" s="11" t="str">
        <f>CONCATENATE("          ", "9175", " - ", "EARNED DISCOUNTS")</f>
        <v xml:space="preserve">          9175 - EARNED DISCOUNTS</v>
      </c>
      <c r="C86" s="11"/>
      <c r="D86" s="6">
        <v>-58.44</v>
      </c>
      <c r="E86" s="2"/>
      <c r="F86" s="7">
        <f t="shared" si="28"/>
        <v>-1.0972706800036502E-3</v>
      </c>
      <c r="G86" s="2"/>
      <c r="H86" s="6"/>
      <c r="I86" s="2"/>
      <c r="J86" s="7">
        <f t="shared" si="29"/>
        <v>0</v>
      </c>
      <c r="K86" s="2"/>
      <c r="L86" s="6">
        <f t="shared" si="30"/>
        <v>-58.44</v>
      </c>
      <c r="M86" s="2"/>
      <c r="N86" s="7">
        <f t="shared" si="31"/>
        <v>0</v>
      </c>
      <c r="O86" s="11"/>
      <c r="P86" s="6">
        <v>-58.44</v>
      </c>
      <c r="Q86" s="2"/>
      <c r="R86" s="7">
        <f t="shared" si="32"/>
        <v>-1.0494675622218976E-3</v>
      </c>
      <c r="S86" s="2"/>
      <c r="T86" s="6"/>
      <c r="U86" s="2"/>
      <c r="V86" s="7">
        <f t="shared" si="33"/>
        <v>0</v>
      </c>
      <c r="W86" s="2"/>
      <c r="X86" s="6">
        <f t="shared" si="34"/>
        <v>-58.44</v>
      </c>
      <c r="Y86" s="2"/>
      <c r="Z86" s="7">
        <f t="shared" si="35"/>
        <v>0</v>
      </c>
    </row>
    <row r="87" spans="1:26" s="26" customFormat="1" outlineLevel="1" collapsed="1" x14ac:dyDescent="0.25">
      <c r="A87" s="25"/>
      <c r="B87" s="13" t="str">
        <f>CONCATENATE("     ","Employees' Appreciation                           ")</f>
        <v xml:space="preserve">     Employees' Appreciation                           </v>
      </c>
      <c r="C87" s="13"/>
      <c r="D87" s="1">
        <f>SUM(OSRRefD22_5x_0)</f>
        <v>0</v>
      </c>
      <c r="E87" s="1"/>
      <c r="F87" s="5">
        <f t="shared" ref="F87:F97" si="36">IF(D$12=0,0,D87/D$12)</f>
        <v>0</v>
      </c>
      <c r="G87" s="1"/>
      <c r="H87" s="1">
        <f>SUM(OSRRefH22_5x_0)</f>
        <v>25</v>
      </c>
      <c r="I87" s="1"/>
      <c r="J87" s="5">
        <f t="shared" ref="J87:J97" si="37">IF(H$12=0,0,H87/H$12)</f>
        <v>4.7733608278917018E-4</v>
      </c>
      <c r="K87" s="1"/>
      <c r="L87" s="1">
        <f t="shared" ref="L87:L97" si="38">+D87-H87</f>
        <v>-25</v>
      </c>
      <c r="M87" s="1"/>
      <c r="N87" s="5">
        <f t="shared" ref="N87:N97" si="39">IF(H87=0,0,L87/H87)</f>
        <v>-1</v>
      </c>
      <c r="O87" s="13"/>
      <c r="P87" s="1">
        <f>SUM(OSRRefP22_5x_0)</f>
        <v>0</v>
      </c>
      <c r="Q87" s="1"/>
      <c r="R87" s="5">
        <f t="shared" ref="R87:R97" si="40">IF(P$12=0,0,P87/P$12)</f>
        <v>0</v>
      </c>
      <c r="S87" s="1"/>
      <c r="T87" s="1">
        <f>SUM(OSRRefT22_5x_0)</f>
        <v>50</v>
      </c>
      <c r="U87" s="1"/>
      <c r="V87" s="5">
        <f t="shared" ref="V87:V97" si="41">IF(T$12=0,0,T87/T$12)</f>
        <v>9.2254326727923537E-4</v>
      </c>
      <c r="W87" s="1"/>
      <c r="X87" s="1">
        <f t="shared" ref="X87:X97" si="42">+P87-T87</f>
        <v>-50</v>
      </c>
      <c r="Y87" s="1"/>
      <c r="Z87" s="5">
        <f t="shared" ref="Z87:Z97" si="43">IF(T87=0,0,X87/T87)</f>
        <v>-1</v>
      </c>
    </row>
    <row r="88" spans="1:26" s="24" customFormat="1" hidden="1" outlineLevel="2" x14ac:dyDescent="0.25">
      <c r="A88" s="27"/>
      <c r="B88" s="11" t="str">
        <f>CONCATENATE("          ", "6277", " - ", "EMPLOYEE APPRECIATION")</f>
        <v xml:space="preserve">          6277 - EMPLOYEE APPRECIATION</v>
      </c>
      <c r="C88" s="11"/>
      <c r="D88" s="6"/>
      <c r="E88" s="2"/>
      <c r="F88" s="7">
        <f t="shared" si="36"/>
        <v>0</v>
      </c>
      <c r="G88" s="2"/>
      <c r="H88" s="6">
        <v>25</v>
      </c>
      <c r="I88" s="2"/>
      <c r="J88" s="7">
        <f t="shared" si="37"/>
        <v>4.7733608278917018E-4</v>
      </c>
      <c r="K88" s="2"/>
      <c r="L88" s="6">
        <f t="shared" si="38"/>
        <v>-25</v>
      </c>
      <c r="M88" s="2"/>
      <c r="N88" s="7">
        <f t="shared" si="39"/>
        <v>-1</v>
      </c>
      <c r="O88" s="11"/>
      <c r="P88" s="6"/>
      <c r="Q88" s="2"/>
      <c r="R88" s="7">
        <f t="shared" si="40"/>
        <v>0</v>
      </c>
      <c r="S88" s="2"/>
      <c r="T88" s="6">
        <v>50</v>
      </c>
      <c r="U88" s="2"/>
      <c r="V88" s="7">
        <f t="shared" si="41"/>
        <v>9.2254326727923537E-4</v>
      </c>
      <c r="W88" s="2"/>
      <c r="X88" s="6">
        <f t="shared" si="42"/>
        <v>-50</v>
      </c>
      <c r="Y88" s="2"/>
      <c r="Z88" s="7">
        <f t="shared" si="43"/>
        <v>-1</v>
      </c>
    </row>
    <row r="89" spans="1:26" s="26" customFormat="1" outlineLevel="1" collapsed="1" x14ac:dyDescent="0.25">
      <c r="A89" s="25"/>
      <c r="B89" s="13" t="str">
        <f>CONCATENATE("     ","General                                           ")</f>
        <v xml:space="preserve">     General                                           </v>
      </c>
      <c r="C89" s="13"/>
      <c r="D89" s="1">
        <f>SUM(OSRRefD22_6x_0)</f>
        <v>0</v>
      </c>
      <c r="E89" s="1"/>
      <c r="F89" s="5">
        <f t="shared" si="36"/>
        <v>0</v>
      </c>
      <c r="G89" s="1"/>
      <c r="H89" s="1">
        <f>SUM(OSRRefH22_6x_0)</f>
        <v>80</v>
      </c>
      <c r="I89" s="1"/>
      <c r="J89" s="5">
        <f t="shared" si="37"/>
        <v>1.5274754649253447E-3</v>
      </c>
      <c r="K89" s="1"/>
      <c r="L89" s="1">
        <f t="shared" si="38"/>
        <v>-80</v>
      </c>
      <c r="M89" s="1"/>
      <c r="N89" s="5">
        <f t="shared" si="39"/>
        <v>-1</v>
      </c>
      <c r="O89" s="13"/>
      <c r="P89" s="1">
        <f>SUM(OSRRefP22_6x_0)</f>
        <v>694.55</v>
      </c>
      <c r="Q89" s="1"/>
      <c r="R89" s="5">
        <f t="shared" si="40"/>
        <v>1.2472753171478763E-2</v>
      </c>
      <c r="S89" s="1"/>
      <c r="T89" s="1">
        <f>SUM(OSRRefT22_6x_0)</f>
        <v>160</v>
      </c>
      <c r="U89" s="1"/>
      <c r="V89" s="5">
        <f t="shared" si="41"/>
        <v>2.9521384552935533E-3</v>
      </c>
      <c r="W89" s="1"/>
      <c r="X89" s="1">
        <f t="shared" si="42"/>
        <v>534.54999999999995</v>
      </c>
      <c r="Y89" s="1"/>
      <c r="Z89" s="5">
        <f t="shared" si="43"/>
        <v>3.3409374999999999</v>
      </c>
    </row>
    <row r="90" spans="1:26" s="24" customFormat="1" hidden="1" outlineLevel="2" x14ac:dyDescent="0.25">
      <c r="A90" s="27"/>
      <c r="B90" s="11" t="str">
        <f>CONCATENATE("          ", "6279", " - ", "GENERAL EXPENSE")</f>
        <v xml:space="preserve">          6279 - GENERAL EXPENSE</v>
      </c>
      <c r="C90" s="11"/>
      <c r="D90" s="6"/>
      <c r="E90" s="2"/>
      <c r="F90" s="7">
        <f t="shared" si="36"/>
        <v>0</v>
      </c>
      <c r="G90" s="2"/>
      <c r="H90" s="6">
        <v>80</v>
      </c>
      <c r="I90" s="2"/>
      <c r="J90" s="7">
        <f t="shared" si="37"/>
        <v>1.5274754649253447E-3</v>
      </c>
      <c r="K90" s="2"/>
      <c r="L90" s="6">
        <f t="shared" si="38"/>
        <v>-80</v>
      </c>
      <c r="M90" s="2"/>
      <c r="N90" s="7">
        <f t="shared" si="39"/>
        <v>-1</v>
      </c>
      <c r="O90" s="11"/>
      <c r="P90" s="6">
        <v>694.55</v>
      </c>
      <c r="Q90" s="2"/>
      <c r="R90" s="7">
        <f t="shared" si="40"/>
        <v>1.2472753171478763E-2</v>
      </c>
      <c r="S90" s="2"/>
      <c r="T90" s="6">
        <v>160</v>
      </c>
      <c r="U90" s="2"/>
      <c r="V90" s="7">
        <f t="shared" si="41"/>
        <v>2.9521384552935533E-3</v>
      </c>
      <c r="W90" s="2"/>
      <c r="X90" s="6">
        <f t="shared" si="42"/>
        <v>534.54999999999995</v>
      </c>
      <c r="Y90" s="2"/>
      <c r="Z90" s="7">
        <f t="shared" si="43"/>
        <v>3.3409374999999999</v>
      </c>
    </row>
    <row r="91" spans="1:26" s="26" customFormat="1" outlineLevel="1" collapsed="1" x14ac:dyDescent="0.25">
      <c r="A91" s="25"/>
      <c r="B91" s="13" t="str">
        <f>CONCATENATE("     ","Professional Services                             ")</f>
        <v xml:space="preserve">     Professional Services                             </v>
      </c>
      <c r="C91" s="13"/>
      <c r="D91" s="1">
        <f>SUM(OSRRefD22_7x_0)</f>
        <v>0</v>
      </c>
      <c r="E91" s="1"/>
      <c r="F91" s="5">
        <f t="shared" si="36"/>
        <v>0</v>
      </c>
      <c r="G91" s="1"/>
      <c r="H91" s="1">
        <f>SUM(OSRRefH22_7x_0)</f>
        <v>115</v>
      </c>
      <c r="I91" s="1"/>
      <c r="J91" s="5">
        <f t="shared" si="37"/>
        <v>2.1957459808301829E-3</v>
      </c>
      <c r="K91" s="1"/>
      <c r="L91" s="1">
        <f t="shared" si="38"/>
        <v>-115</v>
      </c>
      <c r="M91" s="1"/>
      <c r="N91" s="5">
        <f t="shared" si="39"/>
        <v>-1</v>
      </c>
      <c r="O91" s="13"/>
      <c r="P91" s="1">
        <f>SUM(OSRRefP22_7x_0)</f>
        <v>750</v>
      </c>
      <c r="Q91" s="1"/>
      <c r="R91" s="5">
        <f t="shared" si="40"/>
        <v>1.3468526209213265E-2</v>
      </c>
      <c r="S91" s="1"/>
      <c r="T91" s="1">
        <f>SUM(OSRRefT22_7x_0)</f>
        <v>230</v>
      </c>
      <c r="U91" s="1"/>
      <c r="V91" s="5">
        <f t="shared" si="41"/>
        <v>4.2436990294844826E-3</v>
      </c>
      <c r="W91" s="1"/>
      <c r="X91" s="1">
        <f t="shared" si="42"/>
        <v>520</v>
      </c>
      <c r="Y91" s="1"/>
      <c r="Z91" s="5">
        <f t="shared" si="43"/>
        <v>2.2608695652173911</v>
      </c>
    </row>
    <row r="92" spans="1:26" s="24" customFormat="1" hidden="1" outlineLevel="2" x14ac:dyDescent="0.25">
      <c r="A92" s="27"/>
      <c r="B92" s="11" t="str">
        <f>CONCATENATE("          ", "6336", " - ", "PROFESSIONAL SERVICES")</f>
        <v xml:space="preserve">          6336 - PROFESSIONAL SERVICES</v>
      </c>
      <c r="C92" s="11"/>
      <c r="D92" s="6"/>
      <c r="E92" s="2"/>
      <c r="F92" s="7">
        <f t="shared" si="36"/>
        <v>0</v>
      </c>
      <c r="G92" s="2"/>
      <c r="H92" s="6">
        <v>115</v>
      </c>
      <c r="I92" s="2"/>
      <c r="J92" s="7">
        <f t="shared" si="37"/>
        <v>2.1957459808301829E-3</v>
      </c>
      <c r="K92" s="2"/>
      <c r="L92" s="6">
        <f t="shared" si="38"/>
        <v>-115</v>
      </c>
      <c r="M92" s="2"/>
      <c r="N92" s="7">
        <f t="shared" si="39"/>
        <v>-1</v>
      </c>
      <c r="O92" s="11"/>
      <c r="P92" s="6">
        <v>750</v>
      </c>
      <c r="Q92" s="2"/>
      <c r="R92" s="7">
        <f t="shared" si="40"/>
        <v>1.3468526209213265E-2</v>
      </c>
      <c r="S92" s="2"/>
      <c r="T92" s="6">
        <v>230</v>
      </c>
      <c r="U92" s="2"/>
      <c r="V92" s="7">
        <f t="shared" si="41"/>
        <v>4.2436990294844826E-3</v>
      </c>
      <c r="W92" s="2"/>
      <c r="X92" s="6">
        <f t="shared" si="42"/>
        <v>520</v>
      </c>
      <c r="Y92" s="2"/>
      <c r="Z92" s="7">
        <f t="shared" si="43"/>
        <v>2.2608695652173911</v>
      </c>
    </row>
    <row r="93" spans="1:26" s="26" customFormat="1" outlineLevel="1" collapsed="1" x14ac:dyDescent="0.25">
      <c r="A93" s="25"/>
      <c r="B93" s="13" t="str">
        <f>CONCATENATE("     ","Repair and Maintenance                            ")</f>
        <v xml:space="preserve">     Repair and Maintenance                            </v>
      </c>
      <c r="C93" s="13"/>
      <c r="D93" s="1">
        <f>SUM(OSRRefD22_8x_0)</f>
        <v>0</v>
      </c>
      <c r="E93" s="1"/>
      <c r="F93" s="5">
        <f t="shared" si="36"/>
        <v>0</v>
      </c>
      <c r="G93" s="1"/>
      <c r="H93" s="1">
        <f>SUM(OSRRefH22_8x_0)</f>
        <v>125</v>
      </c>
      <c r="I93" s="1"/>
      <c r="J93" s="5">
        <f t="shared" si="37"/>
        <v>2.3866804139458511E-3</v>
      </c>
      <c r="K93" s="1"/>
      <c r="L93" s="1">
        <f t="shared" si="38"/>
        <v>-125</v>
      </c>
      <c r="M93" s="1"/>
      <c r="N93" s="5">
        <f t="shared" si="39"/>
        <v>-1</v>
      </c>
      <c r="O93" s="13"/>
      <c r="P93" s="1">
        <f>SUM(OSRRefP22_8x_0)</f>
        <v>0</v>
      </c>
      <c r="Q93" s="1"/>
      <c r="R93" s="5">
        <f t="shared" si="40"/>
        <v>0</v>
      </c>
      <c r="S93" s="1"/>
      <c r="T93" s="1">
        <f>SUM(OSRRefT22_8x_0)</f>
        <v>250</v>
      </c>
      <c r="U93" s="1"/>
      <c r="V93" s="5">
        <f t="shared" si="41"/>
        <v>4.6127163363961768E-3</v>
      </c>
      <c r="W93" s="1"/>
      <c r="X93" s="1">
        <f t="shared" si="42"/>
        <v>-250</v>
      </c>
      <c r="Y93" s="1"/>
      <c r="Z93" s="5">
        <f t="shared" si="43"/>
        <v>-1</v>
      </c>
    </row>
    <row r="94" spans="1:26" s="24" customFormat="1" hidden="1" outlineLevel="2" x14ac:dyDescent="0.25">
      <c r="A94" s="27"/>
      <c r="B94" s="11" t="str">
        <f>CONCATENATE("          ", "6375", " - ", "OUTSIDE REPAIRS &amp; MAINTENANCE")</f>
        <v xml:space="preserve">          6375 - OUTSIDE REPAIRS &amp; MAINTENANCE</v>
      </c>
      <c r="C94" s="11"/>
      <c r="D94" s="6"/>
      <c r="E94" s="2"/>
      <c r="F94" s="7">
        <f t="shared" si="36"/>
        <v>0</v>
      </c>
      <c r="G94" s="2"/>
      <c r="H94" s="6">
        <v>125</v>
      </c>
      <c r="I94" s="2"/>
      <c r="J94" s="7">
        <f t="shared" si="37"/>
        <v>2.3866804139458511E-3</v>
      </c>
      <c r="K94" s="2"/>
      <c r="L94" s="6">
        <f t="shared" si="38"/>
        <v>-125</v>
      </c>
      <c r="M94" s="2"/>
      <c r="N94" s="7">
        <f t="shared" si="39"/>
        <v>-1</v>
      </c>
      <c r="O94" s="11"/>
      <c r="P94" s="6"/>
      <c r="Q94" s="2"/>
      <c r="R94" s="7">
        <f t="shared" si="40"/>
        <v>0</v>
      </c>
      <c r="S94" s="2"/>
      <c r="T94" s="6">
        <v>250</v>
      </c>
      <c r="U94" s="2"/>
      <c r="V94" s="7">
        <f t="shared" si="41"/>
        <v>4.6127163363961768E-3</v>
      </c>
      <c r="W94" s="2"/>
      <c r="X94" s="6">
        <f t="shared" si="42"/>
        <v>-250</v>
      </c>
      <c r="Y94" s="2"/>
      <c r="Z94" s="7">
        <f t="shared" si="43"/>
        <v>-1</v>
      </c>
    </row>
    <row r="95" spans="1:26" s="26" customFormat="1" outlineLevel="1" collapsed="1" x14ac:dyDescent="0.25">
      <c r="A95" s="25"/>
      <c r="B95" s="13" t="str">
        <f>CONCATENATE("     ","Services                                          ")</f>
        <v xml:space="preserve">     Services                                          </v>
      </c>
      <c r="C95" s="13"/>
      <c r="D95" s="1">
        <f>SUM(OSRRefD22_9x_0)</f>
        <v>255.18</v>
      </c>
      <c r="E95" s="1"/>
      <c r="F95" s="5">
        <f t="shared" si="36"/>
        <v>4.7912650945128588E-3</v>
      </c>
      <c r="G95" s="1"/>
      <c r="H95" s="1">
        <f>SUM(OSRRefH22_9x_0)</f>
        <v>100</v>
      </c>
      <c r="I95" s="1"/>
      <c r="J95" s="5">
        <f t="shared" si="37"/>
        <v>1.9093443311566807E-3</v>
      </c>
      <c r="K95" s="1"/>
      <c r="L95" s="1">
        <f t="shared" si="38"/>
        <v>155.18</v>
      </c>
      <c r="M95" s="1"/>
      <c r="N95" s="5">
        <f t="shared" si="39"/>
        <v>1.5518000000000001</v>
      </c>
      <c r="O95" s="13"/>
      <c r="P95" s="1">
        <f>SUM(OSRRefP22_9x_0)</f>
        <v>462.85</v>
      </c>
      <c r="Q95" s="1"/>
      <c r="R95" s="5">
        <f t="shared" si="40"/>
        <v>8.3118764745791461E-3</v>
      </c>
      <c r="S95" s="1"/>
      <c r="T95" s="1">
        <f>SUM(OSRRefT22_9x_0)</f>
        <v>200</v>
      </c>
      <c r="U95" s="1"/>
      <c r="V95" s="5">
        <f t="shared" si="41"/>
        <v>3.6901730691169415E-3</v>
      </c>
      <c r="W95" s="1"/>
      <c r="X95" s="1">
        <f t="shared" si="42"/>
        <v>262.85000000000002</v>
      </c>
      <c r="Y95" s="1"/>
      <c r="Z95" s="5">
        <f t="shared" si="43"/>
        <v>1.3142500000000001</v>
      </c>
    </row>
    <row r="96" spans="1:26" s="24" customFormat="1" hidden="1" outlineLevel="2" x14ac:dyDescent="0.25">
      <c r="A96" s="27"/>
      <c r="B96" s="11" t="str">
        <f>CONCATENATE("          ", "6282", " - ", "JANITORIAL/EXTERMINATOR EXPENS")</f>
        <v xml:space="preserve">          6282 - JANITORIAL/EXTERMINATOR EXPENS</v>
      </c>
      <c r="C96" s="11"/>
      <c r="D96" s="6">
        <v>44</v>
      </c>
      <c r="E96" s="2"/>
      <c r="F96" s="7">
        <f t="shared" si="36"/>
        <v>8.2614493360986673E-4</v>
      </c>
      <c r="G96" s="2"/>
      <c r="H96" s="6">
        <v>50</v>
      </c>
      <c r="I96" s="2"/>
      <c r="J96" s="7">
        <f t="shared" si="37"/>
        <v>9.5467216557834037E-4</v>
      </c>
      <c r="K96" s="2"/>
      <c r="L96" s="6">
        <f t="shared" si="38"/>
        <v>-6</v>
      </c>
      <c r="M96" s="2"/>
      <c r="N96" s="7">
        <f t="shared" si="39"/>
        <v>-0.12</v>
      </c>
      <c r="O96" s="11"/>
      <c r="P96" s="6">
        <v>88</v>
      </c>
      <c r="Q96" s="2"/>
      <c r="R96" s="7">
        <f t="shared" si="40"/>
        <v>1.5803070752143564E-3</v>
      </c>
      <c r="S96" s="2"/>
      <c r="T96" s="6">
        <v>100</v>
      </c>
      <c r="U96" s="2"/>
      <c r="V96" s="7">
        <f t="shared" si="41"/>
        <v>1.8450865345584707E-3</v>
      </c>
      <c r="W96" s="2"/>
      <c r="X96" s="6">
        <f t="shared" si="42"/>
        <v>-12</v>
      </c>
      <c r="Y96" s="2"/>
      <c r="Z96" s="7">
        <f t="shared" si="43"/>
        <v>-0.12</v>
      </c>
    </row>
    <row r="97" spans="1:26" s="24" customFormat="1" hidden="1" outlineLevel="2" x14ac:dyDescent="0.25">
      <c r="A97" s="27"/>
      <c r="B97" s="11" t="str">
        <f>CONCATENATE("          ", "6285", " - ", "JANITORIAL SERVICES")</f>
        <v xml:space="preserve">          6285 - JANITORIAL SERVICES</v>
      </c>
      <c r="C97" s="11"/>
      <c r="D97" s="6">
        <v>211.18</v>
      </c>
      <c r="E97" s="2"/>
      <c r="F97" s="7">
        <f t="shared" si="36"/>
        <v>3.9651201609029922E-3</v>
      </c>
      <c r="G97" s="2"/>
      <c r="H97" s="6">
        <v>50</v>
      </c>
      <c r="I97" s="2"/>
      <c r="J97" s="7">
        <f t="shared" si="37"/>
        <v>9.5467216557834037E-4</v>
      </c>
      <c r="K97" s="2"/>
      <c r="L97" s="6">
        <f t="shared" si="38"/>
        <v>161.18</v>
      </c>
      <c r="M97" s="2"/>
      <c r="N97" s="7">
        <f t="shared" si="39"/>
        <v>3.2236000000000002</v>
      </c>
      <c r="O97" s="11"/>
      <c r="P97" s="6">
        <v>374.85</v>
      </c>
      <c r="Q97" s="2"/>
      <c r="R97" s="7">
        <f t="shared" si="40"/>
        <v>6.7315693993647901E-3</v>
      </c>
      <c r="S97" s="2"/>
      <c r="T97" s="6">
        <v>100</v>
      </c>
      <c r="U97" s="2"/>
      <c r="V97" s="7">
        <f t="shared" si="41"/>
        <v>1.8450865345584707E-3</v>
      </c>
      <c r="W97" s="2"/>
      <c r="X97" s="6">
        <f t="shared" si="42"/>
        <v>274.85000000000002</v>
      </c>
      <c r="Y97" s="2"/>
      <c r="Z97" s="7">
        <f t="shared" si="43"/>
        <v>2.7485000000000004</v>
      </c>
    </row>
    <row r="98" spans="1:26" s="26" customFormat="1" outlineLevel="1" collapsed="1" x14ac:dyDescent="0.25">
      <c r="A98" s="25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SUM(OSRRefD22_10x_0)</f>
        <v>10.42</v>
      </c>
      <c r="E98" s="1"/>
      <c r="F98" s="5">
        <f t="shared" ref="F98:F103" si="44">IF(D$12=0,0,D98/D$12)</f>
        <v>1.9564614109579117E-4</v>
      </c>
      <c r="G98" s="1"/>
      <c r="H98" s="1">
        <f>SUM(OSRRefH22_10x_0)</f>
        <v>150</v>
      </c>
      <c r="I98" s="1"/>
      <c r="J98" s="5">
        <f t="shared" ref="J98:J103" si="45">IF(H$12=0,0,H98/H$12)</f>
        <v>2.8640164967350212E-3</v>
      </c>
      <c r="K98" s="1"/>
      <c r="L98" s="1">
        <f t="shared" ref="L98:L103" si="46">+D98-H98</f>
        <v>-139.58000000000001</v>
      </c>
      <c r="M98" s="1"/>
      <c r="N98" s="5">
        <f t="shared" ref="N98:N103" si="47">IF(H98=0,0,L98/H98)</f>
        <v>-0.93053333333333343</v>
      </c>
      <c r="O98" s="13"/>
      <c r="P98" s="1">
        <f>SUM(OSRRefP22_10x_0)</f>
        <v>15.09</v>
      </c>
      <c r="Q98" s="1"/>
      <c r="R98" s="5">
        <f t="shared" ref="R98:R103" si="48">IF(P$12=0,0,P98/P$12)</f>
        <v>2.7098674732937088E-4</v>
      </c>
      <c r="S98" s="1"/>
      <c r="T98" s="1">
        <f>SUM(OSRRefT22_10x_0)</f>
        <v>300</v>
      </c>
      <c r="U98" s="1"/>
      <c r="V98" s="5">
        <f t="shared" ref="V98:V103" si="49">IF(T$12=0,0,T98/T$12)</f>
        <v>5.5352596036754124E-3</v>
      </c>
      <c r="W98" s="1"/>
      <c r="X98" s="1">
        <f t="shared" ref="X98:X103" si="50">+P98-T98</f>
        <v>-284.91000000000003</v>
      </c>
      <c r="Y98" s="1"/>
      <c r="Z98" s="5">
        <f t="shared" ref="Z98:Z103" si="51">IF(T98=0,0,X98/T98)</f>
        <v>-0.9497000000000001</v>
      </c>
    </row>
    <row r="99" spans="1:26" s="24" customFormat="1" hidden="1" outlineLevel="2" x14ac:dyDescent="0.25">
      <c r="A99" s="27"/>
      <c r="B99" s="11" t="str">
        <f>CONCATENATE("          ", "6241", " - ", "OFFICE EXPENSE")</f>
        <v xml:space="preserve">          6241 - OFFICE EXPENSE</v>
      </c>
      <c r="C99" s="11"/>
      <c r="D99" s="6">
        <v>10.42</v>
      </c>
      <c r="E99" s="2"/>
      <c r="F99" s="7">
        <f t="shared" si="44"/>
        <v>1.9564614109579117E-4</v>
      </c>
      <c r="G99" s="2"/>
      <c r="H99" s="6">
        <v>150</v>
      </c>
      <c r="I99" s="2"/>
      <c r="J99" s="7">
        <f t="shared" si="45"/>
        <v>2.8640164967350212E-3</v>
      </c>
      <c r="K99" s="2"/>
      <c r="L99" s="6">
        <f t="shared" si="46"/>
        <v>-139.58000000000001</v>
      </c>
      <c r="M99" s="2"/>
      <c r="N99" s="7">
        <f t="shared" si="47"/>
        <v>-0.93053333333333343</v>
      </c>
      <c r="O99" s="11"/>
      <c r="P99" s="6">
        <v>15.09</v>
      </c>
      <c r="Q99" s="2"/>
      <c r="R99" s="7">
        <f t="shared" si="48"/>
        <v>2.7098674732937088E-4</v>
      </c>
      <c r="S99" s="2"/>
      <c r="T99" s="6">
        <v>300</v>
      </c>
      <c r="U99" s="2"/>
      <c r="V99" s="7">
        <f t="shared" si="49"/>
        <v>5.5352596036754124E-3</v>
      </c>
      <c r="W99" s="2"/>
      <c r="X99" s="6">
        <f t="shared" si="50"/>
        <v>-284.91000000000003</v>
      </c>
      <c r="Y99" s="2"/>
      <c r="Z99" s="7">
        <f t="shared" si="51"/>
        <v>-0.9497000000000001</v>
      </c>
    </row>
    <row r="100" spans="1:26" s="26" customFormat="1" outlineLevel="1" collapsed="1" x14ac:dyDescent="0.25">
      <c r="A100" s="25"/>
      <c r="B100" s="13" t="str">
        <f>CONCATENATE("     ","Telephone/Data Lines                              ")</f>
        <v xml:space="preserve">     Telephone/Data Lines                              </v>
      </c>
      <c r="C100" s="13"/>
      <c r="D100" s="1">
        <f>SUM(OSRRefD22_11x_0)</f>
        <v>103.5</v>
      </c>
      <c r="E100" s="1"/>
      <c r="F100" s="5">
        <f t="shared" si="44"/>
        <v>1.9433181961050275E-3</v>
      </c>
      <c r="G100" s="1"/>
      <c r="H100" s="1">
        <f>SUM(OSRRefH22_11x_0)</f>
        <v>75</v>
      </c>
      <c r="I100" s="1"/>
      <c r="J100" s="5">
        <f t="shared" si="45"/>
        <v>1.4320082483675106E-3</v>
      </c>
      <c r="K100" s="1"/>
      <c r="L100" s="1">
        <f t="shared" si="46"/>
        <v>28.5</v>
      </c>
      <c r="M100" s="1"/>
      <c r="N100" s="5">
        <f t="shared" si="47"/>
        <v>0.38</v>
      </c>
      <c r="O100" s="13"/>
      <c r="P100" s="1">
        <f>SUM(OSRRefP22_11x_0)</f>
        <v>177.5</v>
      </c>
      <c r="Q100" s="1"/>
      <c r="R100" s="5">
        <f t="shared" si="48"/>
        <v>3.1875512028471391E-3</v>
      </c>
      <c r="S100" s="1"/>
      <c r="T100" s="1">
        <f>SUM(OSRRefT22_11x_0)</f>
        <v>150</v>
      </c>
      <c r="U100" s="1"/>
      <c r="V100" s="5">
        <f t="shared" si="49"/>
        <v>2.7676298018377062E-3</v>
      </c>
      <c r="W100" s="1"/>
      <c r="X100" s="1">
        <f t="shared" si="50"/>
        <v>27.5</v>
      </c>
      <c r="Y100" s="1"/>
      <c r="Z100" s="5">
        <f t="shared" si="51"/>
        <v>0.18333333333333332</v>
      </c>
    </row>
    <row r="101" spans="1:26" s="24" customFormat="1" hidden="1" outlineLevel="2" x14ac:dyDescent="0.25">
      <c r="A101" s="27"/>
      <c r="B101" s="11" t="str">
        <f>CONCATENATE("          ", "6309", " - ", "TELEPHONE")</f>
        <v xml:space="preserve">          6309 - TELEPHONE</v>
      </c>
      <c r="C101" s="11"/>
      <c r="D101" s="6">
        <v>103.5</v>
      </c>
      <c r="E101" s="2"/>
      <c r="F101" s="7">
        <f t="shared" si="44"/>
        <v>1.9433181961050275E-3</v>
      </c>
      <c r="G101" s="2"/>
      <c r="H101" s="6">
        <v>75</v>
      </c>
      <c r="I101" s="2"/>
      <c r="J101" s="7">
        <f t="shared" si="45"/>
        <v>1.4320082483675106E-3</v>
      </c>
      <c r="K101" s="2"/>
      <c r="L101" s="6">
        <f t="shared" si="46"/>
        <v>28.5</v>
      </c>
      <c r="M101" s="2"/>
      <c r="N101" s="7">
        <f t="shared" si="47"/>
        <v>0.38</v>
      </c>
      <c r="O101" s="11"/>
      <c r="P101" s="6">
        <v>177.5</v>
      </c>
      <c r="Q101" s="2"/>
      <c r="R101" s="7">
        <f t="shared" si="48"/>
        <v>3.1875512028471391E-3</v>
      </c>
      <c r="S101" s="2"/>
      <c r="T101" s="6">
        <v>150</v>
      </c>
      <c r="U101" s="2"/>
      <c r="V101" s="7">
        <f t="shared" si="49"/>
        <v>2.7676298018377062E-3</v>
      </c>
      <c r="W101" s="2"/>
      <c r="X101" s="6">
        <f t="shared" si="50"/>
        <v>27.5</v>
      </c>
      <c r="Y101" s="2"/>
      <c r="Z101" s="7">
        <f t="shared" si="51"/>
        <v>0.18333333333333332</v>
      </c>
    </row>
    <row r="102" spans="1:26" s="26" customFormat="1" outlineLevel="1" collapsed="1" x14ac:dyDescent="0.25">
      <c r="A102" s="25"/>
      <c r="B102" s="13" t="str">
        <f>CONCATENATE("     ","Training                                          ")</f>
        <v xml:space="preserve">     Training                                          </v>
      </c>
      <c r="C102" s="13"/>
      <c r="D102" s="1">
        <f>SUM(OSRRefD22_12x_0)</f>
        <v>0</v>
      </c>
      <c r="E102" s="1"/>
      <c r="F102" s="5">
        <f t="shared" si="44"/>
        <v>0</v>
      </c>
      <c r="G102" s="1"/>
      <c r="H102" s="1">
        <f>SUM(OSRRefH22_12x_0)</f>
        <v>175</v>
      </c>
      <c r="I102" s="1"/>
      <c r="J102" s="5">
        <f t="shared" si="45"/>
        <v>3.3413525795241913E-3</v>
      </c>
      <c r="K102" s="1"/>
      <c r="L102" s="1">
        <f t="shared" si="46"/>
        <v>-175</v>
      </c>
      <c r="M102" s="1"/>
      <c r="N102" s="5">
        <f t="shared" si="47"/>
        <v>-1</v>
      </c>
      <c r="O102" s="13"/>
      <c r="P102" s="1">
        <f>SUM(OSRRefP22_12x_0)</f>
        <v>0</v>
      </c>
      <c r="Q102" s="1"/>
      <c r="R102" s="5">
        <f t="shared" si="48"/>
        <v>0</v>
      </c>
      <c r="S102" s="1"/>
      <c r="T102" s="1">
        <f>SUM(OSRRefT22_12x_0)</f>
        <v>350</v>
      </c>
      <c r="U102" s="1"/>
      <c r="V102" s="5">
        <f t="shared" si="49"/>
        <v>6.4578028709546481E-3</v>
      </c>
      <c r="W102" s="1"/>
      <c r="X102" s="1">
        <f t="shared" si="50"/>
        <v>-350</v>
      </c>
      <c r="Y102" s="1"/>
      <c r="Z102" s="5">
        <f t="shared" si="51"/>
        <v>-1</v>
      </c>
    </row>
    <row r="103" spans="1:26" s="24" customFormat="1" hidden="1" outlineLevel="2" x14ac:dyDescent="0.25">
      <c r="A103" s="27"/>
      <c r="B103" s="11" t="str">
        <f>CONCATENATE("          ", "6376", " - ", "TRAINING")</f>
        <v xml:space="preserve">          6376 - TRAINING</v>
      </c>
      <c r="C103" s="11"/>
      <c r="D103" s="6"/>
      <c r="E103" s="2"/>
      <c r="F103" s="7">
        <f t="shared" si="44"/>
        <v>0</v>
      </c>
      <c r="G103" s="2"/>
      <c r="H103" s="6">
        <v>175</v>
      </c>
      <c r="I103" s="2"/>
      <c r="J103" s="7">
        <f t="shared" si="45"/>
        <v>3.3413525795241913E-3</v>
      </c>
      <c r="K103" s="2"/>
      <c r="L103" s="6">
        <f t="shared" si="46"/>
        <v>-175</v>
      </c>
      <c r="M103" s="2"/>
      <c r="N103" s="7">
        <f t="shared" si="47"/>
        <v>-1</v>
      </c>
      <c r="O103" s="11"/>
      <c r="P103" s="6"/>
      <c r="Q103" s="2"/>
      <c r="R103" s="7">
        <f t="shared" si="48"/>
        <v>0</v>
      </c>
      <c r="S103" s="2"/>
      <c r="T103" s="6">
        <v>350</v>
      </c>
      <c r="U103" s="2"/>
      <c r="V103" s="7">
        <f t="shared" si="49"/>
        <v>6.4578028709546481E-3</v>
      </c>
      <c r="W103" s="2"/>
      <c r="X103" s="6">
        <f t="shared" si="50"/>
        <v>-350</v>
      </c>
      <c r="Y103" s="2"/>
      <c r="Z103" s="7">
        <f t="shared" si="51"/>
        <v>-1</v>
      </c>
    </row>
    <row r="104" spans="1:26" s="63" customFormat="1" x14ac:dyDescent="0.25">
      <c r="A104" s="36"/>
      <c r="B104" s="36"/>
      <c r="C104" s="36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6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x14ac:dyDescent="0.25">
      <c r="A105" s="10"/>
      <c r="B105" s="28" t="s">
        <v>0</v>
      </c>
      <c r="C105" s="10"/>
      <c r="D105" s="4">
        <f>SUM(0)</f>
        <v>0</v>
      </c>
      <c r="E105" s="4"/>
      <c r="F105" s="12">
        <f>IF(D$12=0,0,D105/D$12)</f>
        <v>0</v>
      </c>
      <c r="G105" s="4"/>
      <c r="H105" s="4">
        <f>SUM(0)</f>
        <v>0</v>
      </c>
      <c r="I105" s="4"/>
      <c r="J105" s="12">
        <f>IF(H$12=0,0,H105/H$12)</f>
        <v>0</v>
      </c>
      <c r="K105" s="4"/>
      <c r="L105" s="4">
        <f>+D105-H105</f>
        <v>0</v>
      </c>
      <c r="M105" s="4"/>
      <c r="N105" s="12">
        <f>IF(H105=0,0,L105/H105)</f>
        <v>0</v>
      </c>
      <c r="O105" s="10"/>
      <c r="P105" s="4">
        <f>SUM(0)</f>
        <v>0</v>
      </c>
      <c r="Q105" s="4"/>
      <c r="R105" s="12">
        <f>IF(P$12=0,0,P105/P$12)</f>
        <v>0</v>
      </c>
      <c r="S105" s="4"/>
      <c r="T105" s="4">
        <f>SUM(0)</f>
        <v>0</v>
      </c>
      <c r="U105" s="4"/>
      <c r="V105" s="12">
        <f>IF(T$12=0,0,T105/T$12)</f>
        <v>0</v>
      </c>
      <c r="W105" s="4"/>
      <c r="X105" s="4">
        <f>+P105-T105</f>
        <v>0</v>
      </c>
      <c r="Y105" s="4"/>
      <c r="Z105" s="12">
        <f>IF(T105=0,0,X105/T105)</f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9" t="s">
        <v>3</v>
      </c>
      <c r="C107" s="29"/>
      <c r="D107" s="22">
        <f>+D56-D58+D105</f>
        <v>17052.869999999992</v>
      </c>
      <c r="E107" s="14"/>
      <c r="F107" s="20">
        <f>IF(D$12=0,0,D107/D$12)</f>
        <v>0.32018504895472</v>
      </c>
      <c r="G107" s="14"/>
      <c r="H107" s="22">
        <f>+H56-H58+H105</f>
        <v>20216.983877999999</v>
      </c>
      <c r="I107" s="14"/>
      <c r="J107" s="20">
        <f>IF(H$12=0,0,H107/H$12)</f>
        <v>0.38601183560545305</v>
      </c>
      <c r="K107" s="15"/>
      <c r="L107" s="22">
        <f>+D107-H107</f>
        <v>-3164.1138780000074</v>
      </c>
      <c r="M107" s="15"/>
      <c r="N107" s="20">
        <f>IF(H107=0,0,L107/H107)</f>
        <v>-0.1565077113922605</v>
      </c>
      <c r="O107" s="28"/>
      <c r="P107" s="22">
        <f>+P56-P58+P105</f>
        <v>6830.2499999999854</v>
      </c>
      <c r="Q107" s="14"/>
      <c r="R107" s="20">
        <f>IF(P$12=0,0,P107/P$12)</f>
        <v>0.12265786818730494</v>
      </c>
      <c r="S107" s="14"/>
      <c r="T107" s="22">
        <f>+T56-T58+T105</f>
        <v>12294.241038</v>
      </c>
      <c r="U107" s="14"/>
      <c r="V107" s="20">
        <f>IF(T$12=0,0,T107/T$12)</f>
        <v>0.22683938591829958</v>
      </c>
      <c r="W107" s="15"/>
      <c r="X107" s="22">
        <f>+P107-T107</f>
        <v>-5463.9910380000147</v>
      </c>
      <c r="Y107" s="15"/>
      <c r="Z107" s="20">
        <f>IF(T107=0,0,X107/T107)</f>
        <v>-0.44443500181194467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2"/>
      <c r="B109" s="10" t="s">
        <v>14</v>
      </c>
      <c r="C109" s="10"/>
      <c r="D109" s="4">
        <v>6438.52</v>
      </c>
      <c r="E109" s="4"/>
      <c r="F109" s="12">
        <f>IF(D$12=0,0,D109/D$12)</f>
        <v>0.12088978813513181</v>
      </c>
      <c r="G109" s="4"/>
      <c r="H109" s="4">
        <v>8357</v>
      </c>
      <c r="I109" s="4"/>
      <c r="J109" s="12">
        <f>IF(H$12=0,0,H109/H$12)</f>
        <v>0.15956390575476381</v>
      </c>
      <c r="K109" s="4"/>
      <c r="L109" s="4">
        <f>+D109-H109</f>
        <v>-1918.4799999999996</v>
      </c>
      <c r="M109" s="4"/>
      <c r="N109" s="12">
        <f>IF(H109=0,0,L109/H109)</f>
        <v>-0.2295656336005743</v>
      </c>
      <c r="O109" s="10"/>
      <c r="P109" s="4">
        <v>6942.95</v>
      </c>
      <c r="Q109" s="4"/>
      <c r="R109" s="12">
        <f>IF(P$12=0,0,P109/P$12)</f>
        <v>0.12468173872567631</v>
      </c>
      <c r="S109" s="4"/>
      <c r="T109" s="4">
        <v>8802</v>
      </c>
      <c r="U109" s="4"/>
      <c r="V109" s="12">
        <f>IF(T$12=0,0,T109/T$12)</f>
        <v>0.16240451677183659</v>
      </c>
      <c r="W109" s="4"/>
      <c r="X109" s="4">
        <f>+P109-T109</f>
        <v>-1859.0500000000002</v>
      </c>
      <c r="Y109" s="4"/>
      <c r="Z109" s="12">
        <f>IF(T109=0,0,X109/T109)</f>
        <v>-0.21120768007271076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9" t="s">
        <v>4</v>
      </c>
      <c r="C111" s="29"/>
      <c r="D111" s="31">
        <f>+D107-D109</f>
        <v>10614.349999999991</v>
      </c>
      <c r="E111" s="14"/>
      <c r="F111" s="32">
        <f>IF(D$12=0,0,D111/D$12)</f>
        <v>0.1992952608195882</v>
      </c>
      <c r="G111" s="14"/>
      <c r="H111" s="31">
        <f>+H107-H109</f>
        <v>11859.983877999999</v>
      </c>
      <c r="I111" s="14"/>
      <c r="J111" s="32">
        <f>IF(H$12=0,0,H111/H$12)</f>
        <v>0.22644792985068926</v>
      </c>
      <c r="K111" s="15"/>
      <c r="L111" s="31">
        <f>D111-H111</f>
        <v>-1245.6338780000078</v>
      </c>
      <c r="M111" s="15"/>
      <c r="N111" s="32">
        <f>IF(H111=0,0,L111/H111)</f>
        <v>-0.10502829437320151</v>
      </c>
      <c r="O111" s="28"/>
      <c r="P111" s="31">
        <f>+P107-P109</f>
        <v>-112.70000000001437</v>
      </c>
      <c r="Q111" s="14"/>
      <c r="R111" s="32">
        <f>IF(P$12=0,0,P111/P$12)</f>
        <v>-2.0238705383713715E-3</v>
      </c>
      <c r="S111" s="14"/>
      <c r="T111" s="31">
        <f>+T107-T109</f>
        <v>3492.2410380000001</v>
      </c>
      <c r="U111" s="14"/>
      <c r="V111" s="32">
        <f>IF(T$12=0,0,T111/T$12)</f>
        <v>6.4434869146462972E-2</v>
      </c>
      <c r="W111" s="15"/>
      <c r="X111" s="31">
        <f>P111-T111</f>
        <v>-3604.9410380000145</v>
      </c>
      <c r="Y111" s="15"/>
      <c r="Z111" s="32">
        <f>IF(T111=0,0,X111/T111)</f>
        <v>-1.032271541045906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9" t="s">
        <v>5</v>
      </c>
      <c r="C114" s="29"/>
      <c r="D114" s="33">
        <f>SUM(D111:D113)</f>
        <v>10614.349999999991</v>
      </c>
      <c r="E114" s="14"/>
      <c r="F114" s="35">
        <f>IF(D$12=0,0,D114/D$12)</f>
        <v>0.1992952608195882</v>
      </c>
      <c r="G114" s="14"/>
      <c r="H114" s="33">
        <f>SUM(H111:H113)</f>
        <v>11859.983877999999</v>
      </c>
      <c r="I114" s="14"/>
      <c r="J114" s="35">
        <f>IF(H$12=0,0,H114/H$12)</f>
        <v>0.22644792985068926</v>
      </c>
      <c r="K114" s="15"/>
      <c r="L114" s="33">
        <f>+D114-H114</f>
        <v>-1245.6338780000078</v>
      </c>
      <c r="M114" s="15"/>
      <c r="N114" s="35">
        <f>IF(H114=0,0,L114/H114)</f>
        <v>-0.10502829437320151</v>
      </c>
      <c r="O114" s="28"/>
      <c r="P114" s="33">
        <f>SUM(P111:P113)</f>
        <v>-112.70000000001437</v>
      </c>
      <c r="Q114" s="14"/>
      <c r="R114" s="35">
        <f>IF(P$12=0,0,P114/P$12)</f>
        <v>-2.0238705383713715E-3</v>
      </c>
      <c r="S114" s="14"/>
      <c r="T114" s="33">
        <f>SUM(T111:T113)</f>
        <v>3492.2410380000001</v>
      </c>
      <c r="U114" s="14"/>
      <c r="V114" s="35">
        <f>IF(T$12=0,0,T114/T$12)</f>
        <v>6.4434869146462972E-2</v>
      </c>
      <c r="W114" s="15"/>
      <c r="X114" s="33">
        <f>+P114-T114</f>
        <v>-3604.9410380000145</v>
      </c>
      <c r="Y114" s="15"/>
      <c r="Z114" s="35">
        <f>IF(T114=0,0,X114/T114)</f>
        <v>-1.032271541045906</v>
      </c>
    </row>
    <row r="115" spans="1:26" ht="15.75" thickTop="1" x14ac:dyDescent="0.25">
      <c r="A115" s="9"/>
      <c r="C115" s="9"/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6" x14ac:dyDescent="0.25">
      <c r="A116" s="9"/>
      <c r="B116" s="61">
        <v>43732.705943483794</v>
      </c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6" x14ac:dyDescent="0.25">
      <c r="A117" s="9"/>
      <c r="B117" s="62" t="s">
        <v>314</v>
      </c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  <row r="118" spans="1:26" x14ac:dyDescent="0.25">
      <c r="A118" s="9"/>
      <c r="B118" s="58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","314", " - ", "Supplies")</f>
        <v>Department 314 - Supplies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80072.809999999983</v>
      </c>
      <c r="E12" s="4"/>
      <c r="F12" s="12"/>
      <c r="G12" s="4"/>
      <c r="H12" s="4">
        <f>SUM(OSRRefH13x_0)</f>
        <v>92128</v>
      </c>
      <c r="I12" s="4"/>
      <c r="J12" s="12"/>
      <c r="K12" s="4"/>
      <c r="L12" s="4">
        <f t="shared" ref="L12:L33" si="0">+D12-H12</f>
        <v>-12055.190000000017</v>
      </c>
      <c r="M12" s="4"/>
      <c r="N12" s="12">
        <f t="shared" ref="N12:N33" si="1">IF(H12=0,0,L12/H12)</f>
        <v>-0.13085261809656148</v>
      </c>
      <c r="O12" s="10"/>
      <c r="P12" s="4">
        <f>SUM(OSRRefP13x_0)</f>
        <v>96415.629999999976</v>
      </c>
      <c r="Q12" s="4"/>
      <c r="R12" s="12"/>
      <c r="S12" s="4"/>
      <c r="T12" s="4">
        <f>SUM(OSRRefT13x_0)</f>
        <v>108577</v>
      </c>
      <c r="U12" s="4"/>
      <c r="V12" s="12"/>
      <c r="W12" s="4"/>
      <c r="X12" s="4">
        <f t="shared" ref="X12:X33" si="2">+P12-T12</f>
        <v>-12161.370000000024</v>
      </c>
      <c r="Y12" s="4"/>
      <c r="Z12" s="12">
        <f t="shared" ref="Z12:Z33" si="3">IF(T12=0,0,X12/T12)</f>
        <v>-0.11200687070005641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84758</v>
      </c>
      <c r="I13" s="2"/>
      <c r="J13" s="21"/>
      <c r="K13" s="2"/>
      <c r="L13" s="2">
        <f t="shared" si="0"/>
        <v>-84758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99892</v>
      </c>
      <c r="U13" s="2"/>
      <c r="V13" s="21"/>
      <c r="W13" s="2"/>
      <c r="X13" s="2">
        <f t="shared" si="2"/>
        <v>-99892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>--152.83</f>
        <v>152.83000000000001</v>
      </c>
      <c r="E14" s="2"/>
      <c r="F14" s="21"/>
      <c r="G14" s="2"/>
      <c r="H14" s="2"/>
      <c r="I14" s="2"/>
      <c r="J14" s="21"/>
      <c r="K14" s="2"/>
      <c r="L14" s="2">
        <f t="shared" si="0"/>
        <v>152.83000000000001</v>
      </c>
      <c r="M14" s="2"/>
      <c r="N14" s="21">
        <f t="shared" si="1"/>
        <v>0</v>
      </c>
      <c r="O14" s="11"/>
      <c r="P14" s="2">
        <f>--157.3</f>
        <v>157.30000000000001</v>
      </c>
      <c r="Q14" s="2"/>
      <c r="R14" s="21"/>
      <c r="S14" s="2"/>
      <c r="T14" s="2"/>
      <c r="U14" s="2"/>
      <c r="V14" s="21"/>
      <c r="W14" s="2"/>
      <c r="X14" s="2">
        <f t="shared" si="2"/>
        <v>157.30000000000001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"4019", " - ", "TAXABLE SALES-BOOK RELATED")</f>
        <v xml:space="preserve">          4019 - TAXABLE SALES-BOOK RELATED</v>
      </c>
      <c r="C15" s="11"/>
      <c r="D15" s="2">
        <f>--14.95</f>
        <v>14.95</v>
      </c>
      <c r="E15" s="2"/>
      <c r="F15" s="21"/>
      <c r="G15" s="2"/>
      <c r="H15" s="2"/>
      <c r="I15" s="2"/>
      <c r="J15" s="21"/>
      <c r="K15" s="2"/>
      <c r="L15" s="2">
        <f t="shared" si="0"/>
        <v>14.95</v>
      </c>
      <c r="M15" s="2"/>
      <c r="N15" s="21">
        <f t="shared" si="1"/>
        <v>0</v>
      </c>
      <c r="O15" s="11"/>
      <c r="P15" s="2">
        <f>--14.95</f>
        <v>14.95</v>
      </c>
      <c r="Q15" s="2"/>
      <c r="R15" s="21"/>
      <c r="S15" s="2"/>
      <c r="T15" s="2"/>
      <c r="U15" s="2"/>
      <c r="V15" s="21"/>
      <c r="W15" s="2"/>
      <c r="X15" s="2">
        <f t="shared" si="2"/>
        <v>14.95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"4025", " - ", "TAXABLE SALES-TEST FORMS")</f>
        <v xml:space="preserve">          4025 - TAXABLE SALES-TEST FORMS</v>
      </c>
      <c r="C16" s="11"/>
      <c r="D16" s="2">
        <f>--3964.99</f>
        <v>3964.99</v>
      </c>
      <c r="E16" s="2"/>
      <c r="F16" s="21"/>
      <c r="G16" s="2"/>
      <c r="H16" s="2"/>
      <c r="I16" s="2"/>
      <c r="J16" s="21"/>
      <c r="K16" s="2"/>
      <c r="L16" s="2">
        <f t="shared" si="0"/>
        <v>3964.99</v>
      </c>
      <c r="M16" s="2"/>
      <c r="N16" s="21">
        <f t="shared" si="1"/>
        <v>0</v>
      </c>
      <c r="O16" s="11"/>
      <c r="P16" s="2">
        <f>--4355.81</f>
        <v>4355.8100000000004</v>
      </c>
      <c r="Q16" s="2"/>
      <c r="R16" s="21"/>
      <c r="S16" s="2"/>
      <c r="T16" s="2"/>
      <c r="U16" s="2"/>
      <c r="V16" s="21"/>
      <c r="W16" s="2"/>
      <c r="X16" s="2">
        <f t="shared" si="2"/>
        <v>4355.8100000000004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>--10164.41</f>
        <v>10164.41</v>
      </c>
      <c r="E17" s="2"/>
      <c r="F17" s="21"/>
      <c r="G17" s="2"/>
      <c r="H17" s="2"/>
      <c r="I17" s="2"/>
      <c r="J17" s="21"/>
      <c r="K17" s="2"/>
      <c r="L17" s="2">
        <f t="shared" si="0"/>
        <v>10164.41</v>
      </c>
      <c r="M17" s="2"/>
      <c r="N17" s="21">
        <f t="shared" si="1"/>
        <v>0</v>
      </c>
      <c r="O17" s="11"/>
      <c r="P17" s="2">
        <f>--12038.56</f>
        <v>12038.56</v>
      </c>
      <c r="Q17" s="2"/>
      <c r="R17" s="21"/>
      <c r="S17" s="2"/>
      <c r="T17" s="2"/>
      <c r="U17" s="2"/>
      <c r="V17" s="21"/>
      <c r="W17" s="2"/>
      <c r="X17" s="2">
        <f t="shared" si="2"/>
        <v>12038.56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--62645.85</f>
        <v>62645.85</v>
      </c>
      <c r="E18" s="2"/>
      <c r="F18" s="21"/>
      <c r="G18" s="2"/>
      <c r="H18" s="2"/>
      <c r="I18" s="2"/>
      <c r="J18" s="21"/>
      <c r="K18" s="2"/>
      <c r="L18" s="2">
        <f t="shared" si="0"/>
        <v>62645.85</v>
      </c>
      <c r="M18" s="2"/>
      <c r="N18" s="21">
        <f t="shared" si="1"/>
        <v>0</v>
      </c>
      <c r="O18" s="11"/>
      <c r="P18" s="2">
        <f>--75723.74</f>
        <v>75723.740000000005</v>
      </c>
      <c r="Q18" s="2"/>
      <c r="R18" s="21"/>
      <c r="S18" s="2"/>
      <c r="T18" s="2"/>
      <c r="U18" s="2"/>
      <c r="V18" s="21"/>
      <c r="W18" s="2"/>
      <c r="X18" s="2">
        <f t="shared" si="2"/>
        <v>75723.740000000005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"4028", " - ", "TAXABLE SALES-ART/TECH")</f>
        <v xml:space="preserve">          4028 - TAXABLE SALES-ART/TECH</v>
      </c>
      <c r="C19" s="11"/>
      <c r="D19" s="2">
        <f>--1736.67</f>
        <v>1736.67</v>
      </c>
      <c r="E19" s="2"/>
      <c r="F19" s="21"/>
      <c r="G19" s="2"/>
      <c r="H19" s="2"/>
      <c r="I19" s="2"/>
      <c r="J19" s="21"/>
      <c r="K19" s="2"/>
      <c r="L19" s="2">
        <f t="shared" si="0"/>
        <v>1736.67</v>
      </c>
      <c r="M19" s="2"/>
      <c r="N19" s="21">
        <f t="shared" si="1"/>
        <v>0</v>
      </c>
      <c r="O19" s="11"/>
      <c r="P19" s="2">
        <f>--2164.46</f>
        <v>2164.46</v>
      </c>
      <c r="Q19" s="2"/>
      <c r="R19" s="21"/>
      <c r="S19" s="2"/>
      <c r="T19" s="2"/>
      <c r="U19" s="2"/>
      <c r="V19" s="21"/>
      <c r="W19" s="2"/>
      <c r="X19" s="2">
        <f t="shared" si="2"/>
        <v>2164.46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"4035", " - ", "TAXABLE SALES-HEALTH &amp; BEAUTY")</f>
        <v xml:space="preserve">          4035 - TAXABLE SALES-HEALTH &amp; BEAUTY</v>
      </c>
      <c r="C20" s="11"/>
      <c r="D20" s="2">
        <f>--3.95</f>
        <v>3.95</v>
      </c>
      <c r="E20" s="2"/>
      <c r="F20" s="21"/>
      <c r="G20" s="2"/>
      <c r="H20" s="2"/>
      <c r="I20" s="2"/>
      <c r="J20" s="21"/>
      <c r="K20" s="2"/>
      <c r="L20" s="2">
        <f t="shared" si="0"/>
        <v>3.95</v>
      </c>
      <c r="M20" s="2"/>
      <c r="N20" s="21">
        <f t="shared" si="1"/>
        <v>0</v>
      </c>
      <c r="O20" s="11"/>
      <c r="P20" s="2">
        <f>--6.93</f>
        <v>6.93</v>
      </c>
      <c r="Q20" s="2"/>
      <c r="R20" s="21"/>
      <c r="S20" s="2"/>
      <c r="T20" s="2"/>
      <c r="U20" s="2"/>
      <c r="V20" s="21"/>
      <c r="W20" s="2"/>
      <c r="X20" s="2">
        <f t="shared" si="2"/>
        <v>6.93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21"/>
      <c r="G21" s="2"/>
      <c r="H21" s="2">
        <v>7370</v>
      </c>
      <c r="I21" s="2"/>
      <c r="J21" s="21"/>
      <c r="K21" s="2"/>
      <c r="L21" s="2">
        <f t="shared" si="0"/>
        <v>-7370</v>
      </c>
      <c r="M21" s="2"/>
      <c r="N21" s="21">
        <f t="shared" si="1"/>
        <v>-1</v>
      </c>
      <c r="O21" s="11"/>
      <c r="P21" s="2">
        <f>0</f>
        <v>0</v>
      </c>
      <c r="Q21" s="2"/>
      <c r="R21" s="21"/>
      <c r="S21" s="2"/>
      <c r="T21" s="2">
        <v>8685</v>
      </c>
      <c r="U21" s="2"/>
      <c r="V21" s="21"/>
      <c r="W21" s="2"/>
      <c r="X21" s="2">
        <f t="shared" si="2"/>
        <v>-8685</v>
      </c>
      <c r="Y21" s="2"/>
      <c r="Z21" s="21">
        <f t="shared" si="3"/>
        <v>-1</v>
      </c>
    </row>
    <row r="22" spans="1:26" s="24" customFormat="1" hidden="1" outlineLevel="1" x14ac:dyDescent="0.25">
      <c r="A22" s="46"/>
      <c r="B22" s="11" t="str">
        <f>CONCATENATE("          ", "4125", " - ", "NON-TAXABLE SALES-TEST FORMS")</f>
        <v xml:space="preserve">          4125 - NON-TAXABLE SALES-TEST FORMS</v>
      </c>
      <c r="C22" s="11"/>
      <c r="D22" s="2">
        <f>--77.17</f>
        <v>77.17</v>
      </c>
      <c r="E22" s="2"/>
      <c r="F22" s="21"/>
      <c r="G22" s="2"/>
      <c r="H22" s="2"/>
      <c r="I22" s="2"/>
      <c r="J22" s="21"/>
      <c r="K22" s="2"/>
      <c r="L22" s="2">
        <f t="shared" si="0"/>
        <v>77.17</v>
      </c>
      <c r="M22" s="2"/>
      <c r="N22" s="21">
        <f t="shared" si="1"/>
        <v>0</v>
      </c>
      <c r="O22" s="11"/>
      <c r="P22" s="2">
        <f>--82.15</f>
        <v>82.15</v>
      </c>
      <c r="Q22" s="2"/>
      <c r="R22" s="21"/>
      <c r="S22" s="2"/>
      <c r="T22" s="2"/>
      <c r="U22" s="2"/>
      <c r="V22" s="21"/>
      <c r="W22" s="2"/>
      <c r="X22" s="2">
        <f t="shared" si="2"/>
        <v>82.15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"4126", " - ", "NON-TAXABLE SALES-WRITING INST")</f>
        <v xml:space="preserve">          4126 - NON-TAXABLE SALES-WRITING INST</v>
      </c>
      <c r="C23" s="11"/>
      <c r="D23" s="2">
        <f>--844.09</f>
        <v>844.09</v>
      </c>
      <c r="E23" s="2"/>
      <c r="F23" s="21"/>
      <c r="G23" s="2"/>
      <c r="H23" s="2"/>
      <c r="I23" s="2"/>
      <c r="J23" s="21"/>
      <c r="K23" s="2"/>
      <c r="L23" s="2">
        <f t="shared" si="0"/>
        <v>844.09</v>
      </c>
      <c r="M23" s="2"/>
      <c r="N23" s="21">
        <f t="shared" si="1"/>
        <v>0</v>
      </c>
      <c r="O23" s="11"/>
      <c r="P23" s="2">
        <f>--1011.12</f>
        <v>1011.12</v>
      </c>
      <c r="Q23" s="2"/>
      <c r="R23" s="21"/>
      <c r="S23" s="2"/>
      <c r="T23" s="2"/>
      <c r="U23" s="2"/>
      <c r="V23" s="21"/>
      <c r="W23" s="2"/>
      <c r="X23" s="2">
        <f t="shared" si="2"/>
        <v>1011.12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"4127", " - ", "NON-TAXABLE SALES-SCHOOL SUPPL")</f>
        <v xml:space="preserve">          4127 - NON-TAXABLE SALES-SCHOOL SUPPL</v>
      </c>
      <c r="C24" s="11"/>
      <c r="D24" s="2">
        <f>--1692.39</f>
        <v>1692.39</v>
      </c>
      <c r="E24" s="2"/>
      <c r="F24" s="21"/>
      <c r="G24" s="2"/>
      <c r="H24" s="2"/>
      <c r="I24" s="2"/>
      <c r="J24" s="21"/>
      <c r="K24" s="2"/>
      <c r="L24" s="2">
        <f t="shared" si="0"/>
        <v>1692.39</v>
      </c>
      <c r="M24" s="2"/>
      <c r="N24" s="21">
        <f t="shared" si="1"/>
        <v>0</v>
      </c>
      <c r="O24" s="11"/>
      <c r="P24" s="2">
        <f>--1870.28</f>
        <v>1870.28</v>
      </c>
      <c r="Q24" s="2"/>
      <c r="R24" s="21"/>
      <c r="S24" s="2"/>
      <c r="T24" s="2"/>
      <c r="U24" s="2"/>
      <c r="V24" s="21"/>
      <c r="W24" s="2"/>
      <c r="X24" s="2">
        <f t="shared" si="2"/>
        <v>1870.28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"4128", " - ", "NON-TAXABLE SALES-ART/TECH")</f>
        <v xml:space="preserve">          4128 - NON-TAXABLE SALES-ART/TECH</v>
      </c>
      <c r="C25" s="11"/>
      <c r="D25" s="2">
        <f>--128.61</f>
        <v>128.61000000000001</v>
      </c>
      <c r="E25" s="2"/>
      <c r="F25" s="21"/>
      <c r="G25" s="2"/>
      <c r="H25" s="2"/>
      <c r="I25" s="2"/>
      <c r="J25" s="21"/>
      <c r="K25" s="2"/>
      <c r="L25" s="2">
        <f t="shared" si="0"/>
        <v>128.61000000000001</v>
      </c>
      <c r="M25" s="2"/>
      <c r="N25" s="21">
        <f t="shared" si="1"/>
        <v>0</v>
      </c>
      <c r="O25" s="11"/>
      <c r="P25" s="2">
        <f>--130.1</f>
        <v>130.1</v>
      </c>
      <c r="Q25" s="2"/>
      <c r="R25" s="21"/>
      <c r="S25" s="2"/>
      <c r="T25" s="2"/>
      <c r="U25" s="2"/>
      <c r="V25" s="21"/>
      <c r="W25" s="2"/>
      <c r="X25" s="2">
        <f t="shared" si="2"/>
        <v>130.1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"4131", " - ", "NON-TAXABLE SALES-FOOD")</f>
        <v xml:space="preserve">          4131 - NON-TAXABLE SALES-FOOD</v>
      </c>
      <c r="C26" s="11"/>
      <c r="D26" s="2">
        <f>--136.51</f>
        <v>136.51</v>
      </c>
      <c r="E26" s="2"/>
      <c r="F26" s="21"/>
      <c r="G26" s="2"/>
      <c r="H26" s="2"/>
      <c r="I26" s="2"/>
      <c r="J26" s="21"/>
      <c r="K26" s="2"/>
      <c r="L26" s="2">
        <f t="shared" si="0"/>
        <v>136.51</v>
      </c>
      <c r="M26" s="2"/>
      <c r="N26" s="21">
        <f t="shared" si="1"/>
        <v>0</v>
      </c>
      <c r="O26" s="11"/>
      <c r="P26" s="2">
        <f>--263.93</f>
        <v>263.93</v>
      </c>
      <c r="Q26" s="2"/>
      <c r="R26" s="21"/>
      <c r="S26" s="2"/>
      <c r="T26" s="2"/>
      <c r="U26" s="2"/>
      <c r="V26" s="21"/>
      <c r="W26" s="2"/>
      <c r="X26" s="2">
        <f t="shared" si="2"/>
        <v>263.93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"4133", " - ", "NON-TAXABLE SALES-CANDY")</f>
        <v xml:space="preserve">          4133 - NON-TAXABLE SALES-CANDY</v>
      </c>
      <c r="C27" s="11"/>
      <c r="D27" s="2">
        <f>--184.35</f>
        <v>184.35</v>
      </c>
      <c r="E27" s="2"/>
      <c r="F27" s="21"/>
      <c r="G27" s="2"/>
      <c r="H27" s="2"/>
      <c r="I27" s="2"/>
      <c r="J27" s="21"/>
      <c r="K27" s="2"/>
      <c r="L27" s="2">
        <f t="shared" si="0"/>
        <v>184.35</v>
      </c>
      <c r="M27" s="2"/>
      <c r="N27" s="21">
        <f t="shared" si="1"/>
        <v>0</v>
      </c>
      <c r="O27" s="11"/>
      <c r="P27" s="2">
        <f>--473.2</f>
        <v>473.2</v>
      </c>
      <c r="Q27" s="2"/>
      <c r="R27" s="21"/>
      <c r="S27" s="2"/>
      <c r="T27" s="2"/>
      <c r="U27" s="2"/>
      <c r="V27" s="21"/>
      <c r="W27" s="2"/>
      <c r="X27" s="2">
        <f t="shared" si="2"/>
        <v>473.2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"4135", " - ", "NON-TAXABLE SALES")</f>
        <v xml:space="preserve">          4135 - NON-TAXABLE SALES</v>
      </c>
      <c r="C28" s="11"/>
      <c r="D28" s="2">
        <f>--25.03</f>
        <v>25.03</v>
      </c>
      <c r="E28" s="2"/>
      <c r="F28" s="21"/>
      <c r="G28" s="2"/>
      <c r="H28" s="2"/>
      <c r="I28" s="2"/>
      <c r="J28" s="21"/>
      <c r="K28" s="2"/>
      <c r="L28" s="2">
        <f t="shared" si="0"/>
        <v>25.03</v>
      </c>
      <c r="M28" s="2"/>
      <c r="N28" s="21">
        <f t="shared" si="1"/>
        <v>0</v>
      </c>
      <c r="O28" s="11"/>
      <c r="P28" s="2">
        <f>--46.57</f>
        <v>46.57</v>
      </c>
      <c r="Q28" s="2"/>
      <c r="R28" s="21"/>
      <c r="S28" s="2"/>
      <c r="T28" s="2"/>
      <c r="U28" s="2"/>
      <c r="V28" s="21"/>
      <c r="W28" s="2"/>
      <c r="X28" s="2">
        <f t="shared" si="2"/>
        <v>46.57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"4225", " - ", "SALES RETURN TAXABLE-TEST FORM")</f>
        <v xml:space="preserve">          4225 - SALES RETURN TAXABLE-TEST FORM</v>
      </c>
      <c r="C29" s="11"/>
      <c r="D29" s="2">
        <f>-8.61</f>
        <v>-8.61</v>
      </c>
      <c r="E29" s="2"/>
      <c r="F29" s="21"/>
      <c r="G29" s="2"/>
      <c r="H29" s="2"/>
      <c r="I29" s="2"/>
      <c r="J29" s="21"/>
      <c r="K29" s="2"/>
      <c r="L29" s="2">
        <f t="shared" si="0"/>
        <v>-8.61</v>
      </c>
      <c r="M29" s="2"/>
      <c r="N29" s="21">
        <f t="shared" si="1"/>
        <v>0</v>
      </c>
      <c r="O29" s="11"/>
      <c r="P29" s="2">
        <f>-12.69</f>
        <v>-12.69</v>
      </c>
      <c r="Q29" s="2"/>
      <c r="R29" s="21"/>
      <c r="S29" s="2"/>
      <c r="T29" s="2"/>
      <c r="U29" s="2"/>
      <c r="V29" s="21"/>
      <c r="W29" s="2"/>
      <c r="X29" s="2">
        <f t="shared" si="2"/>
        <v>-12.69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"4226", " - ", "SALES RETURN TAXABLE-WRITING I")</f>
        <v xml:space="preserve">          4226 - SALES RETURN TAXABLE-WRITING I</v>
      </c>
      <c r="C30" s="11"/>
      <c r="D30" s="2">
        <f>-60.28</f>
        <v>-60.28</v>
      </c>
      <c r="E30" s="2"/>
      <c r="F30" s="21"/>
      <c r="G30" s="2"/>
      <c r="H30" s="2"/>
      <c r="I30" s="2"/>
      <c r="J30" s="21"/>
      <c r="K30" s="2"/>
      <c r="L30" s="2">
        <f t="shared" si="0"/>
        <v>-60.28</v>
      </c>
      <c r="M30" s="2"/>
      <c r="N30" s="21">
        <f t="shared" si="1"/>
        <v>0</v>
      </c>
      <c r="O30" s="11"/>
      <c r="P30" s="2">
        <f>-124.21</f>
        <v>-124.21</v>
      </c>
      <c r="Q30" s="2"/>
      <c r="R30" s="21"/>
      <c r="S30" s="2"/>
      <c r="T30" s="2"/>
      <c r="U30" s="2"/>
      <c r="V30" s="21"/>
      <c r="W30" s="2"/>
      <c r="X30" s="2">
        <f t="shared" si="2"/>
        <v>-124.21</v>
      </c>
      <c r="Y30" s="2"/>
      <c r="Z30" s="21">
        <f t="shared" si="3"/>
        <v>0</v>
      </c>
    </row>
    <row r="31" spans="1:26" s="24" customFormat="1" hidden="1" outlineLevel="1" x14ac:dyDescent="0.25">
      <c r="A31" s="46"/>
      <c r="B31" s="11" t="str">
        <f>CONCATENATE("          ", "4227", " - ", "SALES RETURN TAXABLE-SCHOOL SU")</f>
        <v xml:space="preserve">          4227 - SALES RETURN TAXABLE-SCHOOL SU</v>
      </c>
      <c r="C31" s="11"/>
      <c r="D31" s="2">
        <f>-1529.66</f>
        <v>-1529.66</v>
      </c>
      <c r="E31" s="2"/>
      <c r="F31" s="21"/>
      <c r="G31" s="2"/>
      <c r="H31" s="2"/>
      <c r="I31" s="2"/>
      <c r="J31" s="21"/>
      <c r="K31" s="2"/>
      <c r="L31" s="2">
        <f t="shared" si="0"/>
        <v>-1529.66</v>
      </c>
      <c r="M31" s="2"/>
      <c r="N31" s="21">
        <f t="shared" si="1"/>
        <v>0</v>
      </c>
      <c r="O31" s="11"/>
      <c r="P31" s="2">
        <f>-1686.13</f>
        <v>-1686.13</v>
      </c>
      <c r="Q31" s="2"/>
      <c r="R31" s="21"/>
      <c r="S31" s="2"/>
      <c r="T31" s="2"/>
      <c r="U31" s="2"/>
      <c r="V31" s="21"/>
      <c r="W31" s="2"/>
      <c r="X31" s="2">
        <f t="shared" si="2"/>
        <v>-1686.13</v>
      </c>
      <c r="Y31" s="2"/>
      <c r="Z31" s="21">
        <f t="shared" si="3"/>
        <v>0</v>
      </c>
    </row>
    <row r="32" spans="1:26" s="24" customFormat="1" hidden="1" outlineLevel="1" x14ac:dyDescent="0.25">
      <c r="A32" s="46"/>
      <c r="B32" s="11" t="str">
        <f>CONCATENATE("          ", "4228", " - ", "SALES RETURN TAXABLE-ART/TECH")</f>
        <v xml:space="preserve">          4228 - SALES RETURN TAXABLE-ART/TECH</v>
      </c>
      <c r="C32" s="11"/>
      <c r="D32" s="2">
        <f>-86.86</f>
        <v>-86.86</v>
      </c>
      <c r="E32" s="2"/>
      <c r="F32" s="21"/>
      <c r="G32" s="2"/>
      <c r="H32" s="2"/>
      <c r="I32" s="2"/>
      <c r="J32" s="21"/>
      <c r="K32" s="2"/>
      <c r="L32" s="2">
        <f t="shared" si="0"/>
        <v>-86.86</v>
      </c>
      <c r="M32" s="2"/>
      <c r="N32" s="21">
        <f t="shared" si="1"/>
        <v>0</v>
      </c>
      <c r="O32" s="11"/>
      <c r="P32" s="2">
        <f>-86.86</f>
        <v>-86.86</v>
      </c>
      <c r="Q32" s="2"/>
      <c r="R32" s="21"/>
      <c r="S32" s="2"/>
      <c r="T32" s="2"/>
      <c r="U32" s="2"/>
      <c r="V32" s="21"/>
      <c r="W32" s="2"/>
      <c r="X32" s="2">
        <f t="shared" si="2"/>
        <v>-86.86</v>
      </c>
      <c r="Y32" s="2"/>
      <c r="Z32" s="21">
        <f t="shared" si="3"/>
        <v>0</v>
      </c>
    </row>
    <row r="33" spans="1:26" s="24" customFormat="1" hidden="1" outlineLevel="1" x14ac:dyDescent="0.25">
      <c r="A33" s="46"/>
      <c r="B33" s="11" t="str">
        <f>CONCATENATE("          ", "4327", " - ", "SALES RETURN NON TAXABLE-SCHOO")</f>
        <v xml:space="preserve">          4327 - SALES RETURN NON TAXABLE-SCHOO</v>
      </c>
      <c r="C33" s="11"/>
      <c r="D33" s="2">
        <f>-13.58</f>
        <v>-13.58</v>
      </c>
      <c r="E33" s="2"/>
      <c r="F33" s="21"/>
      <c r="G33" s="2"/>
      <c r="H33" s="2"/>
      <c r="I33" s="2"/>
      <c r="J33" s="21"/>
      <c r="K33" s="2"/>
      <c r="L33" s="2">
        <f t="shared" si="0"/>
        <v>-13.58</v>
      </c>
      <c r="M33" s="2"/>
      <c r="N33" s="21">
        <f t="shared" si="1"/>
        <v>0</v>
      </c>
      <c r="O33" s="11"/>
      <c r="P33" s="2">
        <f>-13.58</f>
        <v>-13.58</v>
      </c>
      <c r="Q33" s="2"/>
      <c r="R33" s="21"/>
      <c r="S33" s="2"/>
      <c r="T33" s="2"/>
      <c r="U33" s="2"/>
      <c r="V33" s="21"/>
      <c r="W33" s="2"/>
      <c r="X33" s="2">
        <f t="shared" si="2"/>
        <v>-13.58</v>
      </c>
      <c r="Y33" s="2"/>
      <c r="Z33" s="21">
        <f t="shared" si="3"/>
        <v>0</v>
      </c>
    </row>
    <row r="34" spans="1:26" x14ac:dyDescent="0.25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25">
      <c r="A35" s="10"/>
      <c r="B35" s="28" t="s">
        <v>8</v>
      </c>
      <c r="C35" s="10"/>
      <c r="D35" s="4">
        <f>SUM(OSRRefD16x_0)</f>
        <v>34508.939999999995</v>
      </c>
      <c r="E35" s="4"/>
      <c r="F35" s="12">
        <f t="shared" ref="F35:F50" si="4">IF(D$12=0,0,D35/D$12)</f>
        <v>0.43096951387118804</v>
      </c>
      <c r="G35" s="4"/>
      <c r="H35" s="4">
        <f>SUM(OSRRefH16x_0)</f>
        <v>46985</v>
      </c>
      <c r="I35" s="4"/>
      <c r="J35" s="12">
        <f t="shared" ref="J35:J50" si="5">IF(H$12=0,0,H35/H$12)</f>
        <v>0.50999696075026046</v>
      </c>
      <c r="K35" s="4"/>
      <c r="L35" s="4">
        <f t="shared" ref="L35:L50" si="6">+D35-H35</f>
        <v>-12476.060000000005</v>
      </c>
      <c r="M35" s="4"/>
      <c r="N35" s="12">
        <f t="shared" ref="N35:N50" si="7">IF(H35=0,0,L35/H35)</f>
        <v>-0.26553282962647662</v>
      </c>
      <c r="O35" s="10"/>
      <c r="P35" s="4">
        <f>SUM(OSRRefP16x_0)</f>
        <v>42657.640000000014</v>
      </c>
      <c r="Q35" s="4"/>
      <c r="R35" s="12">
        <f t="shared" ref="R35:R50" si="8">IF(P$12=0,0,P35/P$12)</f>
        <v>0.4424349039673342</v>
      </c>
      <c r="S35" s="4"/>
      <c r="T35" s="4">
        <f>SUM(OSRRefT16x_0)</f>
        <v>55374</v>
      </c>
      <c r="U35" s="4"/>
      <c r="V35" s="12">
        <f t="shared" ref="V35:V50" si="9">IF(T$12=0,0,T35/T$12)</f>
        <v>0.50999751328550247</v>
      </c>
      <c r="W35" s="4"/>
      <c r="X35" s="4">
        <f t="shared" ref="X35:X50" si="10">+P35-T35</f>
        <v>-12716.359999999986</v>
      </c>
      <c r="Y35" s="4"/>
      <c r="Z35" s="12">
        <f t="shared" ref="Z35:Z50" si="11">IF(T35=0,0,X35/T35)</f>
        <v>-0.22964495972839213</v>
      </c>
    </row>
    <row r="36" spans="1:26" s="24" customFormat="1" hidden="1" outlineLevel="1" x14ac:dyDescent="0.25">
      <c r="A36" s="46"/>
      <c r="B36" s="11" t="str">
        <f>CONCATENATE("          ", "5000", " - ", "PURCHASES @ COST")</f>
        <v xml:space="preserve">          5000 - PURCHASES @ COST</v>
      </c>
      <c r="C36" s="11"/>
      <c r="D36" s="2"/>
      <c r="E36" s="2"/>
      <c r="F36" s="21">
        <f t="shared" si="4"/>
        <v>0</v>
      </c>
      <c r="G36" s="2"/>
      <c r="H36" s="2">
        <v>46985</v>
      </c>
      <c r="I36" s="2"/>
      <c r="J36" s="21">
        <f t="shared" si="5"/>
        <v>0.50999696075026046</v>
      </c>
      <c r="K36" s="2"/>
      <c r="L36" s="2">
        <f t="shared" si="6"/>
        <v>-46985</v>
      </c>
      <c r="M36" s="2"/>
      <c r="N36" s="21">
        <f t="shared" si="7"/>
        <v>-1</v>
      </c>
      <c r="O36" s="11"/>
      <c r="P36" s="2"/>
      <c r="Q36" s="2"/>
      <c r="R36" s="21">
        <f t="shared" si="8"/>
        <v>0</v>
      </c>
      <c r="S36" s="2"/>
      <c r="T36" s="2">
        <v>55374</v>
      </c>
      <c r="U36" s="2"/>
      <c r="V36" s="21">
        <f t="shared" si="9"/>
        <v>0.50999751328550247</v>
      </c>
      <c r="W36" s="2"/>
      <c r="X36" s="2">
        <f t="shared" si="10"/>
        <v>-55374</v>
      </c>
      <c r="Y36" s="2"/>
      <c r="Z36" s="21">
        <f t="shared" si="11"/>
        <v>-1</v>
      </c>
    </row>
    <row r="37" spans="1:26" s="24" customFormat="1" hidden="1" outlineLevel="1" x14ac:dyDescent="0.25">
      <c r="A37" s="46"/>
      <c r="B37" s="11" t="str">
        <f>CONCATENATE("          ", "5017", " - ", "PURCHASES @ COST-DORM/HOUSEWAR")</f>
        <v xml:space="preserve">          5017 - PURCHASES @ COST-DORM/HOUSEWAR</v>
      </c>
      <c r="C37" s="11"/>
      <c r="D37" s="2">
        <v>139.86000000000001</v>
      </c>
      <c r="E37" s="2"/>
      <c r="F37" s="21">
        <f t="shared" si="4"/>
        <v>1.7466603207755547E-3</v>
      </c>
      <c r="G37" s="2"/>
      <c r="H37" s="2"/>
      <c r="I37" s="2"/>
      <c r="J37" s="21">
        <f t="shared" si="5"/>
        <v>0</v>
      </c>
      <c r="K37" s="2"/>
      <c r="L37" s="2">
        <f t="shared" si="6"/>
        <v>139.86000000000001</v>
      </c>
      <c r="M37" s="2"/>
      <c r="N37" s="21">
        <f t="shared" si="7"/>
        <v>0</v>
      </c>
      <c r="O37" s="11"/>
      <c r="P37" s="2">
        <v>139.86000000000001</v>
      </c>
      <c r="Q37" s="2"/>
      <c r="R37" s="21">
        <f t="shared" si="8"/>
        <v>1.4505946805512763E-3</v>
      </c>
      <c r="S37" s="2"/>
      <c r="T37" s="2"/>
      <c r="U37" s="2"/>
      <c r="V37" s="21">
        <f t="shared" si="9"/>
        <v>0</v>
      </c>
      <c r="W37" s="2"/>
      <c r="X37" s="2">
        <f t="shared" si="10"/>
        <v>139.86000000000001</v>
      </c>
      <c r="Y37" s="2"/>
      <c r="Z37" s="21">
        <f t="shared" si="11"/>
        <v>0</v>
      </c>
    </row>
    <row r="38" spans="1:26" s="24" customFormat="1" hidden="1" outlineLevel="1" x14ac:dyDescent="0.25">
      <c r="A38" s="46"/>
      <c r="B38" s="11" t="str">
        <f>CONCATENATE("          ", "5025", " - ", "PURCHASES @ COST-TEST FORMS")</f>
        <v xml:space="preserve">          5025 - PURCHASES @ COST-TEST FORMS</v>
      </c>
      <c r="C38" s="11"/>
      <c r="D38" s="2">
        <v>878.02</v>
      </c>
      <c r="E38" s="2"/>
      <c r="F38" s="21">
        <f t="shared" si="4"/>
        <v>1.0965270233428803E-2</v>
      </c>
      <c r="G38" s="2"/>
      <c r="H38" s="2"/>
      <c r="I38" s="2"/>
      <c r="J38" s="21">
        <f t="shared" si="5"/>
        <v>0</v>
      </c>
      <c r="K38" s="2"/>
      <c r="L38" s="2">
        <f t="shared" si="6"/>
        <v>878.02</v>
      </c>
      <c r="M38" s="2"/>
      <c r="N38" s="21">
        <f t="shared" si="7"/>
        <v>0</v>
      </c>
      <c r="O38" s="11"/>
      <c r="P38" s="2">
        <v>1757.14</v>
      </c>
      <c r="Q38" s="2"/>
      <c r="R38" s="21">
        <f t="shared" si="8"/>
        <v>1.822463847407314E-2</v>
      </c>
      <c r="S38" s="2"/>
      <c r="T38" s="2"/>
      <c r="U38" s="2"/>
      <c r="V38" s="21">
        <f t="shared" si="9"/>
        <v>0</v>
      </c>
      <c r="W38" s="2"/>
      <c r="X38" s="2">
        <f t="shared" si="10"/>
        <v>1757.14</v>
      </c>
      <c r="Y38" s="2"/>
      <c r="Z38" s="21">
        <f t="shared" si="11"/>
        <v>0</v>
      </c>
    </row>
    <row r="39" spans="1:26" s="24" customFormat="1" hidden="1" outlineLevel="1" x14ac:dyDescent="0.25">
      <c r="A39" s="46"/>
      <c r="B39" s="11" t="str">
        <f>CONCATENATE("          ", "5026", " - ", "PURCHASES @ COST-WRITING INSTR")</f>
        <v xml:space="preserve">          5026 - PURCHASES @ COST-WRITING INSTR</v>
      </c>
      <c r="C39" s="11"/>
      <c r="D39" s="2">
        <v>2669.1</v>
      </c>
      <c r="E39" s="2"/>
      <c r="F39" s="21">
        <f t="shared" si="4"/>
        <v>3.3333412428013957E-2</v>
      </c>
      <c r="G39" s="2"/>
      <c r="H39" s="2"/>
      <c r="I39" s="2"/>
      <c r="J39" s="21">
        <f t="shared" si="5"/>
        <v>0</v>
      </c>
      <c r="K39" s="2"/>
      <c r="L39" s="2">
        <f t="shared" si="6"/>
        <v>2669.1</v>
      </c>
      <c r="M39" s="2"/>
      <c r="N39" s="21">
        <f t="shared" si="7"/>
        <v>0</v>
      </c>
      <c r="O39" s="11"/>
      <c r="P39" s="2">
        <v>12199.33</v>
      </c>
      <c r="Q39" s="2"/>
      <c r="R39" s="21">
        <f t="shared" si="8"/>
        <v>0.12652855143922206</v>
      </c>
      <c r="S39" s="2"/>
      <c r="T39" s="2"/>
      <c r="U39" s="2"/>
      <c r="V39" s="21">
        <f t="shared" si="9"/>
        <v>0</v>
      </c>
      <c r="W39" s="2"/>
      <c r="X39" s="2">
        <f t="shared" si="10"/>
        <v>12199.33</v>
      </c>
      <c r="Y39" s="2"/>
      <c r="Z39" s="21">
        <f t="shared" si="11"/>
        <v>0</v>
      </c>
    </row>
    <row r="40" spans="1:26" s="24" customFormat="1" hidden="1" outlineLevel="1" x14ac:dyDescent="0.25">
      <c r="A40" s="46"/>
      <c r="B40" s="11" t="str">
        <f>CONCATENATE("          ", "5027", " - ", "PURCHASES @ COST-SCHOOL SUPPLI")</f>
        <v xml:space="preserve">          5027 - PURCHASES @ COST-SCHOOL SUPPLI</v>
      </c>
      <c r="C40" s="11"/>
      <c r="D40" s="2">
        <v>-190.18</v>
      </c>
      <c r="E40" s="2"/>
      <c r="F40" s="21">
        <f t="shared" si="4"/>
        <v>-2.3750883726948017E-3</v>
      </c>
      <c r="G40" s="2"/>
      <c r="H40" s="2"/>
      <c r="I40" s="2"/>
      <c r="J40" s="21">
        <f t="shared" si="5"/>
        <v>0</v>
      </c>
      <c r="K40" s="2"/>
      <c r="L40" s="2">
        <f t="shared" si="6"/>
        <v>-190.18</v>
      </c>
      <c r="M40" s="2"/>
      <c r="N40" s="21">
        <f t="shared" si="7"/>
        <v>0</v>
      </c>
      <c r="O40" s="11"/>
      <c r="P40" s="2">
        <v>49066.48</v>
      </c>
      <c r="Q40" s="2"/>
      <c r="R40" s="21">
        <f t="shared" si="8"/>
        <v>0.50890586930770476</v>
      </c>
      <c r="S40" s="2"/>
      <c r="T40" s="2"/>
      <c r="U40" s="2"/>
      <c r="V40" s="21">
        <f t="shared" si="9"/>
        <v>0</v>
      </c>
      <c r="W40" s="2"/>
      <c r="X40" s="2">
        <f t="shared" si="10"/>
        <v>49066.48</v>
      </c>
      <c r="Y40" s="2"/>
      <c r="Z40" s="21">
        <f t="shared" si="11"/>
        <v>0</v>
      </c>
    </row>
    <row r="41" spans="1:26" s="24" customFormat="1" hidden="1" outlineLevel="1" x14ac:dyDescent="0.25">
      <c r="A41" s="46"/>
      <c r="B41" s="11" t="str">
        <f>CONCATENATE("          ", "5028", " - ", "PURCHASES @ COST-ART/TECH")</f>
        <v xml:space="preserve">          5028 - PURCHASES @ COST-ART/TECH</v>
      </c>
      <c r="C41" s="11"/>
      <c r="D41" s="2">
        <v>471.64</v>
      </c>
      <c r="E41" s="2"/>
      <c r="F41" s="21">
        <f t="shared" si="4"/>
        <v>5.8901392370269015E-3</v>
      </c>
      <c r="G41" s="2"/>
      <c r="H41" s="2"/>
      <c r="I41" s="2"/>
      <c r="J41" s="21">
        <f t="shared" si="5"/>
        <v>0</v>
      </c>
      <c r="K41" s="2"/>
      <c r="L41" s="2">
        <f t="shared" si="6"/>
        <v>471.64</v>
      </c>
      <c r="M41" s="2"/>
      <c r="N41" s="21">
        <f t="shared" si="7"/>
        <v>0</v>
      </c>
      <c r="O41" s="11"/>
      <c r="P41" s="2">
        <v>2616.1999999999998</v>
      </c>
      <c r="Q41" s="2"/>
      <c r="R41" s="21">
        <f t="shared" si="8"/>
        <v>2.7134604627901102E-2</v>
      </c>
      <c r="S41" s="2"/>
      <c r="T41" s="2"/>
      <c r="U41" s="2"/>
      <c r="V41" s="21">
        <f t="shared" si="9"/>
        <v>0</v>
      </c>
      <c r="W41" s="2"/>
      <c r="X41" s="2">
        <f t="shared" si="10"/>
        <v>2616.1999999999998</v>
      </c>
      <c r="Y41" s="2"/>
      <c r="Z41" s="21">
        <f t="shared" si="11"/>
        <v>0</v>
      </c>
    </row>
    <row r="42" spans="1:26" s="24" customFormat="1" hidden="1" outlineLevel="1" x14ac:dyDescent="0.25">
      <c r="A42" s="46"/>
      <c r="B42" s="11" t="str">
        <f>CONCATENATE("          ", "5031", " - ", "PURCHASES @ COST-FOOD")</f>
        <v xml:space="preserve">          5031 - PURCHASES @ COST-FOOD</v>
      </c>
      <c r="C42" s="11"/>
      <c r="D42" s="2">
        <v>149.11000000000001</v>
      </c>
      <c r="E42" s="2"/>
      <c r="F42" s="21">
        <f t="shared" si="4"/>
        <v>1.8621801832607104E-3</v>
      </c>
      <c r="G42" s="2"/>
      <c r="H42" s="2"/>
      <c r="I42" s="2"/>
      <c r="J42" s="21">
        <f t="shared" si="5"/>
        <v>0</v>
      </c>
      <c r="K42" s="2"/>
      <c r="L42" s="2">
        <f t="shared" si="6"/>
        <v>149.11000000000001</v>
      </c>
      <c r="M42" s="2"/>
      <c r="N42" s="21">
        <f t="shared" si="7"/>
        <v>0</v>
      </c>
      <c r="O42" s="11"/>
      <c r="P42" s="2">
        <v>149.11000000000001</v>
      </c>
      <c r="Q42" s="2"/>
      <c r="R42" s="21">
        <f t="shared" si="8"/>
        <v>1.5465334821750379E-3</v>
      </c>
      <c r="S42" s="2"/>
      <c r="T42" s="2"/>
      <c r="U42" s="2"/>
      <c r="V42" s="21">
        <f t="shared" si="9"/>
        <v>0</v>
      </c>
      <c r="W42" s="2"/>
      <c r="X42" s="2">
        <f t="shared" si="10"/>
        <v>149.11000000000001</v>
      </c>
      <c r="Y42" s="2"/>
      <c r="Z42" s="21">
        <f t="shared" si="11"/>
        <v>0</v>
      </c>
    </row>
    <row r="43" spans="1:26" s="24" customFormat="1" hidden="1" outlineLevel="1" x14ac:dyDescent="0.25">
      <c r="A43" s="46"/>
      <c r="B43" s="11" t="str">
        <f>CONCATENATE("          ", "5033", " - ", "PURCHASES @ COST-CANDY")</f>
        <v xml:space="preserve">          5033 - PURCHASES @ COST-CANDY</v>
      </c>
      <c r="C43" s="11"/>
      <c r="D43" s="2">
        <v>80.95</v>
      </c>
      <c r="E43" s="2"/>
      <c r="F43" s="21">
        <f t="shared" si="4"/>
        <v>1.0109549046673899E-3</v>
      </c>
      <c r="G43" s="2"/>
      <c r="H43" s="2"/>
      <c r="I43" s="2"/>
      <c r="J43" s="21">
        <f t="shared" si="5"/>
        <v>0</v>
      </c>
      <c r="K43" s="2"/>
      <c r="L43" s="2">
        <f t="shared" si="6"/>
        <v>80.95</v>
      </c>
      <c r="M43" s="2"/>
      <c r="N43" s="21">
        <f t="shared" si="7"/>
        <v>0</v>
      </c>
      <c r="O43" s="11"/>
      <c r="P43" s="2">
        <v>80.95</v>
      </c>
      <c r="Q43" s="2"/>
      <c r="R43" s="21">
        <f t="shared" si="8"/>
        <v>8.3959416123713577E-4</v>
      </c>
      <c r="S43" s="2"/>
      <c r="T43" s="2"/>
      <c r="U43" s="2"/>
      <c r="V43" s="21">
        <f t="shared" si="9"/>
        <v>0</v>
      </c>
      <c r="W43" s="2"/>
      <c r="X43" s="2">
        <f t="shared" si="10"/>
        <v>80.95</v>
      </c>
      <c r="Y43" s="2"/>
      <c r="Z43" s="21">
        <f t="shared" si="11"/>
        <v>0</v>
      </c>
    </row>
    <row r="44" spans="1:26" s="24" customFormat="1" hidden="1" outlineLevel="1" x14ac:dyDescent="0.25">
      <c r="A44" s="46"/>
      <c r="B44" s="11" t="str">
        <f>CONCATENATE("          ", "5035", " - ", "PURCHASES @ COST-HEALTH &amp; BEAU")</f>
        <v xml:space="preserve">          5035 - PURCHASES @ COST-HEALTH &amp; BEAU</v>
      </c>
      <c r="C44" s="11"/>
      <c r="D44" s="2">
        <v>34.49</v>
      </c>
      <c r="E44" s="2"/>
      <c r="F44" s="21">
        <f t="shared" si="4"/>
        <v>4.3073297914735361E-4</v>
      </c>
      <c r="G44" s="2"/>
      <c r="H44" s="2"/>
      <c r="I44" s="2"/>
      <c r="J44" s="21">
        <f t="shared" si="5"/>
        <v>0</v>
      </c>
      <c r="K44" s="2"/>
      <c r="L44" s="2">
        <f t="shared" si="6"/>
        <v>34.49</v>
      </c>
      <c r="M44" s="2"/>
      <c r="N44" s="21">
        <f t="shared" si="7"/>
        <v>0</v>
      </c>
      <c r="O44" s="11"/>
      <c r="P44" s="2">
        <v>34.49</v>
      </c>
      <c r="Q44" s="2"/>
      <c r="R44" s="21">
        <f t="shared" si="8"/>
        <v>3.577220830274097E-4</v>
      </c>
      <c r="S44" s="2"/>
      <c r="T44" s="2"/>
      <c r="U44" s="2"/>
      <c r="V44" s="21">
        <f t="shared" si="9"/>
        <v>0</v>
      </c>
      <c r="W44" s="2"/>
      <c r="X44" s="2">
        <f t="shared" si="10"/>
        <v>34.49</v>
      </c>
      <c r="Y44" s="2"/>
      <c r="Z44" s="21">
        <f t="shared" si="11"/>
        <v>0</v>
      </c>
    </row>
    <row r="45" spans="1:26" s="24" customFormat="1" hidden="1" outlineLevel="1" x14ac:dyDescent="0.25">
      <c r="A45" s="46"/>
      <c r="B45" s="11" t="str">
        <f>CONCATENATE("          ", "5200", " - ", "PURCHASES OFFSET")</f>
        <v xml:space="preserve">          5200 - PURCHASES OFFSET</v>
      </c>
      <c r="C45" s="11"/>
      <c r="D45" s="2">
        <v>-4261</v>
      </c>
      <c r="E45" s="2"/>
      <c r="F45" s="21">
        <f t="shared" si="4"/>
        <v>-5.3214068545864704E-2</v>
      </c>
      <c r="G45" s="2"/>
      <c r="H45" s="2"/>
      <c r="I45" s="2"/>
      <c r="J45" s="21">
        <f t="shared" si="5"/>
        <v>0</v>
      </c>
      <c r="K45" s="2"/>
      <c r="L45" s="2">
        <f t="shared" si="6"/>
        <v>-4261</v>
      </c>
      <c r="M45" s="2"/>
      <c r="N45" s="21">
        <f t="shared" si="7"/>
        <v>0</v>
      </c>
      <c r="O45" s="11"/>
      <c r="P45" s="2">
        <v>-66405</v>
      </c>
      <c r="Q45" s="2"/>
      <c r="R45" s="21">
        <f t="shared" si="8"/>
        <v>-0.68873687803523165</v>
      </c>
      <c r="S45" s="2"/>
      <c r="T45" s="2"/>
      <c r="U45" s="2"/>
      <c r="V45" s="21">
        <f t="shared" si="9"/>
        <v>0</v>
      </c>
      <c r="W45" s="2"/>
      <c r="X45" s="2">
        <f t="shared" si="10"/>
        <v>-66405</v>
      </c>
      <c r="Y45" s="2"/>
      <c r="Z45" s="21">
        <f t="shared" si="11"/>
        <v>0</v>
      </c>
    </row>
    <row r="46" spans="1:26" s="24" customFormat="1" hidden="1" outlineLevel="1" x14ac:dyDescent="0.25">
      <c r="A46" s="46"/>
      <c r="B46" s="11" t="str">
        <f>CONCATENATE("          ", "5300", " - ", "COG$ OFFSET")</f>
        <v xml:space="preserve">          5300 - COG$ OFFSET</v>
      </c>
      <c r="C46" s="11"/>
      <c r="D46" s="2">
        <v>34509</v>
      </c>
      <c r="E46" s="2"/>
      <c r="F46" s="21">
        <f t="shared" si="4"/>
        <v>0.430970263189215</v>
      </c>
      <c r="G46" s="2"/>
      <c r="H46" s="2"/>
      <c r="I46" s="2"/>
      <c r="J46" s="21">
        <f t="shared" si="5"/>
        <v>0</v>
      </c>
      <c r="K46" s="2"/>
      <c r="L46" s="2">
        <f t="shared" si="6"/>
        <v>34509</v>
      </c>
      <c r="M46" s="2"/>
      <c r="N46" s="21">
        <f t="shared" si="7"/>
        <v>0</v>
      </c>
      <c r="O46" s="11"/>
      <c r="P46" s="2">
        <v>42609</v>
      </c>
      <c r="Q46" s="2"/>
      <c r="R46" s="21">
        <f t="shared" si="8"/>
        <v>0.44193042144722811</v>
      </c>
      <c r="S46" s="2"/>
      <c r="T46" s="2"/>
      <c r="U46" s="2"/>
      <c r="V46" s="21">
        <f t="shared" si="9"/>
        <v>0</v>
      </c>
      <c r="W46" s="2"/>
      <c r="X46" s="2">
        <f t="shared" si="10"/>
        <v>42609</v>
      </c>
      <c r="Y46" s="2"/>
      <c r="Z46" s="21">
        <f t="shared" si="11"/>
        <v>0</v>
      </c>
    </row>
    <row r="47" spans="1:26" s="24" customFormat="1" hidden="1" outlineLevel="1" x14ac:dyDescent="0.25">
      <c r="A47" s="46"/>
      <c r="B47" s="11" t="str">
        <f>CONCATENATE("          ", "5500", " - ", "FREIGHT-IN")</f>
        <v xml:space="preserve">          5500 - FREIGHT-IN</v>
      </c>
      <c r="C47" s="11"/>
      <c r="D47" s="2"/>
      <c r="E47" s="2"/>
      <c r="F47" s="21">
        <f t="shared" si="4"/>
        <v>0</v>
      </c>
      <c r="G47" s="2"/>
      <c r="H47" s="2"/>
      <c r="I47" s="2"/>
      <c r="J47" s="21">
        <f t="shared" si="5"/>
        <v>0</v>
      </c>
      <c r="K47" s="2"/>
      <c r="L47" s="2">
        <f t="shared" si="6"/>
        <v>0</v>
      </c>
      <c r="M47" s="2"/>
      <c r="N47" s="21">
        <f t="shared" si="7"/>
        <v>0</v>
      </c>
      <c r="O47" s="11"/>
      <c r="P47" s="2">
        <v>49</v>
      </c>
      <c r="Q47" s="2"/>
      <c r="R47" s="21">
        <f t="shared" si="8"/>
        <v>5.0821635454749415E-4</v>
      </c>
      <c r="S47" s="2"/>
      <c r="T47" s="2"/>
      <c r="U47" s="2"/>
      <c r="V47" s="21">
        <f t="shared" si="9"/>
        <v>0</v>
      </c>
      <c r="W47" s="2"/>
      <c r="X47" s="2">
        <f t="shared" si="10"/>
        <v>49</v>
      </c>
      <c r="Y47" s="2"/>
      <c r="Z47" s="21">
        <f t="shared" si="11"/>
        <v>0</v>
      </c>
    </row>
    <row r="48" spans="1:26" s="24" customFormat="1" hidden="1" outlineLevel="1" x14ac:dyDescent="0.25">
      <c r="A48" s="46"/>
      <c r="B48" s="11" t="str">
        <f>CONCATENATE("          ", "5526", " - ", "FREIGHT-IN-WRITING INSTRUMENTS")</f>
        <v xml:space="preserve">          5526 - FREIGHT-IN-WRITING INSTRUMENTS</v>
      </c>
      <c r="C48" s="11"/>
      <c r="D48" s="2">
        <v>17.46</v>
      </c>
      <c r="E48" s="2"/>
      <c r="F48" s="21">
        <f t="shared" si="4"/>
        <v>2.1805154583684529E-4</v>
      </c>
      <c r="G48" s="2"/>
      <c r="H48" s="2"/>
      <c r="I48" s="2"/>
      <c r="J48" s="21">
        <f t="shared" si="5"/>
        <v>0</v>
      </c>
      <c r="K48" s="2"/>
      <c r="L48" s="2">
        <f t="shared" si="6"/>
        <v>17.46</v>
      </c>
      <c r="M48" s="2"/>
      <c r="N48" s="21">
        <f t="shared" si="7"/>
        <v>0</v>
      </c>
      <c r="O48" s="11"/>
      <c r="P48" s="2">
        <v>56.57</v>
      </c>
      <c r="Q48" s="2"/>
      <c r="R48" s="21">
        <f t="shared" si="8"/>
        <v>5.8673059544391319E-4</v>
      </c>
      <c r="S48" s="2"/>
      <c r="T48" s="2"/>
      <c r="U48" s="2"/>
      <c r="V48" s="21">
        <f t="shared" si="9"/>
        <v>0</v>
      </c>
      <c r="W48" s="2"/>
      <c r="X48" s="2">
        <f t="shared" si="10"/>
        <v>56.57</v>
      </c>
      <c r="Y48" s="2"/>
      <c r="Z48" s="21">
        <f t="shared" si="11"/>
        <v>0</v>
      </c>
    </row>
    <row r="49" spans="1:26" s="24" customFormat="1" hidden="1" outlineLevel="1" x14ac:dyDescent="0.25">
      <c r="A49" s="46"/>
      <c r="B49" s="11" t="str">
        <f>CONCATENATE("          ", "5527", " - ", "FREIGHT-IN-SCHOOL SUPPLIES")</f>
        <v xml:space="preserve">          5527 - FREIGHT-IN-SCHOOL SUPPLIES</v>
      </c>
      <c r="C49" s="11"/>
      <c r="D49" s="2">
        <v>10.49</v>
      </c>
      <c r="E49" s="2"/>
      <c r="F49" s="21">
        <f t="shared" si="4"/>
        <v>1.3100576837505768E-4</v>
      </c>
      <c r="G49" s="2"/>
      <c r="H49" s="2"/>
      <c r="I49" s="2"/>
      <c r="J49" s="21">
        <f t="shared" si="5"/>
        <v>0</v>
      </c>
      <c r="K49" s="2"/>
      <c r="L49" s="2">
        <f t="shared" si="6"/>
        <v>10.49</v>
      </c>
      <c r="M49" s="2"/>
      <c r="N49" s="21">
        <f t="shared" si="7"/>
        <v>0</v>
      </c>
      <c r="O49" s="11"/>
      <c r="P49" s="2">
        <v>260.51</v>
      </c>
      <c r="Q49" s="2"/>
      <c r="R49" s="21">
        <f t="shared" si="8"/>
        <v>2.701947806595259E-3</v>
      </c>
      <c r="S49" s="2"/>
      <c r="T49" s="2"/>
      <c r="U49" s="2"/>
      <c r="V49" s="21">
        <f t="shared" si="9"/>
        <v>0</v>
      </c>
      <c r="W49" s="2"/>
      <c r="X49" s="2">
        <f t="shared" si="10"/>
        <v>260.51</v>
      </c>
      <c r="Y49" s="2"/>
      <c r="Z49" s="21">
        <f t="shared" si="11"/>
        <v>0</v>
      </c>
    </row>
    <row r="50" spans="1:26" s="24" customFormat="1" hidden="1" outlineLevel="1" x14ac:dyDescent="0.25">
      <c r="A50" s="46"/>
      <c r="B50" s="11" t="str">
        <f>CONCATENATE("          ", "5528", " - ", "FREIGHT-IN-ART/TECH")</f>
        <v xml:space="preserve">          5528 - FREIGHT-IN-ART/TECH</v>
      </c>
      <c r="C50" s="11"/>
      <c r="D50" s="2"/>
      <c r="E50" s="2"/>
      <c r="F50" s="21">
        <f t="shared" si="4"/>
        <v>0</v>
      </c>
      <c r="G50" s="2"/>
      <c r="H50" s="2"/>
      <c r="I50" s="2"/>
      <c r="J50" s="21">
        <f t="shared" si="5"/>
        <v>0</v>
      </c>
      <c r="K50" s="2"/>
      <c r="L50" s="2">
        <f t="shared" si="6"/>
        <v>0</v>
      </c>
      <c r="M50" s="2"/>
      <c r="N50" s="21">
        <f t="shared" si="7"/>
        <v>0</v>
      </c>
      <c r="O50" s="11"/>
      <c r="P50" s="2">
        <v>44</v>
      </c>
      <c r="Q50" s="2"/>
      <c r="R50" s="21">
        <f t="shared" si="8"/>
        <v>4.5635754285897431E-4</v>
      </c>
      <c r="S50" s="2"/>
      <c r="T50" s="2"/>
      <c r="U50" s="2"/>
      <c r="V50" s="21">
        <f t="shared" si="9"/>
        <v>0</v>
      </c>
      <c r="W50" s="2"/>
      <c r="X50" s="2">
        <f t="shared" si="10"/>
        <v>44</v>
      </c>
      <c r="Y50" s="2"/>
      <c r="Z50" s="21">
        <f t="shared" si="11"/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9" t="s">
        <v>6</v>
      </c>
      <c r="C52" s="29"/>
      <c r="D52" s="22">
        <f>D12-D35</f>
        <v>45563.869999999988</v>
      </c>
      <c r="E52" s="14"/>
      <c r="F52" s="20">
        <f>IF(D$12=0,0,D52/D$12)</f>
        <v>0.56903048612881202</v>
      </c>
      <c r="G52" s="14"/>
      <c r="H52" s="22">
        <f>H12-H35</f>
        <v>45143</v>
      </c>
      <c r="I52" s="14"/>
      <c r="J52" s="20">
        <f>IF(H$12=0,0,H52/H$12)</f>
        <v>0.49000303924973948</v>
      </c>
      <c r="K52" s="15"/>
      <c r="L52" s="22">
        <f>+D52-H52</f>
        <v>420.86999999998807</v>
      </c>
      <c r="M52" s="15"/>
      <c r="N52" s="20">
        <f>IF(H52=0,0,L52/H52)</f>
        <v>9.3230401169613914E-3</v>
      </c>
      <c r="O52" s="28"/>
      <c r="P52" s="22">
        <f>P12-P35</f>
        <v>53757.989999999962</v>
      </c>
      <c r="Q52" s="14"/>
      <c r="R52" s="20">
        <f>IF(P$12=0,0,P52/P$12)</f>
        <v>0.5575650960326658</v>
      </c>
      <c r="S52" s="14"/>
      <c r="T52" s="22">
        <f>T12-T35</f>
        <v>53203</v>
      </c>
      <c r="U52" s="14"/>
      <c r="V52" s="20">
        <f>IF(T$12=0,0,T52/T$12)</f>
        <v>0.49000248671449753</v>
      </c>
      <c r="W52" s="15"/>
      <c r="X52" s="22">
        <f>+P52-T52</f>
        <v>554.98999999996158</v>
      </c>
      <c r="Y52" s="15"/>
      <c r="Z52" s="20">
        <f>IF(T52=0,0,X52/T52)</f>
        <v>1.0431554611581332E-2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8" t="s">
        <v>9</v>
      </c>
      <c r="C54" s="10"/>
      <c r="D54" s="19">
        <f>SUM(OSRRefD22x_0)</f>
        <v>10263.69</v>
      </c>
      <c r="E54" s="19"/>
      <c r="F54" s="34">
        <f t="shared" ref="F54:F63" si="12">IF(D$12=0,0,D54/D$12)</f>
        <v>0.12817946566381275</v>
      </c>
      <c r="G54" s="19"/>
      <c r="H54" s="19">
        <f>SUM(OSRRefH22x_0)</f>
        <v>10309.392493044612</v>
      </c>
      <c r="I54" s="19"/>
      <c r="J54" s="34">
        <f t="shared" ref="J54:J63" si="13">IF(H$12=0,0,H54/H$12)</f>
        <v>0.11190292303148458</v>
      </c>
      <c r="K54" s="4"/>
      <c r="L54" s="19">
        <f t="shared" ref="L54:L63" si="14">+D54-H54</f>
        <v>-45.702493044611401</v>
      </c>
      <c r="M54" s="4"/>
      <c r="N54" s="34">
        <f t="shared" ref="N54:N63" si="15">IF(H54=0,0,L54/H54)</f>
        <v>-4.4330927428987968E-3</v>
      </c>
      <c r="O54" s="10"/>
      <c r="P54" s="19">
        <f>SUM(OSRRefP22x_0)</f>
        <v>22439.33</v>
      </c>
      <c r="Q54" s="19"/>
      <c r="R54" s="34">
        <f t="shared" ref="R54:R63" si="16">IF(P$12=0,0,P54/P$12)</f>
        <v>0.23273539777731067</v>
      </c>
      <c r="S54" s="19"/>
      <c r="T54" s="19">
        <f>SUM(OSRRefT22x_0)</f>
        <v>21293.516287475381</v>
      </c>
      <c r="U54" s="19"/>
      <c r="V54" s="34">
        <f t="shared" ref="V54:V63" si="17">IF(T$12=0,0,T54/T$12)</f>
        <v>0.19611442835476556</v>
      </c>
      <c r="W54" s="4"/>
      <c r="X54" s="19">
        <f t="shared" ref="X54:X63" si="18">+P54-T54</f>
        <v>1145.8137125246212</v>
      </c>
      <c r="Y54" s="4"/>
      <c r="Z54" s="34">
        <f t="shared" ref="Z54:Z63" si="19">IF(T54=0,0,X54/T54)</f>
        <v>5.3810450892912254E-2</v>
      </c>
    </row>
    <row r="55" spans="1:26" s="26" customFormat="1" outlineLevel="1" collapsed="1" x14ac:dyDescent="0.25">
      <c r="A55" s="25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2009.5700000000002</v>
      </c>
      <c r="E55" s="1"/>
      <c r="F55" s="5">
        <f t="shared" si="12"/>
        <v>2.5096783789653448E-2</v>
      </c>
      <c r="G55" s="1"/>
      <c r="H55" s="1">
        <f>SUM(OSRRefH22_0x_0)</f>
        <v>1918.7348991984609</v>
      </c>
      <c r="I55" s="1"/>
      <c r="J55" s="5">
        <f t="shared" si="13"/>
        <v>2.0826837651945779E-2</v>
      </c>
      <c r="K55" s="1"/>
      <c r="L55" s="1">
        <f t="shared" si="14"/>
        <v>90.835100801539284</v>
      </c>
      <c r="M55" s="1"/>
      <c r="N55" s="5">
        <f t="shared" si="15"/>
        <v>4.7341141728065229E-2</v>
      </c>
      <c r="O55" s="13"/>
      <c r="P55" s="1">
        <f>SUM(OSRRefP22_0x_0)</f>
        <v>4367.8500000000004</v>
      </c>
      <c r="Q55" s="1"/>
      <c r="R55" s="5">
        <f t="shared" si="16"/>
        <v>4.5302302126740253E-2</v>
      </c>
      <c r="S55" s="1"/>
      <c r="T55" s="1">
        <f>SUM(OSRRefT22_0x_0)</f>
        <v>3987.9742013215377</v>
      </c>
      <c r="U55" s="1"/>
      <c r="V55" s="5">
        <f t="shared" si="17"/>
        <v>3.6729456526902918E-2</v>
      </c>
      <c r="W55" s="1"/>
      <c r="X55" s="1">
        <f t="shared" si="18"/>
        <v>379.87579867846262</v>
      </c>
      <c r="Y55" s="1"/>
      <c r="Z55" s="5">
        <f t="shared" si="19"/>
        <v>9.5255330025098728E-2</v>
      </c>
    </row>
    <row r="56" spans="1:26" s="24" customFormat="1" hidden="1" outlineLevel="2" x14ac:dyDescent="0.25">
      <c r="A56" s="27"/>
      <c r="B56" s="11" t="str">
        <f>CONCATENATE("          ", "6111", " - ", "F.I.C.A.")</f>
        <v xml:space="preserve">          6111 - F.I.C.A.</v>
      </c>
      <c r="C56" s="11"/>
      <c r="D56" s="6">
        <v>490.93</v>
      </c>
      <c r="E56" s="2"/>
      <c r="F56" s="7">
        <f t="shared" si="12"/>
        <v>6.1310449826851351E-3</v>
      </c>
      <c r="G56" s="2"/>
      <c r="H56" s="6">
        <v>546.653589844615</v>
      </c>
      <c r="I56" s="2"/>
      <c r="J56" s="7">
        <f t="shared" si="13"/>
        <v>5.9336313590289055E-3</v>
      </c>
      <c r="K56" s="2"/>
      <c r="L56" s="6">
        <f t="shared" si="14"/>
        <v>-55.723589844614992</v>
      </c>
      <c r="M56" s="2"/>
      <c r="N56" s="7">
        <f t="shared" si="15"/>
        <v>-0.10193583446594449</v>
      </c>
      <c r="O56" s="11"/>
      <c r="P56" s="6">
        <v>965.62</v>
      </c>
      <c r="Q56" s="2"/>
      <c r="R56" s="7">
        <f t="shared" si="16"/>
        <v>1.0015181148533701E-2</v>
      </c>
      <c r="S56" s="2"/>
      <c r="T56" s="6">
        <v>1136.9148802753839</v>
      </c>
      <c r="U56" s="2"/>
      <c r="V56" s="7">
        <f t="shared" si="17"/>
        <v>1.0471047093540841E-2</v>
      </c>
      <c r="W56" s="2"/>
      <c r="X56" s="6">
        <f t="shared" si="18"/>
        <v>-171.29488027538389</v>
      </c>
      <c r="Y56" s="2"/>
      <c r="Z56" s="7">
        <f t="shared" si="19"/>
        <v>-0.15066640717543672</v>
      </c>
    </row>
    <row r="57" spans="1:26" s="24" customFormat="1" hidden="1" outlineLevel="2" x14ac:dyDescent="0.25">
      <c r="A57" s="27"/>
      <c r="B57" s="11" t="str">
        <f>CONCATENATE("          ", "6112", " - ", "COMPENSATION INSURANCE")</f>
        <v xml:space="preserve">          6112 - COMPENSATION INSURANCE</v>
      </c>
      <c r="C57" s="11"/>
      <c r="D57" s="6">
        <v>121.89</v>
      </c>
      <c r="E57" s="2"/>
      <c r="F57" s="7">
        <f t="shared" si="12"/>
        <v>1.5222395717097979E-3</v>
      </c>
      <c r="G57" s="2"/>
      <c r="H57" s="6">
        <v>135.716950307692</v>
      </c>
      <c r="I57" s="2"/>
      <c r="J57" s="7">
        <f t="shared" si="13"/>
        <v>1.4731346638122177E-3</v>
      </c>
      <c r="K57" s="2"/>
      <c r="L57" s="6">
        <f t="shared" si="14"/>
        <v>-13.826950307692002</v>
      </c>
      <c r="M57" s="2"/>
      <c r="N57" s="7">
        <f t="shared" si="15"/>
        <v>-0.10188079142910371</v>
      </c>
      <c r="O57" s="11"/>
      <c r="P57" s="6">
        <v>239.76</v>
      </c>
      <c r="Q57" s="2"/>
      <c r="R57" s="7">
        <f t="shared" si="16"/>
        <v>2.4867337380879016E-3</v>
      </c>
      <c r="S57" s="2"/>
      <c r="T57" s="6">
        <v>282.26032569230699</v>
      </c>
      <c r="U57" s="2"/>
      <c r="V57" s="7">
        <f t="shared" si="17"/>
        <v>2.5996327554851117E-3</v>
      </c>
      <c r="W57" s="2"/>
      <c r="X57" s="6">
        <f t="shared" si="18"/>
        <v>-42.500325692307001</v>
      </c>
      <c r="Y57" s="2"/>
      <c r="Z57" s="7">
        <f t="shared" si="19"/>
        <v>-0.15057137622181008</v>
      </c>
    </row>
    <row r="58" spans="1:26" s="24" customFormat="1" hidden="1" outlineLevel="2" x14ac:dyDescent="0.25">
      <c r="A58" s="27"/>
      <c r="B58" s="11" t="str">
        <f>CONCATENATE("          ", "6113", " - ", "GROUP INSURANCE")</f>
        <v xml:space="preserve">          6113 - GROUP INSURANCE</v>
      </c>
      <c r="C58" s="11"/>
      <c r="D58" s="6">
        <v>924.25</v>
      </c>
      <c r="E58" s="2"/>
      <c r="F58" s="7">
        <f t="shared" si="12"/>
        <v>1.1542619773178938E-2</v>
      </c>
      <c r="G58" s="2"/>
      <c r="H58" s="6">
        <v>790.8</v>
      </c>
      <c r="I58" s="2"/>
      <c r="J58" s="7">
        <f t="shared" si="13"/>
        <v>8.5837096213963182E-3</v>
      </c>
      <c r="K58" s="2"/>
      <c r="L58" s="6">
        <f t="shared" si="14"/>
        <v>133.45000000000005</v>
      </c>
      <c r="M58" s="2"/>
      <c r="N58" s="7">
        <f t="shared" si="15"/>
        <v>0.16875316135558935</v>
      </c>
      <c r="O58" s="11"/>
      <c r="P58" s="6">
        <v>1848.5</v>
      </c>
      <c r="Q58" s="2"/>
      <c r="R58" s="7">
        <f t="shared" si="16"/>
        <v>1.9172202681245774E-2</v>
      </c>
      <c r="S58" s="2"/>
      <c r="T58" s="6">
        <v>1581.6</v>
      </c>
      <c r="U58" s="2"/>
      <c r="V58" s="7">
        <f t="shared" si="17"/>
        <v>1.4566620923399982E-2</v>
      </c>
      <c r="W58" s="2"/>
      <c r="X58" s="6">
        <f t="shared" si="18"/>
        <v>266.90000000000009</v>
      </c>
      <c r="Y58" s="2"/>
      <c r="Z58" s="7">
        <f t="shared" si="19"/>
        <v>0.16875316135558935</v>
      </c>
    </row>
    <row r="59" spans="1:26" s="24" customFormat="1" hidden="1" outlineLevel="2" x14ac:dyDescent="0.25">
      <c r="A59" s="27"/>
      <c r="B59" s="11" t="str">
        <f>CONCATENATE("          ", "6114", " - ", "STATE UNEMPLOYMENT INSURANCE")</f>
        <v xml:space="preserve">          6114 - STATE UNEMPLOYMENT INSURANCE</v>
      </c>
      <c r="C59" s="11"/>
      <c r="D59" s="6">
        <v>16.68</v>
      </c>
      <c r="E59" s="2"/>
      <c r="F59" s="7">
        <f t="shared" si="12"/>
        <v>2.0831041148674565E-4</v>
      </c>
      <c r="G59" s="2"/>
      <c r="H59" s="6">
        <v>18.571793199999998</v>
      </c>
      <c r="I59" s="2"/>
      <c r="J59" s="7">
        <f t="shared" si="13"/>
        <v>2.0158684873219866E-4</v>
      </c>
      <c r="K59" s="2"/>
      <c r="L59" s="6">
        <f t="shared" si="14"/>
        <v>-1.8917931999999986</v>
      </c>
      <c r="M59" s="2"/>
      <c r="N59" s="7">
        <f t="shared" si="15"/>
        <v>-0.10186378771437099</v>
      </c>
      <c r="O59" s="11"/>
      <c r="P59" s="6">
        <v>32.81</v>
      </c>
      <c r="Q59" s="2"/>
      <c r="R59" s="7">
        <f t="shared" si="16"/>
        <v>3.40297522300067E-4</v>
      </c>
      <c r="S59" s="2"/>
      <c r="T59" s="6">
        <v>38.625097199999999</v>
      </c>
      <c r="U59" s="2"/>
      <c r="V59" s="7">
        <f t="shared" si="17"/>
        <v>3.5573921917164778E-4</v>
      </c>
      <c r="W59" s="2"/>
      <c r="X59" s="6">
        <f t="shared" si="18"/>
        <v>-5.8150971999999967</v>
      </c>
      <c r="Y59" s="2"/>
      <c r="Z59" s="7">
        <f t="shared" si="19"/>
        <v>-0.15055229945155962</v>
      </c>
    </row>
    <row r="60" spans="1:26" s="24" customFormat="1" hidden="1" outlineLevel="2" x14ac:dyDescent="0.25">
      <c r="A60" s="27"/>
      <c r="B60" s="11" t="str">
        <f>CONCATENATE("          ", "6115", " - ", "P.E.R.S.")</f>
        <v xml:space="preserve">          6115 - P.E.R.S.</v>
      </c>
      <c r="C60" s="11"/>
      <c r="D60" s="6">
        <v>183.4</v>
      </c>
      <c r="E60" s="2"/>
      <c r="F60" s="7">
        <f t="shared" si="12"/>
        <v>2.2904154356516281E-3</v>
      </c>
      <c r="G60" s="2"/>
      <c r="H60" s="6">
        <v>196.01527507692302</v>
      </c>
      <c r="I60" s="2"/>
      <c r="J60" s="7">
        <f t="shared" si="13"/>
        <v>2.1276406204077266E-3</v>
      </c>
      <c r="K60" s="2"/>
      <c r="L60" s="6">
        <f t="shared" si="14"/>
        <v>-12.615275076923012</v>
      </c>
      <c r="M60" s="2"/>
      <c r="N60" s="7">
        <f t="shared" si="15"/>
        <v>-6.4358632621729875E-2</v>
      </c>
      <c r="O60" s="11"/>
      <c r="P60" s="6">
        <v>366.8</v>
      </c>
      <c r="Q60" s="2"/>
      <c r="R60" s="7">
        <f t="shared" si="16"/>
        <v>3.8043624254698134E-3</v>
      </c>
      <c r="S60" s="2"/>
      <c r="T60" s="6">
        <v>441.03436892307701</v>
      </c>
      <c r="U60" s="2"/>
      <c r="V60" s="7">
        <f t="shared" si="17"/>
        <v>4.0619502189513153E-3</v>
      </c>
      <c r="W60" s="2"/>
      <c r="X60" s="6">
        <f t="shared" si="18"/>
        <v>-74.234368923077</v>
      </c>
      <c r="Y60" s="2"/>
      <c r="Z60" s="7">
        <f t="shared" si="19"/>
        <v>-0.1683187845526492</v>
      </c>
    </row>
    <row r="61" spans="1:26" s="24" customFormat="1" hidden="1" outlineLevel="2" x14ac:dyDescent="0.25">
      <c r="A61" s="27"/>
      <c r="B61" s="11" t="str">
        <f>CONCATENATE("          ", "6116", " - ", "EDUCATIONAL BENEFITS")</f>
        <v xml:space="preserve">          6116 - EDUCATIONAL BENEFITS</v>
      </c>
      <c r="C61" s="11"/>
      <c r="D61" s="6"/>
      <c r="E61" s="2"/>
      <c r="F61" s="7">
        <f t="shared" si="12"/>
        <v>0</v>
      </c>
      <c r="G61" s="2"/>
      <c r="H61" s="6">
        <v>0</v>
      </c>
      <c r="I61" s="2"/>
      <c r="J61" s="7">
        <f t="shared" si="13"/>
        <v>0</v>
      </c>
      <c r="K61" s="2"/>
      <c r="L61" s="6">
        <f t="shared" si="14"/>
        <v>0</v>
      </c>
      <c r="M61" s="2"/>
      <c r="N61" s="7">
        <f t="shared" si="15"/>
        <v>0</v>
      </c>
      <c r="O61" s="11"/>
      <c r="P61" s="6"/>
      <c r="Q61" s="2"/>
      <c r="R61" s="7">
        <f t="shared" si="16"/>
        <v>0</v>
      </c>
      <c r="S61" s="2"/>
      <c r="T61" s="6">
        <v>0</v>
      </c>
      <c r="U61" s="2"/>
      <c r="V61" s="7">
        <f t="shared" si="17"/>
        <v>0</v>
      </c>
      <c r="W61" s="2"/>
      <c r="X61" s="6">
        <f t="shared" si="18"/>
        <v>0</v>
      </c>
      <c r="Y61" s="2"/>
      <c r="Z61" s="7">
        <f t="shared" si="19"/>
        <v>0</v>
      </c>
    </row>
    <row r="62" spans="1:26" s="24" customFormat="1" hidden="1" outlineLevel="2" x14ac:dyDescent="0.25">
      <c r="A62" s="27"/>
      <c r="B62" s="11" t="str">
        <f>CONCATENATE("          ", "6118", " - ", "VACATION")</f>
        <v xml:space="preserve">          6118 - VACATION</v>
      </c>
      <c r="C62" s="11"/>
      <c r="D62" s="6">
        <v>151.31</v>
      </c>
      <c r="E62" s="2"/>
      <c r="F62" s="7">
        <f t="shared" si="12"/>
        <v>1.889655177581504E-3</v>
      </c>
      <c r="G62" s="2"/>
      <c r="H62" s="6">
        <v>113.962369230769</v>
      </c>
      <c r="I62" s="2"/>
      <c r="J62" s="7">
        <f t="shared" si="13"/>
        <v>1.2370003607021644E-3</v>
      </c>
      <c r="K62" s="2"/>
      <c r="L62" s="6">
        <f t="shared" si="14"/>
        <v>37.347630769231003</v>
      </c>
      <c r="M62" s="2"/>
      <c r="N62" s="7">
        <f t="shared" si="15"/>
        <v>0.3277189744414985</v>
      </c>
      <c r="O62" s="11"/>
      <c r="P62" s="6">
        <v>464.63</v>
      </c>
      <c r="Q62" s="2"/>
      <c r="R62" s="7">
        <f t="shared" si="16"/>
        <v>4.8190319349673922E-3</v>
      </c>
      <c r="S62" s="2"/>
      <c r="T62" s="6">
        <v>256.41533076923099</v>
      </c>
      <c r="U62" s="2"/>
      <c r="V62" s="7">
        <f t="shared" si="17"/>
        <v>2.3615989645065804E-3</v>
      </c>
      <c r="W62" s="2"/>
      <c r="X62" s="6">
        <f t="shared" si="18"/>
        <v>208.214669230769</v>
      </c>
      <c r="Y62" s="2"/>
      <c r="Z62" s="7">
        <f t="shared" si="19"/>
        <v>0.81202114010163584</v>
      </c>
    </row>
    <row r="63" spans="1:26" s="24" customFormat="1" hidden="1" outlineLevel="2" x14ac:dyDescent="0.25">
      <c r="A63" s="27"/>
      <c r="B63" s="11" t="str">
        <f>CONCATENATE("          ", "6119", " - ", "SICK LEAVE")</f>
        <v xml:space="preserve">          6119 - SICK LEAVE</v>
      </c>
      <c r="C63" s="11"/>
      <c r="D63" s="6">
        <v>121.11</v>
      </c>
      <c r="E63" s="2"/>
      <c r="F63" s="7">
        <f t="shared" si="12"/>
        <v>1.5124984373596983E-3</v>
      </c>
      <c r="G63" s="2"/>
      <c r="H63" s="6">
        <v>117.014921538462</v>
      </c>
      <c r="I63" s="2"/>
      <c r="J63" s="7">
        <f t="shared" si="13"/>
        <v>1.2701341778662513E-3</v>
      </c>
      <c r="K63" s="2"/>
      <c r="L63" s="6">
        <f t="shared" si="14"/>
        <v>4.0950784615379945</v>
      </c>
      <c r="M63" s="2"/>
      <c r="N63" s="7">
        <f t="shared" si="15"/>
        <v>3.4996207387037986E-2</v>
      </c>
      <c r="O63" s="11"/>
      <c r="P63" s="6">
        <v>449.73</v>
      </c>
      <c r="Q63" s="2"/>
      <c r="R63" s="7">
        <f t="shared" si="16"/>
        <v>4.6644926761356034E-3</v>
      </c>
      <c r="S63" s="2"/>
      <c r="T63" s="6">
        <v>251.12419846153901</v>
      </c>
      <c r="U63" s="2"/>
      <c r="V63" s="7">
        <f t="shared" si="17"/>
        <v>2.3128673518474354E-3</v>
      </c>
      <c r="W63" s="2"/>
      <c r="X63" s="6">
        <f t="shared" si="18"/>
        <v>198.60580153846101</v>
      </c>
      <c r="Y63" s="2"/>
      <c r="Z63" s="7">
        <f t="shared" si="19"/>
        <v>0.79086684101006111</v>
      </c>
    </row>
    <row r="64" spans="1:26" s="26" customFormat="1" outlineLevel="1" collapsed="1" x14ac:dyDescent="0.25">
      <c r="A64" s="25"/>
      <c r="B64" s="13" t="str">
        <f>CONCATENATE("     ","*Payroll                                          ")</f>
        <v xml:space="preserve">     *Payroll                                          </v>
      </c>
      <c r="C64" s="13"/>
      <c r="D64" s="1">
        <f>SUM(OSRRefD22_1x_0)</f>
        <v>7186.8899999999994</v>
      </c>
      <c r="E64" s="1"/>
      <c r="F64" s="5">
        <f t="shared" ref="F64:F74" si="20">IF(D$12=0,0,D64/D$12)</f>
        <v>8.9754437242804408E-2</v>
      </c>
      <c r="G64" s="1"/>
      <c r="H64" s="1">
        <f>SUM(OSRRefH22_1x_0)</f>
        <v>6960.6575938461501</v>
      </c>
      <c r="I64" s="1"/>
      <c r="J64" s="5">
        <f t="shared" ref="J64:J74" si="21">IF(H$12=0,0,H64/H$12)</f>
        <v>7.5554202781414448E-2</v>
      </c>
      <c r="K64" s="1"/>
      <c r="L64" s="1">
        <f t="shared" ref="L64:L74" si="22">+D64-H64</f>
        <v>226.2324061538493</v>
      </c>
      <c r="M64" s="1"/>
      <c r="N64" s="5">
        <f t="shared" ref="N64:N74" si="23">IF(H64=0,0,L64/H64)</f>
        <v>3.2501585245891015E-2</v>
      </c>
      <c r="O64" s="13"/>
      <c r="P64" s="1">
        <f>SUM(OSRRefP22_1x_0)</f>
        <v>14692.68</v>
      </c>
      <c r="Q64" s="1"/>
      <c r="R64" s="5">
        <f t="shared" ref="R64:R74" si="24">IF(P$12=0,0,P64/P$12)</f>
        <v>0.15238898506393625</v>
      </c>
      <c r="S64" s="1"/>
      <c r="T64" s="1">
        <f>SUM(OSRRefT22_1x_0)</f>
        <v>14445.542086153841</v>
      </c>
      <c r="U64" s="1"/>
      <c r="V64" s="5">
        <f t="shared" ref="V64:V74" si="25">IF(T$12=0,0,T64/T$12)</f>
        <v>0.13304421826126933</v>
      </c>
      <c r="W64" s="1"/>
      <c r="X64" s="1">
        <f t="shared" ref="X64:X74" si="26">+P64-T64</f>
        <v>247.13791384615979</v>
      </c>
      <c r="Y64" s="1"/>
      <c r="Z64" s="5">
        <f t="shared" ref="Z64:Z74" si="27">IF(T64=0,0,X64/T64)</f>
        <v>1.7108247815984925E-2</v>
      </c>
    </row>
    <row r="65" spans="1:26" s="24" customFormat="1" hidden="1" outlineLevel="2" x14ac:dyDescent="0.25">
      <c r="A65" s="27"/>
      <c r="B65" s="11" t="str">
        <f>CONCATENATE("          ", "6001", " - ", "ADMINISTRATIVE SALARIES")</f>
        <v xml:space="preserve">          6001 - ADMINISTRATIVE SALARIES</v>
      </c>
      <c r="C65" s="11"/>
      <c r="D65" s="6"/>
      <c r="E65" s="2"/>
      <c r="F65" s="7">
        <f t="shared" si="20"/>
        <v>0</v>
      </c>
      <c r="G65" s="2"/>
      <c r="H65" s="6">
        <v>2096.9075938461501</v>
      </c>
      <c r="I65" s="2"/>
      <c r="J65" s="7">
        <f t="shared" si="21"/>
        <v>2.2760806636919831E-2</v>
      </c>
      <c r="K65" s="2"/>
      <c r="L65" s="6">
        <f t="shared" si="22"/>
        <v>-2096.9075938461501</v>
      </c>
      <c r="M65" s="2"/>
      <c r="N65" s="7">
        <f t="shared" si="23"/>
        <v>-1</v>
      </c>
      <c r="O65" s="11"/>
      <c r="P65" s="6"/>
      <c r="Q65" s="2"/>
      <c r="R65" s="7">
        <f t="shared" si="24"/>
        <v>0</v>
      </c>
      <c r="S65" s="2"/>
      <c r="T65" s="6">
        <v>4718.0420861538405</v>
      </c>
      <c r="U65" s="2"/>
      <c r="V65" s="7">
        <f t="shared" si="25"/>
        <v>4.3453420946920993E-2</v>
      </c>
      <c r="W65" s="2"/>
      <c r="X65" s="6">
        <f t="shared" si="26"/>
        <v>-4718.0420861538405</v>
      </c>
      <c r="Y65" s="2"/>
      <c r="Z65" s="7">
        <f t="shared" si="27"/>
        <v>-1</v>
      </c>
    </row>
    <row r="66" spans="1:26" s="24" customFormat="1" hidden="1" outlineLevel="2" x14ac:dyDescent="0.25">
      <c r="A66" s="27"/>
      <c r="B66" s="11" t="str">
        <f>CONCATENATE("          ", "6002", " - ", "STAFF SALARIES")</f>
        <v xml:space="preserve">          6002 - STAFF SALARIES</v>
      </c>
      <c r="C66" s="11"/>
      <c r="D66" s="6">
        <v>2626.7</v>
      </c>
      <c r="E66" s="2"/>
      <c r="F66" s="7">
        <f t="shared" si="20"/>
        <v>3.2803894355649572E-2</v>
      </c>
      <c r="G66" s="2"/>
      <c r="H66" s="6">
        <v>0</v>
      </c>
      <c r="I66" s="2"/>
      <c r="J66" s="7">
        <f t="shared" si="21"/>
        <v>0</v>
      </c>
      <c r="K66" s="2"/>
      <c r="L66" s="6">
        <f t="shared" si="22"/>
        <v>2626.7</v>
      </c>
      <c r="M66" s="2"/>
      <c r="N66" s="7">
        <f t="shared" si="23"/>
        <v>0</v>
      </c>
      <c r="O66" s="11"/>
      <c r="P66" s="6">
        <v>5777.11</v>
      </c>
      <c r="Q66" s="2"/>
      <c r="R66" s="7">
        <f t="shared" si="24"/>
        <v>5.9918811918772935E-2</v>
      </c>
      <c r="S66" s="2"/>
      <c r="T66" s="6">
        <v>0</v>
      </c>
      <c r="U66" s="2"/>
      <c r="V66" s="7">
        <f t="shared" si="25"/>
        <v>0</v>
      </c>
      <c r="W66" s="2"/>
      <c r="X66" s="6">
        <f t="shared" si="26"/>
        <v>5777.11</v>
      </c>
      <c r="Y66" s="2"/>
      <c r="Z66" s="7">
        <f t="shared" si="27"/>
        <v>0</v>
      </c>
    </row>
    <row r="67" spans="1:26" s="24" customFormat="1" hidden="1" outlineLevel="2" x14ac:dyDescent="0.25">
      <c r="A67" s="27"/>
      <c r="B67" s="11" t="str">
        <f>CONCATENATE("          ", "6003", " - ", "STAFF HOURLY-9 MONTH")</f>
        <v xml:space="preserve">          6003 - STAFF HOURLY-9 MONTH</v>
      </c>
      <c r="C67" s="11"/>
      <c r="D67" s="6"/>
      <c r="E67" s="2"/>
      <c r="F67" s="7">
        <f t="shared" si="20"/>
        <v>0</v>
      </c>
      <c r="G67" s="2"/>
      <c r="H67" s="6">
        <v>0</v>
      </c>
      <c r="I67" s="2"/>
      <c r="J67" s="7">
        <f t="shared" si="21"/>
        <v>0</v>
      </c>
      <c r="K67" s="2"/>
      <c r="L67" s="6">
        <f t="shared" si="22"/>
        <v>0</v>
      </c>
      <c r="M67" s="2"/>
      <c r="N67" s="7">
        <f t="shared" si="23"/>
        <v>0</v>
      </c>
      <c r="O67" s="11"/>
      <c r="P67" s="6"/>
      <c r="Q67" s="2"/>
      <c r="R67" s="7">
        <f t="shared" si="24"/>
        <v>0</v>
      </c>
      <c r="S67" s="2"/>
      <c r="T67" s="6">
        <v>0</v>
      </c>
      <c r="U67" s="2"/>
      <c r="V67" s="7">
        <f t="shared" si="25"/>
        <v>0</v>
      </c>
      <c r="W67" s="2"/>
      <c r="X67" s="6">
        <f t="shared" si="26"/>
        <v>0</v>
      </c>
      <c r="Y67" s="2"/>
      <c r="Z67" s="7">
        <f t="shared" si="27"/>
        <v>0</v>
      </c>
    </row>
    <row r="68" spans="1:26" s="24" customFormat="1" hidden="1" outlineLevel="2" x14ac:dyDescent="0.25">
      <c r="A68" s="27"/>
      <c r="B68" s="11" t="str">
        <f>CONCATENATE("          ", "6004", " - ", "STAFF HOURLY")</f>
        <v xml:space="preserve">          6004 - STAFF HOURLY</v>
      </c>
      <c r="C68" s="11"/>
      <c r="D68" s="6"/>
      <c r="E68" s="2"/>
      <c r="F68" s="7">
        <f t="shared" si="20"/>
        <v>0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0</v>
      </c>
      <c r="M68" s="2"/>
      <c r="N68" s="7">
        <f t="shared" si="23"/>
        <v>0</v>
      </c>
      <c r="O68" s="11"/>
      <c r="P68" s="6"/>
      <c r="Q68" s="2"/>
      <c r="R68" s="7">
        <f t="shared" si="24"/>
        <v>0</v>
      </c>
      <c r="S68" s="2"/>
      <c r="T68" s="6">
        <v>0</v>
      </c>
      <c r="U68" s="2"/>
      <c r="V68" s="7">
        <f t="shared" si="25"/>
        <v>0</v>
      </c>
      <c r="W68" s="2"/>
      <c r="X68" s="6">
        <f t="shared" si="26"/>
        <v>0</v>
      </c>
      <c r="Y68" s="2"/>
      <c r="Z68" s="7">
        <f t="shared" si="27"/>
        <v>0</v>
      </c>
    </row>
    <row r="69" spans="1:26" s="24" customFormat="1" hidden="1" outlineLevel="2" x14ac:dyDescent="0.25">
      <c r="A69" s="27"/>
      <c r="B69" s="11" t="str">
        <f>CONCATENATE("          ", "6005", " - ", "TEMPORARY WAGES-HOURLY")</f>
        <v xml:space="preserve">          6005 - TEMPORARY WAGES-HOURLY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4" customFormat="1" hidden="1" outlineLevel="2" x14ac:dyDescent="0.25">
      <c r="A70" s="27"/>
      <c r="B70" s="11" t="str">
        <f>CONCATENATE("          ", "6006", " - ", "TEMPORARY PART TIME")</f>
        <v xml:space="preserve">          6006 - TEMPORARY PART TIME</v>
      </c>
      <c r="C70" s="11"/>
      <c r="D70" s="6"/>
      <c r="E70" s="2"/>
      <c r="F70" s="7">
        <f t="shared" si="20"/>
        <v>0</v>
      </c>
      <c r="G70" s="2"/>
      <c r="H70" s="6">
        <v>0</v>
      </c>
      <c r="I70" s="2"/>
      <c r="J70" s="7">
        <f t="shared" si="21"/>
        <v>0</v>
      </c>
      <c r="K70" s="2"/>
      <c r="L70" s="6">
        <f t="shared" si="22"/>
        <v>0</v>
      </c>
      <c r="M70" s="2"/>
      <c r="N70" s="7">
        <f t="shared" si="23"/>
        <v>0</v>
      </c>
      <c r="O70" s="11"/>
      <c r="P70" s="6"/>
      <c r="Q70" s="2"/>
      <c r="R70" s="7">
        <f t="shared" si="24"/>
        <v>0</v>
      </c>
      <c r="S70" s="2"/>
      <c r="T70" s="6">
        <v>0</v>
      </c>
      <c r="U70" s="2"/>
      <c r="V70" s="7">
        <f t="shared" si="25"/>
        <v>0</v>
      </c>
      <c r="W70" s="2"/>
      <c r="X70" s="6">
        <f t="shared" si="26"/>
        <v>0</v>
      </c>
      <c r="Y70" s="2"/>
      <c r="Z70" s="7">
        <f t="shared" si="27"/>
        <v>0</v>
      </c>
    </row>
    <row r="71" spans="1:26" s="24" customFormat="1" hidden="1" outlineLevel="2" x14ac:dyDescent="0.25">
      <c r="A71" s="27"/>
      <c r="B71" s="11" t="str">
        <f>CONCATENATE("          ", "6007", " - ", "STUDENT HOURLY")</f>
        <v xml:space="preserve">          6007 - STUDENT HOURLY</v>
      </c>
      <c r="C71" s="11"/>
      <c r="D71" s="6">
        <v>4560.1899999999996</v>
      </c>
      <c r="E71" s="2"/>
      <c r="F71" s="7">
        <f t="shared" si="20"/>
        <v>5.6950542887154836E-2</v>
      </c>
      <c r="G71" s="2"/>
      <c r="H71" s="6">
        <v>4863.75</v>
      </c>
      <c r="I71" s="2"/>
      <c r="J71" s="7">
        <f t="shared" si="21"/>
        <v>5.2793396144494617E-2</v>
      </c>
      <c r="K71" s="2"/>
      <c r="L71" s="6">
        <f t="shared" si="22"/>
        <v>-303.5600000000004</v>
      </c>
      <c r="M71" s="2"/>
      <c r="N71" s="7">
        <f t="shared" si="23"/>
        <v>-6.2412747365715837E-2</v>
      </c>
      <c r="O71" s="11"/>
      <c r="P71" s="6">
        <v>8915.57</v>
      </c>
      <c r="Q71" s="2"/>
      <c r="R71" s="7">
        <f t="shared" si="24"/>
        <v>9.2470173145163315E-2</v>
      </c>
      <c r="S71" s="2"/>
      <c r="T71" s="6">
        <v>9727.5</v>
      </c>
      <c r="U71" s="2"/>
      <c r="V71" s="7">
        <f t="shared" si="25"/>
        <v>8.9590797314348339E-2</v>
      </c>
      <c r="W71" s="2"/>
      <c r="X71" s="6">
        <f t="shared" si="26"/>
        <v>-811.93000000000029</v>
      </c>
      <c r="Y71" s="2"/>
      <c r="Z71" s="7">
        <f t="shared" si="27"/>
        <v>-8.3467489077358042E-2</v>
      </c>
    </row>
    <row r="72" spans="1:26" s="24" customFormat="1" hidden="1" outlineLevel="2" x14ac:dyDescent="0.25">
      <c r="A72" s="27"/>
      <c r="B72" s="11" t="str">
        <f>CONCATENATE("          ", "6008", " - ", "STUDENT HOURLY-FICA EXEMPT")</f>
        <v xml:space="preserve">          6008 - STUDENT HOURLY-FICA EXEMPT</v>
      </c>
      <c r="C72" s="11"/>
      <c r="D72" s="6"/>
      <c r="E72" s="2"/>
      <c r="F72" s="7">
        <f t="shared" si="20"/>
        <v>0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0</v>
      </c>
      <c r="M72" s="2"/>
      <c r="N72" s="7">
        <f t="shared" si="23"/>
        <v>0</v>
      </c>
      <c r="O72" s="11"/>
      <c r="P72" s="6"/>
      <c r="Q72" s="2"/>
      <c r="R72" s="7">
        <f t="shared" si="24"/>
        <v>0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0</v>
      </c>
      <c r="Y72" s="2"/>
      <c r="Z72" s="7">
        <f t="shared" si="27"/>
        <v>0</v>
      </c>
    </row>
    <row r="73" spans="1:26" s="24" customFormat="1" hidden="1" outlineLevel="2" x14ac:dyDescent="0.25">
      <c r="A73" s="27"/>
      <c r="B73" s="11" t="str">
        <f>CONCATENATE("          ", "6009", " - ", "TEMPORARY-SEASONAL")</f>
        <v xml:space="preserve">          6009 - TEMPORARY-SEASONAL</v>
      </c>
      <c r="C73" s="11"/>
      <c r="D73" s="6"/>
      <c r="E73" s="2"/>
      <c r="F73" s="7">
        <f t="shared" si="20"/>
        <v>0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0</v>
      </c>
      <c r="M73" s="2"/>
      <c r="N73" s="7">
        <f t="shared" si="23"/>
        <v>0</v>
      </c>
      <c r="O73" s="11"/>
      <c r="P73" s="6"/>
      <c r="Q73" s="2"/>
      <c r="R73" s="7">
        <f t="shared" si="24"/>
        <v>0</v>
      </c>
      <c r="S73" s="2"/>
      <c r="T73" s="6">
        <v>0</v>
      </c>
      <c r="U73" s="2"/>
      <c r="V73" s="7">
        <f t="shared" si="25"/>
        <v>0</v>
      </c>
      <c r="W73" s="2"/>
      <c r="X73" s="6">
        <f t="shared" si="26"/>
        <v>0</v>
      </c>
      <c r="Y73" s="2"/>
      <c r="Z73" s="7">
        <f t="shared" si="27"/>
        <v>0</v>
      </c>
    </row>
    <row r="74" spans="1:26" s="24" customFormat="1" hidden="1" outlineLevel="2" x14ac:dyDescent="0.25">
      <c r="A74" s="27"/>
      <c r="B74" s="11" t="str">
        <f>CONCATENATE("          ", "6010", " - ", "GRATUITY")</f>
        <v xml:space="preserve">          6010 - GRATUITY</v>
      </c>
      <c r="C74" s="11"/>
      <c r="D74" s="6"/>
      <c r="E74" s="2"/>
      <c r="F74" s="7">
        <f t="shared" si="20"/>
        <v>0</v>
      </c>
      <c r="G74" s="2"/>
      <c r="H74" s="6">
        <v>0</v>
      </c>
      <c r="I74" s="2"/>
      <c r="J74" s="7">
        <f t="shared" si="21"/>
        <v>0</v>
      </c>
      <c r="K74" s="2"/>
      <c r="L74" s="6">
        <f t="shared" si="22"/>
        <v>0</v>
      </c>
      <c r="M74" s="2"/>
      <c r="N74" s="7">
        <f t="shared" si="23"/>
        <v>0</v>
      </c>
      <c r="O74" s="11"/>
      <c r="P74" s="6"/>
      <c r="Q74" s="2"/>
      <c r="R74" s="7">
        <f t="shared" si="24"/>
        <v>0</v>
      </c>
      <c r="S74" s="2"/>
      <c r="T74" s="6">
        <v>0</v>
      </c>
      <c r="U74" s="2"/>
      <c r="V74" s="7">
        <f t="shared" si="25"/>
        <v>0</v>
      </c>
      <c r="W74" s="2"/>
      <c r="X74" s="6">
        <f t="shared" si="26"/>
        <v>0</v>
      </c>
      <c r="Y74" s="2"/>
      <c r="Z74" s="7">
        <f t="shared" si="27"/>
        <v>0</v>
      </c>
    </row>
    <row r="75" spans="1:26" s="26" customFormat="1" outlineLevel="1" collapsed="1" x14ac:dyDescent="0.25">
      <c r="A75" s="25"/>
      <c r="B75" s="13" t="str">
        <f>CONCATENATE("     ","Advertising/Promo                                 ")</f>
        <v xml:space="preserve">     Advertising/Promo                                 </v>
      </c>
      <c r="C75" s="13"/>
      <c r="D75" s="1">
        <f>SUM(OSRRefD22_2x_0)</f>
        <v>0</v>
      </c>
      <c r="E75" s="1"/>
      <c r="F75" s="5">
        <f t="shared" ref="F75:F79" si="28">IF(D$12=0,0,D75/D$12)</f>
        <v>0</v>
      </c>
      <c r="G75" s="1"/>
      <c r="H75" s="1">
        <f>SUM(OSRRefH22_2x_0)</f>
        <v>80</v>
      </c>
      <c r="I75" s="1"/>
      <c r="J75" s="5">
        <f t="shared" ref="J75:J79" si="29">IF(H$12=0,0,H75/H$12)</f>
        <v>8.6835706842653695E-4</v>
      </c>
      <c r="K75" s="1"/>
      <c r="L75" s="1">
        <f t="shared" ref="L75:L79" si="30">+D75-H75</f>
        <v>-80</v>
      </c>
      <c r="M75" s="1"/>
      <c r="N75" s="5">
        <f t="shared" ref="N75:N79" si="31">IF(H75=0,0,L75/H75)</f>
        <v>-1</v>
      </c>
      <c r="O75" s="13"/>
      <c r="P75" s="1">
        <f>SUM(OSRRefP22_2x_0)</f>
        <v>0</v>
      </c>
      <c r="Q75" s="1"/>
      <c r="R75" s="5">
        <f t="shared" ref="R75:R79" si="32">IF(P$12=0,0,P75/P$12)</f>
        <v>0</v>
      </c>
      <c r="S75" s="1"/>
      <c r="T75" s="1">
        <f>SUM(OSRRefT22_2x_0)</f>
        <v>160</v>
      </c>
      <c r="U75" s="1"/>
      <c r="V75" s="5">
        <f t="shared" ref="V75:V79" si="33">IF(T$12=0,0,T75/T$12)</f>
        <v>1.4736085911380863E-3</v>
      </c>
      <c r="W75" s="1"/>
      <c r="X75" s="1">
        <f t="shared" ref="X75:X79" si="34">+P75-T75</f>
        <v>-160</v>
      </c>
      <c r="Y75" s="1"/>
      <c r="Z75" s="5">
        <f t="shared" ref="Z75:Z79" si="35">IF(T75=0,0,X75/T75)</f>
        <v>-1</v>
      </c>
    </row>
    <row r="76" spans="1:26" s="24" customFormat="1" hidden="1" outlineLevel="2" x14ac:dyDescent="0.25">
      <c r="A76" s="27"/>
      <c r="B76" s="11" t="str">
        <f>CONCATENATE("          ", "6362", " - ", "ADVERTISING EXPENSE")</f>
        <v xml:space="preserve">          6362 - ADVERTISING EXPENSE</v>
      </c>
      <c r="C76" s="11"/>
      <c r="D76" s="6"/>
      <c r="E76" s="2"/>
      <c r="F76" s="7">
        <f t="shared" si="28"/>
        <v>0</v>
      </c>
      <c r="G76" s="2"/>
      <c r="H76" s="6">
        <v>80</v>
      </c>
      <c r="I76" s="2"/>
      <c r="J76" s="7">
        <f t="shared" si="29"/>
        <v>8.6835706842653695E-4</v>
      </c>
      <c r="K76" s="2"/>
      <c r="L76" s="6">
        <f t="shared" si="30"/>
        <v>-80</v>
      </c>
      <c r="M76" s="2"/>
      <c r="N76" s="7">
        <f t="shared" si="31"/>
        <v>-1</v>
      </c>
      <c r="O76" s="11"/>
      <c r="P76" s="6"/>
      <c r="Q76" s="2"/>
      <c r="R76" s="7">
        <f t="shared" si="32"/>
        <v>0</v>
      </c>
      <c r="S76" s="2"/>
      <c r="T76" s="6">
        <v>160</v>
      </c>
      <c r="U76" s="2"/>
      <c r="V76" s="7">
        <f t="shared" si="33"/>
        <v>1.4736085911380863E-3</v>
      </c>
      <c r="W76" s="2"/>
      <c r="X76" s="6">
        <f t="shared" si="34"/>
        <v>-160</v>
      </c>
      <c r="Y76" s="2"/>
      <c r="Z76" s="7">
        <f t="shared" si="35"/>
        <v>-1</v>
      </c>
    </row>
    <row r="77" spans="1:26" s="26" customFormat="1" outlineLevel="1" collapsed="1" x14ac:dyDescent="0.25">
      <c r="A77" s="25"/>
      <c r="B77" s="13" t="str">
        <f>CONCATENATE("     ","Discounts and Markdowns                           ")</f>
        <v xml:space="preserve">     Discounts and Markdowns                           </v>
      </c>
      <c r="C77" s="13"/>
      <c r="D77" s="1">
        <f>SUM(OSRRefD22_3x_0)</f>
        <v>905.36</v>
      </c>
      <c r="E77" s="1"/>
      <c r="F77" s="5">
        <f t="shared" si="28"/>
        <v>1.1306709481033577E-2</v>
      </c>
      <c r="G77" s="1"/>
      <c r="H77" s="1">
        <f>SUM(OSRRefH22_3x_0)</f>
        <v>1250</v>
      </c>
      <c r="I77" s="1"/>
      <c r="J77" s="5">
        <f t="shared" si="29"/>
        <v>1.3568079194164641E-2</v>
      </c>
      <c r="K77" s="1"/>
      <c r="L77" s="1">
        <f t="shared" si="30"/>
        <v>-344.64</v>
      </c>
      <c r="M77" s="1"/>
      <c r="N77" s="5">
        <f t="shared" si="31"/>
        <v>-0.27571200000000001</v>
      </c>
      <c r="O77" s="13"/>
      <c r="P77" s="1">
        <f>SUM(OSRRefP22_3x_0)</f>
        <v>3060.47</v>
      </c>
      <c r="Q77" s="1"/>
      <c r="R77" s="5">
        <f t="shared" si="32"/>
        <v>3.1742467481672844E-2</v>
      </c>
      <c r="S77" s="1"/>
      <c r="T77" s="1">
        <f>SUM(OSRRefT22_3x_0)</f>
        <v>2500</v>
      </c>
      <c r="U77" s="1"/>
      <c r="V77" s="5">
        <f t="shared" si="33"/>
        <v>2.3025134236532598E-2</v>
      </c>
      <c r="W77" s="1"/>
      <c r="X77" s="1">
        <f t="shared" si="34"/>
        <v>560.4699999999998</v>
      </c>
      <c r="Y77" s="1"/>
      <c r="Z77" s="5">
        <f t="shared" si="35"/>
        <v>0.22418799999999992</v>
      </c>
    </row>
    <row r="78" spans="1:26" s="24" customFormat="1" hidden="1" outlineLevel="2" x14ac:dyDescent="0.25">
      <c r="A78" s="27"/>
      <c r="B78" s="11" t="str">
        <f>CONCATENATE("          ", "6382", " - ", "DISCOUNTS/MARK DOWNS")</f>
        <v xml:space="preserve">          6382 - DISCOUNTS/MARK DOWNS</v>
      </c>
      <c r="C78" s="11"/>
      <c r="D78" s="6">
        <v>960.16</v>
      </c>
      <c r="E78" s="2"/>
      <c r="F78" s="7">
        <f t="shared" si="28"/>
        <v>1.1991086612296985E-2</v>
      </c>
      <c r="G78" s="2"/>
      <c r="H78" s="6">
        <v>1250</v>
      </c>
      <c r="I78" s="2"/>
      <c r="J78" s="7">
        <f t="shared" si="29"/>
        <v>1.3568079194164641E-2</v>
      </c>
      <c r="K78" s="2"/>
      <c r="L78" s="6">
        <f t="shared" si="30"/>
        <v>-289.84000000000003</v>
      </c>
      <c r="M78" s="2"/>
      <c r="N78" s="7">
        <f t="shared" si="31"/>
        <v>-0.23187200000000002</v>
      </c>
      <c r="O78" s="11"/>
      <c r="P78" s="6">
        <v>3115.27</v>
      </c>
      <c r="Q78" s="2"/>
      <c r="R78" s="7">
        <f t="shared" si="32"/>
        <v>3.2310840057779025E-2</v>
      </c>
      <c r="S78" s="2"/>
      <c r="T78" s="6">
        <v>2500</v>
      </c>
      <c r="U78" s="2"/>
      <c r="V78" s="7">
        <f t="shared" si="33"/>
        <v>2.3025134236532598E-2</v>
      </c>
      <c r="W78" s="2"/>
      <c r="X78" s="6">
        <f t="shared" si="34"/>
        <v>615.27</v>
      </c>
      <c r="Y78" s="2"/>
      <c r="Z78" s="7">
        <f t="shared" si="35"/>
        <v>0.24610799999999999</v>
      </c>
    </row>
    <row r="79" spans="1:26" s="24" customFormat="1" hidden="1" outlineLevel="2" x14ac:dyDescent="0.25">
      <c r="A79" s="27"/>
      <c r="B79" s="11" t="str">
        <f>CONCATENATE("          ", "9175", " - ", "EARNED DISCOUNTS")</f>
        <v xml:space="preserve">          9175 - EARNED DISCOUNTS</v>
      </c>
      <c r="C79" s="11"/>
      <c r="D79" s="6">
        <v>-54.8</v>
      </c>
      <c r="E79" s="2"/>
      <c r="F79" s="7">
        <f t="shared" si="28"/>
        <v>-6.8437713126340901E-4</v>
      </c>
      <c r="G79" s="2"/>
      <c r="H79" s="6"/>
      <c r="I79" s="2"/>
      <c r="J79" s="7">
        <f t="shared" si="29"/>
        <v>0</v>
      </c>
      <c r="K79" s="2"/>
      <c r="L79" s="6">
        <f t="shared" si="30"/>
        <v>-54.8</v>
      </c>
      <c r="M79" s="2"/>
      <c r="N79" s="7">
        <f t="shared" si="31"/>
        <v>0</v>
      </c>
      <c r="O79" s="11"/>
      <c r="P79" s="6">
        <v>-54.8</v>
      </c>
      <c r="Q79" s="2"/>
      <c r="R79" s="7">
        <f t="shared" si="32"/>
        <v>-5.6837257610617713E-4</v>
      </c>
      <c r="S79" s="2"/>
      <c r="T79" s="6"/>
      <c r="U79" s="2"/>
      <c r="V79" s="7">
        <f t="shared" si="33"/>
        <v>0</v>
      </c>
      <c r="W79" s="2"/>
      <c r="X79" s="6">
        <f t="shared" si="34"/>
        <v>-54.8</v>
      </c>
      <c r="Y79" s="2"/>
      <c r="Z79" s="7">
        <f t="shared" si="35"/>
        <v>0</v>
      </c>
    </row>
    <row r="80" spans="1:26" s="26" customFormat="1" outlineLevel="1" collapsed="1" x14ac:dyDescent="0.25">
      <c r="A80" s="25"/>
      <c r="B80" s="13" t="str">
        <f>CONCATENATE("     ","Employees' Appreciation                           ")</f>
        <v xml:space="preserve">     Employees' Appreciation                           </v>
      </c>
      <c r="C80" s="13"/>
      <c r="D80" s="1">
        <f>SUM(OSRRefD22_4x_0)</f>
        <v>0</v>
      </c>
      <c r="E80" s="1"/>
      <c r="F80" s="5">
        <f t="shared" ref="F80:F85" si="36">IF(D$12=0,0,D80/D$12)</f>
        <v>0</v>
      </c>
      <c r="G80" s="1"/>
      <c r="H80" s="1">
        <f>SUM(OSRRefH22_4x_0)</f>
        <v>25</v>
      </c>
      <c r="I80" s="1"/>
      <c r="J80" s="5">
        <f t="shared" ref="J80:J85" si="37">IF(H$12=0,0,H80/H$12)</f>
        <v>2.7136158388329281E-4</v>
      </c>
      <c r="K80" s="1"/>
      <c r="L80" s="1">
        <f t="shared" ref="L80:L85" si="38">+D80-H80</f>
        <v>-25</v>
      </c>
      <c r="M80" s="1"/>
      <c r="N80" s="5">
        <f t="shared" ref="N80:N85" si="39">IF(H80=0,0,L80/H80)</f>
        <v>-1</v>
      </c>
      <c r="O80" s="13"/>
      <c r="P80" s="1">
        <f>SUM(OSRRefP22_4x_0)</f>
        <v>0</v>
      </c>
      <c r="Q80" s="1"/>
      <c r="R80" s="5">
        <f t="shared" ref="R80:R85" si="40">IF(P$12=0,0,P80/P$12)</f>
        <v>0</v>
      </c>
      <c r="S80" s="1"/>
      <c r="T80" s="1">
        <f>SUM(OSRRefT22_4x_0)</f>
        <v>50</v>
      </c>
      <c r="U80" s="1"/>
      <c r="V80" s="5">
        <f t="shared" ref="V80:V85" si="41">IF(T$12=0,0,T80/T$12)</f>
        <v>4.6050268473065196E-4</v>
      </c>
      <c r="W80" s="1"/>
      <c r="X80" s="1">
        <f t="shared" ref="X80:X85" si="42">+P80-T80</f>
        <v>-50</v>
      </c>
      <c r="Y80" s="1"/>
      <c r="Z80" s="5">
        <f t="shared" ref="Z80:Z85" si="43">IF(T80=0,0,X80/T80)</f>
        <v>-1</v>
      </c>
    </row>
    <row r="81" spans="1:26" s="24" customFormat="1" hidden="1" outlineLevel="2" x14ac:dyDescent="0.25">
      <c r="A81" s="27"/>
      <c r="B81" s="11" t="str">
        <f>CONCATENATE("          ", "6277", " - ", "EMPLOYEE APPRECIATION")</f>
        <v xml:space="preserve">          6277 - EMPLOYEE APPRECIATION</v>
      </c>
      <c r="C81" s="11"/>
      <c r="D81" s="6"/>
      <c r="E81" s="2"/>
      <c r="F81" s="7">
        <f t="shared" si="36"/>
        <v>0</v>
      </c>
      <c r="G81" s="2"/>
      <c r="H81" s="6">
        <v>25</v>
      </c>
      <c r="I81" s="2"/>
      <c r="J81" s="7">
        <f t="shared" si="37"/>
        <v>2.7136158388329281E-4</v>
      </c>
      <c r="K81" s="2"/>
      <c r="L81" s="6">
        <f t="shared" si="38"/>
        <v>-25</v>
      </c>
      <c r="M81" s="2"/>
      <c r="N81" s="7">
        <f t="shared" si="39"/>
        <v>-1</v>
      </c>
      <c r="O81" s="11"/>
      <c r="P81" s="6"/>
      <c r="Q81" s="2"/>
      <c r="R81" s="7">
        <f t="shared" si="40"/>
        <v>0</v>
      </c>
      <c r="S81" s="2"/>
      <c r="T81" s="6">
        <v>50</v>
      </c>
      <c r="U81" s="2"/>
      <c r="V81" s="7">
        <f t="shared" si="41"/>
        <v>4.6050268473065196E-4</v>
      </c>
      <c r="W81" s="2"/>
      <c r="X81" s="6">
        <f t="shared" si="42"/>
        <v>-50</v>
      </c>
      <c r="Y81" s="2"/>
      <c r="Z81" s="7">
        <f t="shared" si="43"/>
        <v>-1</v>
      </c>
    </row>
    <row r="82" spans="1:26" s="26" customFormat="1" outlineLevel="1" collapsed="1" x14ac:dyDescent="0.25">
      <c r="A82" s="25"/>
      <c r="B82" s="13" t="str">
        <f>CONCATENATE("     ","Subscriptions &amp; Dues                              ")</f>
        <v xml:space="preserve">     Subscriptions &amp; Dues                              </v>
      </c>
      <c r="C82" s="13"/>
      <c r="D82" s="1">
        <f>SUM(OSRRefD22_5x_0)</f>
        <v>120</v>
      </c>
      <c r="E82" s="1"/>
      <c r="F82" s="5">
        <f t="shared" si="36"/>
        <v>1.4986360538614795E-3</v>
      </c>
      <c r="G82" s="1"/>
      <c r="H82" s="1">
        <f>SUM(OSRRefH22_5x_0)</f>
        <v>0</v>
      </c>
      <c r="I82" s="1"/>
      <c r="J82" s="5">
        <f t="shared" si="37"/>
        <v>0</v>
      </c>
      <c r="K82" s="1"/>
      <c r="L82" s="1">
        <f t="shared" si="38"/>
        <v>120</v>
      </c>
      <c r="M82" s="1"/>
      <c r="N82" s="5">
        <f t="shared" si="39"/>
        <v>0</v>
      </c>
      <c r="O82" s="13"/>
      <c r="P82" s="1">
        <f>SUM(OSRRefP22_5x_0)</f>
        <v>120</v>
      </c>
      <c r="Q82" s="1"/>
      <c r="R82" s="5">
        <f t="shared" si="40"/>
        <v>1.2446114805244755E-3</v>
      </c>
      <c r="S82" s="1"/>
      <c r="T82" s="1">
        <f>SUM(OSRRefT22_5x_0)</f>
        <v>0</v>
      </c>
      <c r="U82" s="1"/>
      <c r="V82" s="5">
        <f t="shared" si="41"/>
        <v>0</v>
      </c>
      <c r="W82" s="1"/>
      <c r="X82" s="1">
        <f t="shared" si="42"/>
        <v>120</v>
      </c>
      <c r="Y82" s="1"/>
      <c r="Z82" s="5">
        <f t="shared" si="43"/>
        <v>0</v>
      </c>
    </row>
    <row r="83" spans="1:26" s="24" customFormat="1" hidden="1" outlineLevel="2" x14ac:dyDescent="0.25">
      <c r="A83" s="27"/>
      <c r="B83" s="11" t="str">
        <f>CONCATENATE("          ", "6258", " - ", "MEMBERSHIP DUES")</f>
        <v xml:space="preserve">          6258 - MEMBERSHIP DUES</v>
      </c>
      <c r="C83" s="11"/>
      <c r="D83" s="6">
        <v>120</v>
      </c>
      <c r="E83" s="2"/>
      <c r="F83" s="7">
        <f t="shared" si="36"/>
        <v>1.4986360538614795E-3</v>
      </c>
      <c r="G83" s="2"/>
      <c r="H83" s="6"/>
      <c r="I83" s="2"/>
      <c r="J83" s="7">
        <f t="shared" si="37"/>
        <v>0</v>
      </c>
      <c r="K83" s="2"/>
      <c r="L83" s="6">
        <f t="shared" si="38"/>
        <v>120</v>
      </c>
      <c r="M83" s="2"/>
      <c r="N83" s="7">
        <f t="shared" si="39"/>
        <v>0</v>
      </c>
      <c r="O83" s="11"/>
      <c r="P83" s="6">
        <v>120</v>
      </c>
      <c r="Q83" s="2"/>
      <c r="R83" s="7">
        <f t="shared" si="40"/>
        <v>1.2446114805244755E-3</v>
      </c>
      <c r="S83" s="2"/>
      <c r="T83" s="6"/>
      <c r="U83" s="2"/>
      <c r="V83" s="7">
        <f t="shared" si="41"/>
        <v>0</v>
      </c>
      <c r="W83" s="2"/>
      <c r="X83" s="6">
        <f t="shared" si="42"/>
        <v>120</v>
      </c>
      <c r="Y83" s="2"/>
      <c r="Z83" s="7">
        <f t="shared" si="43"/>
        <v>0</v>
      </c>
    </row>
    <row r="84" spans="1:26" s="26" customFormat="1" outlineLevel="1" collapsed="1" x14ac:dyDescent="0.25">
      <c r="A84" s="25"/>
      <c r="B84" s="13" t="str">
        <f>CONCATENATE("     ","Supplies                                          ")</f>
        <v xml:space="preserve">     Supplies                                          </v>
      </c>
      <c r="C84" s="13"/>
      <c r="D84" s="1">
        <f>SUM(OSRRefD22_6x_0)</f>
        <v>41.87</v>
      </c>
      <c r="E84" s="1"/>
      <c r="F84" s="5">
        <f t="shared" si="36"/>
        <v>5.2289909645983454E-4</v>
      </c>
      <c r="G84" s="1"/>
      <c r="H84" s="1">
        <f>SUM(OSRRefH22_6x_0)</f>
        <v>75</v>
      </c>
      <c r="I84" s="1"/>
      <c r="J84" s="5">
        <f t="shared" si="37"/>
        <v>8.1408475164987848E-4</v>
      </c>
      <c r="K84" s="1"/>
      <c r="L84" s="1">
        <f t="shared" si="38"/>
        <v>-33.130000000000003</v>
      </c>
      <c r="M84" s="1"/>
      <c r="N84" s="5">
        <f t="shared" si="39"/>
        <v>-0.44173333333333337</v>
      </c>
      <c r="O84" s="13"/>
      <c r="P84" s="1">
        <f>SUM(OSRRefP22_6x_0)</f>
        <v>198.33</v>
      </c>
      <c r="Q84" s="1"/>
      <c r="R84" s="5">
        <f t="shared" si="40"/>
        <v>2.0570316244368269E-3</v>
      </c>
      <c r="S84" s="1"/>
      <c r="T84" s="1">
        <f>SUM(OSRRefT22_6x_0)</f>
        <v>150</v>
      </c>
      <c r="U84" s="1"/>
      <c r="V84" s="5">
        <f t="shared" si="41"/>
        <v>1.3815080541919559E-3</v>
      </c>
      <c r="W84" s="1"/>
      <c r="X84" s="1">
        <f t="shared" si="42"/>
        <v>48.330000000000013</v>
      </c>
      <c r="Y84" s="1"/>
      <c r="Z84" s="5">
        <f t="shared" si="43"/>
        <v>0.3222000000000001</v>
      </c>
    </row>
    <row r="85" spans="1:26" s="24" customFormat="1" hidden="1" outlineLevel="2" x14ac:dyDescent="0.25">
      <c r="A85" s="27"/>
      <c r="B85" s="11" t="str">
        <f>CONCATENATE("          ", "6241", " - ", "OFFICE EXPENSE")</f>
        <v xml:space="preserve">          6241 - OFFICE EXPENSE</v>
      </c>
      <c r="C85" s="11"/>
      <c r="D85" s="6">
        <v>41.87</v>
      </c>
      <c r="E85" s="2"/>
      <c r="F85" s="7">
        <f t="shared" si="36"/>
        <v>5.2289909645983454E-4</v>
      </c>
      <c r="G85" s="2"/>
      <c r="H85" s="6">
        <v>75</v>
      </c>
      <c r="I85" s="2"/>
      <c r="J85" s="7">
        <f t="shared" si="37"/>
        <v>8.1408475164987848E-4</v>
      </c>
      <c r="K85" s="2"/>
      <c r="L85" s="6">
        <f t="shared" si="38"/>
        <v>-33.130000000000003</v>
      </c>
      <c r="M85" s="2"/>
      <c r="N85" s="7">
        <f t="shared" si="39"/>
        <v>-0.44173333333333337</v>
      </c>
      <c r="O85" s="11"/>
      <c r="P85" s="6">
        <v>198.33</v>
      </c>
      <c r="Q85" s="2"/>
      <c r="R85" s="7">
        <f t="shared" si="40"/>
        <v>2.0570316244368269E-3</v>
      </c>
      <c r="S85" s="2"/>
      <c r="T85" s="6">
        <v>150</v>
      </c>
      <c r="U85" s="2"/>
      <c r="V85" s="7">
        <f t="shared" si="41"/>
        <v>1.3815080541919559E-3</v>
      </c>
      <c r="W85" s="2"/>
      <c r="X85" s="6">
        <f t="shared" si="42"/>
        <v>48.330000000000013</v>
      </c>
      <c r="Y85" s="2"/>
      <c r="Z85" s="7">
        <f t="shared" si="43"/>
        <v>0.3222000000000001</v>
      </c>
    </row>
    <row r="86" spans="1:26" s="63" customFormat="1" x14ac:dyDescent="0.25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8" t="s">
        <v>0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9" t="s">
        <v>3</v>
      </c>
      <c r="C89" s="29"/>
      <c r="D89" s="22">
        <f>+D52-D54+D87</f>
        <v>35300.179999999986</v>
      </c>
      <c r="E89" s="14"/>
      <c r="F89" s="20">
        <f>IF(D$12=0,0,D89/D$12)</f>
        <v>0.44085102046499919</v>
      </c>
      <c r="G89" s="14"/>
      <c r="H89" s="22">
        <f>+H52-H54+H87</f>
        <v>34833.607506955392</v>
      </c>
      <c r="I89" s="14"/>
      <c r="J89" s="20">
        <f>IF(H$12=0,0,H89/H$12)</f>
        <v>0.37810011621825496</v>
      </c>
      <c r="K89" s="15"/>
      <c r="L89" s="22">
        <f>+D89-H89</f>
        <v>466.57249304459401</v>
      </c>
      <c r="M89" s="15"/>
      <c r="N89" s="20">
        <f>IF(H89=0,0,L89/H89)</f>
        <v>1.3394320210774358E-2</v>
      </c>
      <c r="O89" s="28"/>
      <c r="P89" s="22">
        <f>+P52-P54+P87</f>
        <v>31318.65999999996</v>
      </c>
      <c r="Q89" s="14"/>
      <c r="R89" s="20">
        <f>IF(P$12=0,0,P89/P$12)</f>
        <v>0.32482969825535513</v>
      </c>
      <c r="S89" s="14"/>
      <c r="T89" s="22">
        <f>+T52-T54+T87</f>
        <v>31909.483712524619</v>
      </c>
      <c r="U89" s="14"/>
      <c r="V89" s="20">
        <f>IF(T$12=0,0,T89/T$12)</f>
        <v>0.29388805835973197</v>
      </c>
      <c r="W89" s="15"/>
      <c r="X89" s="22">
        <f>+P89-T89</f>
        <v>-590.82371252465964</v>
      </c>
      <c r="Y89" s="15"/>
      <c r="Z89" s="20">
        <f>IF(T89=0,0,X89/T89)</f>
        <v>-1.8515614913968619E-2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2"/>
      <c r="B91" s="10" t="s">
        <v>14</v>
      </c>
      <c r="C91" s="10"/>
      <c r="D91" s="4">
        <v>8623.1200000000008</v>
      </c>
      <c r="E91" s="4"/>
      <c r="F91" s="12">
        <f>IF(D$12=0,0,D91/D$12)</f>
        <v>0.10769098773978336</v>
      </c>
      <c r="G91" s="4"/>
      <c r="H91" s="4">
        <v>13624</v>
      </c>
      <c r="I91" s="4"/>
      <c r="J91" s="12">
        <f>IF(H$12=0,0,H91/H$12)</f>
        <v>0.14788120875303926</v>
      </c>
      <c r="K91" s="4"/>
      <c r="L91" s="4">
        <f>+D91-H91</f>
        <v>-5000.8799999999992</v>
      </c>
      <c r="M91" s="4"/>
      <c r="N91" s="12">
        <f>IF(H91=0,0,L91/H91)</f>
        <v>-0.36706400469759243</v>
      </c>
      <c r="O91" s="10"/>
      <c r="P91" s="4">
        <v>12021.27</v>
      </c>
      <c r="Q91" s="4"/>
      <c r="R91" s="12">
        <f>IF(P$12=0,0,P91/P$12)</f>
        <v>0.12468175543737051</v>
      </c>
      <c r="S91" s="4"/>
      <c r="T91" s="4">
        <v>17633</v>
      </c>
      <c r="U91" s="4"/>
      <c r="V91" s="12">
        <f>IF(T$12=0,0,T91/T$12)</f>
        <v>0.16240087679711174</v>
      </c>
      <c r="W91" s="4"/>
      <c r="X91" s="4">
        <f>+P91-T91</f>
        <v>-5611.73</v>
      </c>
      <c r="Y91" s="4"/>
      <c r="Z91" s="12">
        <f>IF(T91=0,0,X91/T91)</f>
        <v>-0.31825157375375712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4</v>
      </c>
      <c r="C93" s="29"/>
      <c r="D93" s="31">
        <f>+D89-D91</f>
        <v>26677.059999999983</v>
      </c>
      <c r="E93" s="14"/>
      <c r="F93" s="32">
        <f>IF(D$12=0,0,D93/D$12)</f>
        <v>0.33316003272521583</v>
      </c>
      <c r="G93" s="14"/>
      <c r="H93" s="31">
        <f>+H89-H91</f>
        <v>21209.607506955392</v>
      </c>
      <c r="I93" s="14"/>
      <c r="J93" s="32">
        <f>IF(H$12=0,0,H93/H$12)</f>
        <v>0.2302189074652157</v>
      </c>
      <c r="K93" s="15"/>
      <c r="L93" s="31">
        <f>D93-H93</f>
        <v>5467.4524930445914</v>
      </c>
      <c r="M93" s="15"/>
      <c r="N93" s="32">
        <f>IF(H93=0,0,L93/H93)</f>
        <v>0.25778187980383971</v>
      </c>
      <c r="O93" s="28"/>
      <c r="P93" s="31">
        <f>+P89-P91</f>
        <v>19297.389999999959</v>
      </c>
      <c r="Q93" s="14"/>
      <c r="R93" s="32">
        <f>IF(P$12=0,0,P93/P$12)</f>
        <v>0.20014794281798465</v>
      </c>
      <c r="S93" s="14"/>
      <c r="T93" s="31">
        <f>+T89-T91</f>
        <v>14276.483712524619</v>
      </c>
      <c r="U93" s="14"/>
      <c r="V93" s="32">
        <f>IF(T$12=0,0,T93/T$12)</f>
        <v>0.13148718156262026</v>
      </c>
      <c r="W93" s="15"/>
      <c r="X93" s="31">
        <f>P93-T93</f>
        <v>5020.9062874753399</v>
      </c>
      <c r="Y93" s="15"/>
      <c r="Z93" s="32">
        <f>IF(T93=0,0,X93/T93)</f>
        <v>0.35169068158362748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5</v>
      </c>
      <c r="C96" s="29"/>
      <c r="D96" s="33">
        <f>SUM(D93:D95)</f>
        <v>26677.059999999983</v>
      </c>
      <c r="E96" s="14"/>
      <c r="F96" s="35">
        <f>IF(D$12=0,0,D96/D$12)</f>
        <v>0.33316003272521583</v>
      </c>
      <c r="G96" s="14"/>
      <c r="H96" s="33">
        <f>SUM(H93:H95)</f>
        <v>21209.607506955392</v>
      </c>
      <c r="I96" s="14"/>
      <c r="J96" s="35">
        <f>IF(H$12=0,0,H96/H$12)</f>
        <v>0.2302189074652157</v>
      </c>
      <c r="K96" s="15"/>
      <c r="L96" s="33">
        <f>+D96-H96</f>
        <v>5467.4524930445914</v>
      </c>
      <c r="M96" s="15"/>
      <c r="N96" s="35">
        <f>IF(H96=0,0,L96/H96)</f>
        <v>0.25778187980383971</v>
      </c>
      <c r="O96" s="28"/>
      <c r="P96" s="33">
        <f>SUM(P93:P95)</f>
        <v>19297.389999999959</v>
      </c>
      <c r="Q96" s="14"/>
      <c r="R96" s="35">
        <f>IF(P$12=0,0,P96/P$12)</f>
        <v>0.20014794281798465</v>
      </c>
      <c r="S96" s="14"/>
      <c r="T96" s="33">
        <f>SUM(T93:T95)</f>
        <v>14276.483712524619</v>
      </c>
      <c r="U96" s="14"/>
      <c r="V96" s="35">
        <f>IF(T$12=0,0,T96/T$12)</f>
        <v>0.13148718156262026</v>
      </c>
      <c r="W96" s="15"/>
      <c r="X96" s="33">
        <f>+P96-T96</f>
        <v>5020.9062874753399</v>
      </c>
      <c r="Y96" s="15"/>
      <c r="Z96" s="35">
        <f>IF(T96=0,0,X96/T96)</f>
        <v>0.35169068158362748</v>
      </c>
    </row>
    <row r="97" spans="1:24" ht="15.75" thickTop="1" x14ac:dyDescent="0.25">
      <c r="A97" s="9"/>
      <c r="C97" s="9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61">
        <v>43732.706030208334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A99" s="9"/>
      <c r="B99" s="62" t="s">
        <v>314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25">
      <c r="A100" s="9"/>
      <c r="B100" s="58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4" x14ac:dyDescent="0.25"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303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2149682.370000001</v>
      </c>
      <c r="E12" s="4"/>
      <c r="F12" s="12"/>
      <c r="G12" s="4"/>
      <c r="H12" s="4">
        <f>SUM(OSRRefH13x_0)</f>
        <v>2318000</v>
      </c>
      <c r="I12" s="4"/>
      <c r="J12" s="12"/>
      <c r="K12" s="4"/>
      <c r="L12" s="4">
        <f t="shared" ref="L12:L35" si="0">+D12-H12</f>
        <v>-168317.62999999896</v>
      </c>
      <c r="M12" s="4"/>
      <c r="N12" s="12">
        <f t="shared" ref="N12:N35" si="1">IF(H12=0,0,L12/H12)</f>
        <v>-7.2613300258843383E-2</v>
      </c>
      <c r="O12" s="10"/>
      <c r="P12" s="4">
        <f>SUM(OSRRefP13x_0)</f>
        <v>2241815.5700000003</v>
      </c>
      <c r="Q12" s="4"/>
      <c r="R12" s="12"/>
      <c r="S12" s="4"/>
      <c r="T12" s="4">
        <f>SUM(OSRRefT13x_0)</f>
        <v>2444826</v>
      </c>
      <c r="U12" s="4"/>
      <c r="V12" s="12"/>
      <c r="W12" s="4"/>
      <c r="X12" s="4">
        <f t="shared" ref="X12:X35" si="2">+P12-T12</f>
        <v>-203010.4299999997</v>
      </c>
      <c r="Y12" s="4"/>
      <c r="Z12" s="12">
        <f t="shared" ref="Z12:Z35" si="3">IF(T12=0,0,X12/T12)</f>
        <v>-8.3036760080267349E-2</v>
      </c>
    </row>
    <row r="13" spans="1:26" s="24" customFormat="1" hidden="1" outlineLevel="1" x14ac:dyDescent="0.25">
      <c r="A13" s="46"/>
      <c r="B13" s="11" t="str">
        <f>CONCATENATE("          ", "4001", " - ", "TAXABLE SALES-NEW TEXT")</f>
        <v xml:space="preserve">          4001 - TAXABLE SALES-NEW TEXT</v>
      </c>
      <c r="C13" s="11"/>
      <c r="D13" s="2">
        <f>--1090909.72</f>
        <v>1090909.72</v>
      </c>
      <c r="E13" s="2"/>
      <c r="F13" s="21"/>
      <c r="G13" s="2"/>
      <c r="H13" s="2"/>
      <c r="I13" s="2"/>
      <c r="J13" s="21"/>
      <c r="K13" s="2"/>
      <c r="L13" s="2">
        <f t="shared" si="0"/>
        <v>1090909.72</v>
      </c>
      <c r="M13" s="2"/>
      <c r="N13" s="21">
        <f t="shared" si="1"/>
        <v>0</v>
      </c>
      <c r="O13" s="11"/>
      <c r="P13" s="2">
        <f>--1127221.97</f>
        <v>1127221.97</v>
      </c>
      <c r="Q13" s="2"/>
      <c r="R13" s="21"/>
      <c r="S13" s="2"/>
      <c r="T13" s="2"/>
      <c r="U13" s="2"/>
      <c r="V13" s="21"/>
      <c r="W13" s="2"/>
      <c r="X13" s="2">
        <f t="shared" si="2"/>
        <v>1127221.97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"4002", " - ", "TAXABLE SALES-USED TEXT")</f>
        <v xml:space="preserve">          4002 - TAXABLE SALES-USED TEXT</v>
      </c>
      <c r="C14" s="11"/>
      <c r="D14" s="2">
        <f>--533666.11</f>
        <v>533666.11</v>
      </c>
      <c r="E14" s="2"/>
      <c r="F14" s="21"/>
      <c r="G14" s="2"/>
      <c r="H14" s="2"/>
      <c r="I14" s="2"/>
      <c r="J14" s="21"/>
      <c r="K14" s="2"/>
      <c r="L14" s="2">
        <f t="shared" si="0"/>
        <v>533666.11</v>
      </c>
      <c r="M14" s="2"/>
      <c r="N14" s="21">
        <f t="shared" si="1"/>
        <v>0</v>
      </c>
      <c r="O14" s="11"/>
      <c r="P14" s="2">
        <f>--555460.92</f>
        <v>555460.92000000004</v>
      </c>
      <c r="Q14" s="2"/>
      <c r="R14" s="21"/>
      <c r="S14" s="2"/>
      <c r="T14" s="2"/>
      <c r="U14" s="2"/>
      <c r="V14" s="21"/>
      <c r="W14" s="2"/>
      <c r="X14" s="2">
        <f t="shared" si="2"/>
        <v>555460.92000000004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"4003", " - ", "TAXABLE SALES-RENTAL TEXT")</f>
        <v xml:space="preserve">          4003 - TAXABLE SALES-RENTAL TEXT</v>
      </c>
      <c r="C15" s="11"/>
      <c r="D15" s="2">
        <f>--12302.07</f>
        <v>12302.07</v>
      </c>
      <c r="E15" s="2"/>
      <c r="F15" s="21"/>
      <c r="G15" s="2"/>
      <c r="H15" s="2"/>
      <c r="I15" s="2"/>
      <c r="J15" s="21"/>
      <c r="K15" s="2"/>
      <c r="L15" s="2">
        <f t="shared" si="0"/>
        <v>12302.07</v>
      </c>
      <c r="M15" s="2"/>
      <c r="N15" s="21">
        <f t="shared" si="1"/>
        <v>0</v>
      </c>
      <c r="O15" s="11"/>
      <c r="P15" s="2">
        <f>--12736.05</f>
        <v>12736.05</v>
      </c>
      <c r="Q15" s="2"/>
      <c r="R15" s="21"/>
      <c r="S15" s="2"/>
      <c r="T15" s="2"/>
      <c r="U15" s="2"/>
      <c r="V15" s="21"/>
      <c r="W15" s="2"/>
      <c r="X15" s="2">
        <f t="shared" si="2"/>
        <v>12736.05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"4004", " - ", "TAXABLE SALES-DIGITAL TEXT")</f>
        <v xml:space="preserve">          4004 - TAXABLE SALES-DIGITAL TEXT</v>
      </c>
      <c r="C16" s="11"/>
      <c r="D16" s="2">
        <f>--22276.72</f>
        <v>22276.720000000001</v>
      </c>
      <c r="E16" s="2"/>
      <c r="F16" s="21"/>
      <c r="G16" s="2"/>
      <c r="H16" s="2"/>
      <c r="I16" s="2"/>
      <c r="J16" s="21"/>
      <c r="K16" s="2"/>
      <c r="L16" s="2">
        <f t="shared" si="0"/>
        <v>22276.720000000001</v>
      </c>
      <c r="M16" s="2"/>
      <c r="N16" s="21">
        <f t="shared" si="1"/>
        <v>0</v>
      </c>
      <c r="O16" s="11"/>
      <c r="P16" s="2">
        <f>--22410.07</f>
        <v>22410.07</v>
      </c>
      <c r="Q16" s="2"/>
      <c r="R16" s="21"/>
      <c r="S16" s="2"/>
      <c r="T16" s="2"/>
      <c r="U16" s="2"/>
      <c r="V16" s="21"/>
      <c r="W16" s="2"/>
      <c r="X16" s="2">
        <f t="shared" si="2"/>
        <v>22410.07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"4013", " - ", "TAXABLE SALES-TRADE BOOKS")</f>
        <v xml:space="preserve">          4013 - TAXABLE SALES-TRADE BOOKS</v>
      </c>
      <c r="C17" s="11"/>
      <c r="D17" s="2">
        <f>--70.86</f>
        <v>70.86</v>
      </c>
      <c r="E17" s="2"/>
      <c r="F17" s="21"/>
      <c r="G17" s="2"/>
      <c r="H17" s="2"/>
      <c r="I17" s="2"/>
      <c r="J17" s="21"/>
      <c r="K17" s="2"/>
      <c r="L17" s="2">
        <f t="shared" si="0"/>
        <v>70.86</v>
      </c>
      <c r="M17" s="2"/>
      <c r="N17" s="21">
        <f t="shared" si="1"/>
        <v>0</v>
      </c>
      <c r="O17" s="11"/>
      <c r="P17" s="2">
        <f>--110.81</f>
        <v>110.81</v>
      </c>
      <c r="Q17" s="2"/>
      <c r="R17" s="21"/>
      <c r="S17" s="2"/>
      <c r="T17" s="2"/>
      <c r="U17" s="2"/>
      <c r="V17" s="21"/>
      <c r="W17" s="2"/>
      <c r="X17" s="2">
        <f t="shared" si="2"/>
        <v>110.81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"4014", " - ", "TAXABLE SALES-REMAINDERS")</f>
        <v xml:space="preserve">          4014 - TAXABLE SALES-REMAINDERS</v>
      </c>
      <c r="C18" s="11"/>
      <c r="D18" s="2">
        <f>--175</f>
        <v>175</v>
      </c>
      <c r="E18" s="2"/>
      <c r="F18" s="21"/>
      <c r="G18" s="2"/>
      <c r="H18" s="2"/>
      <c r="I18" s="2"/>
      <c r="J18" s="21"/>
      <c r="K18" s="2"/>
      <c r="L18" s="2">
        <f t="shared" si="0"/>
        <v>175</v>
      </c>
      <c r="M18" s="2"/>
      <c r="N18" s="21">
        <f t="shared" si="1"/>
        <v>0</v>
      </c>
      <c r="O18" s="11"/>
      <c r="P18" s="2">
        <f>--425.65</f>
        <v>425.65</v>
      </c>
      <c r="Q18" s="2"/>
      <c r="R18" s="21"/>
      <c r="S18" s="2"/>
      <c r="T18" s="2"/>
      <c r="U18" s="2"/>
      <c r="V18" s="21"/>
      <c r="W18" s="2"/>
      <c r="X18" s="2">
        <f t="shared" si="2"/>
        <v>425.65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"4018", " - ", "TAXABLE SALES-STUDY GUIDES")</f>
        <v xml:space="preserve">          4018 - TAXABLE SALES-STUDY GUIDES</v>
      </c>
      <c r="C19" s="11"/>
      <c r="D19" s="2">
        <f>--1184.84</f>
        <v>1184.8399999999999</v>
      </c>
      <c r="E19" s="2"/>
      <c r="F19" s="21"/>
      <c r="G19" s="2"/>
      <c r="H19" s="2"/>
      <c r="I19" s="2"/>
      <c r="J19" s="21"/>
      <c r="K19" s="2"/>
      <c r="L19" s="2">
        <f t="shared" si="0"/>
        <v>1184.8399999999999</v>
      </c>
      <c r="M19" s="2"/>
      <c r="N19" s="21">
        <f t="shared" si="1"/>
        <v>0</v>
      </c>
      <c r="O19" s="11"/>
      <c r="P19" s="2">
        <f>--1364.13</f>
        <v>1364.13</v>
      </c>
      <c r="Q19" s="2"/>
      <c r="R19" s="21"/>
      <c r="S19" s="2"/>
      <c r="T19" s="2"/>
      <c r="U19" s="2"/>
      <c r="V19" s="21"/>
      <c r="W19" s="2"/>
      <c r="X19" s="2">
        <f t="shared" si="2"/>
        <v>1364.13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"4100", " - ", "NON-TAXABLE SALES")</f>
        <v xml:space="preserve">          4100 - NON-TAXABLE SALES</v>
      </c>
      <c r="C20" s="11"/>
      <c r="D20" s="2">
        <f>--261252.23</f>
        <v>261252.23</v>
      </c>
      <c r="E20" s="2"/>
      <c r="F20" s="21"/>
      <c r="G20" s="2"/>
      <c r="H20" s="2">
        <v>2318000</v>
      </c>
      <c r="I20" s="2"/>
      <c r="J20" s="21"/>
      <c r="K20" s="2"/>
      <c r="L20" s="2">
        <f t="shared" si="0"/>
        <v>-2056747.77</v>
      </c>
      <c r="M20" s="2"/>
      <c r="N20" s="21">
        <f t="shared" si="1"/>
        <v>-0.88729411993097496</v>
      </c>
      <c r="O20" s="11"/>
      <c r="P20" s="2">
        <f>--265514.43</f>
        <v>265514.43</v>
      </c>
      <c r="Q20" s="2"/>
      <c r="R20" s="21"/>
      <c r="S20" s="2"/>
      <c r="T20" s="2">
        <v>2444826</v>
      </c>
      <c r="U20" s="2"/>
      <c r="V20" s="21"/>
      <c r="W20" s="2"/>
      <c r="X20" s="2">
        <f t="shared" si="2"/>
        <v>-2179311.5699999998</v>
      </c>
      <c r="Y20" s="2"/>
      <c r="Z20" s="21">
        <f t="shared" si="3"/>
        <v>-0.89139741233118419</v>
      </c>
    </row>
    <row r="21" spans="1:26" s="24" customFormat="1" hidden="1" outlineLevel="1" x14ac:dyDescent="0.25">
      <c r="A21" s="46"/>
      <c r="B21" s="11" t="str">
        <f>CONCATENATE("          ", "4101", " - ", "NON-TAXABLE SALES-NEW TEXT")</f>
        <v xml:space="preserve">          4101 - NON-TAXABLE SALES-NEW TEXT</v>
      </c>
      <c r="C21" s="11"/>
      <c r="D21" s="2">
        <f>--48156.44</f>
        <v>48156.44</v>
      </c>
      <c r="E21" s="2"/>
      <c r="F21" s="21"/>
      <c r="G21" s="2"/>
      <c r="H21" s="2"/>
      <c r="I21" s="2"/>
      <c r="J21" s="21"/>
      <c r="K21" s="2"/>
      <c r="L21" s="2">
        <f t="shared" si="0"/>
        <v>48156.44</v>
      </c>
      <c r="M21" s="2"/>
      <c r="N21" s="21">
        <f t="shared" si="1"/>
        <v>0</v>
      </c>
      <c r="O21" s="11"/>
      <c r="P21" s="2">
        <f>--55893.02</f>
        <v>55893.02</v>
      </c>
      <c r="Q21" s="2"/>
      <c r="R21" s="21"/>
      <c r="S21" s="2"/>
      <c r="T21" s="2"/>
      <c r="U21" s="2"/>
      <c r="V21" s="21"/>
      <c r="W21" s="2"/>
      <c r="X21" s="2">
        <f t="shared" si="2"/>
        <v>55893.02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"4102", " - ", "NON-TAXABLE SALES-USED TEXT")</f>
        <v xml:space="preserve">          4102 - NON-TAXABLE SALES-USED TEXT</v>
      </c>
      <c r="C22" s="11"/>
      <c r="D22" s="2">
        <f>--27115.09</f>
        <v>27115.09</v>
      </c>
      <c r="E22" s="2"/>
      <c r="F22" s="21"/>
      <c r="G22" s="2"/>
      <c r="H22" s="2"/>
      <c r="I22" s="2"/>
      <c r="J22" s="21"/>
      <c r="K22" s="2"/>
      <c r="L22" s="2">
        <f t="shared" si="0"/>
        <v>27115.09</v>
      </c>
      <c r="M22" s="2"/>
      <c r="N22" s="21">
        <f t="shared" si="1"/>
        <v>0</v>
      </c>
      <c r="O22" s="11"/>
      <c r="P22" s="2">
        <f>--32474.33</f>
        <v>32474.33</v>
      </c>
      <c r="Q22" s="2"/>
      <c r="R22" s="21"/>
      <c r="S22" s="2"/>
      <c r="T22" s="2"/>
      <c r="U22" s="2"/>
      <c r="V22" s="21"/>
      <c r="W22" s="2"/>
      <c r="X22" s="2">
        <f t="shared" si="2"/>
        <v>32474.33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--474.97</f>
        <v>474.97</v>
      </c>
      <c r="E23" s="2"/>
      <c r="F23" s="21"/>
      <c r="G23" s="2"/>
      <c r="H23" s="2"/>
      <c r="I23" s="2"/>
      <c r="J23" s="21"/>
      <c r="K23" s="2"/>
      <c r="L23" s="2">
        <f t="shared" si="0"/>
        <v>474.97</v>
      </c>
      <c r="M23" s="2"/>
      <c r="N23" s="21">
        <f t="shared" si="1"/>
        <v>0</v>
      </c>
      <c r="O23" s="11"/>
      <c r="P23" s="2">
        <f>--474.97</f>
        <v>474.97</v>
      </c>
      <c r="Q23" s="2"/>
      <c r="R23" s="21"/>
      <c r="S23" s="2"/>
      <c r="T23" s="2"/>
      <c r="U23" s="2"/>
      <c r="V23" s="21"/>
      <c r="W23" s="2"/>
      <c r="X23" s="2">
        <f t="shared" si="2"/>
        <v>474.97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--246443.9</f>
        <v>246443.9</v>
      </c>
      <c r="E24" s="2"/>
      <c r="F24" s="21"/>
      <c r="G24" s="2"/>
      <c r="H24" s="2"/>
      <c r="I24" s="2"/>
      <c r="J24" s="21"/>
      <c r="K24" s="2"/>
      <c r="L24" s="2">
        <f t="shared" si="0"/>
        <v>246443.9</v>
      </c>
      <c r="M24" s="2"/>
      <c r="N24" s="21">
        <f t="shared" si="1"/>
        <v>0</v>
      </c>
      <c r="O24" s="11"/>
      <c r="P24" s="2">
        <f>--259868.07</f>
        <v>259868.07</v>
      </c>
      <c r="Q24" s="2"/>
      <c r="R24" s="21"/>
      <c r="S24" s="2"/>
      <c r="T24" s="2"/>
      <c r="U24" s="2"/>
      <c r="V24" s="21"/>
      <c r="W24" s="2"/>
      <c r="X24" s="2">
        <f t="shared" si="2"/>
        <v>259868.07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--3067.16</f>
        <v>3067.16</v>
      </c>
      <c r="E25" s="2"/>
      <c r="F25" s="21"/>
      <c r="G25" s="2"/>
      <c r="H25" s="2"/>
      <c r="I25" s="2"/>
      <c r="J25" s="21"/>
      <c r="K25" s="2"/>
      <c r="L25" s="2">
        <f t="shared" si="0"/>
        <v>3067.16</v>
      </c>
      <c r="M25" s="2"/>
      <c r="N25" s="21">
        <f t="shared" si="1"/>
        <v>0</v>
      </c>
      <c r="O25" s="11"/>
      <c r="P25" s="2">
        <f>--5748.11</f>
        <v>5748.11</v>
      </c>
      <c r="Q25" s="2"/>
      <c r="R25" s="21"/>
      <c r="S25" s="2"/>
      <c r="T25" s="2"/>
      <c r="U25" s="2"/>
      <c r="V25" s="21"/>
      <c r="W25" s="2"/>
      <c r="X25" s="2">
        <f t="shared" si="2"/>
        <v>5748.11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--12.72</f>
        <v>12.72</v>
      </c>
      <c r="E26" s="2"/>
      <c r="F26" s="21"/>
      <c r="G26" s="2"/>
      <c r="H26" s="2"/>
      <c r="I26" s="2"/>
      <c r="J26" s="21"/>
      <c r="K26" s="2"/>
      <c r="L26" s="2">
        <f t="shared" si="0"/>
        <v>12.72</v>
      </c>
      <c r="M26" s="2"/>
      <c r="N26" s="21">
        <f t="shared" si="1"/>
        <v>0</v>
      </c>
      <c r="O26" s="11"/>
      <c r="P26" s="2">
        <f>--1146.72</f>
        <v>1146.72</v>
      </c>
      <c r="Q26" s="2"/>
      <c r="R26" s="21"/>
      <c r="S26" s="2"/>
      <c r="T26" s="2"/>
      <c r="U26" s="2"/>
      <c r="V26" s="21"/>
      <c r="W26" s="2"/>
      <c r="X26" s="2">
        <f t="shared" si="2"/>
        <v>1146.72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--7.02</f>
        <v>7.02</v>
      </c>
      <c r="E27" s="2"/>
      <c r="F27" s="21"/>
      <c r="G27" s="2"/>
      <c r="H27" s="2"/>
      <c r="I27" s="2"/>
      <c r="J27" s="21"/>
      <c r="K27" s="2"/>
      <c r="L27" s="2">
        <f t="shared" si="0"/>
        <v>7.02</v>
      </c>
      <c r="M27" s="2"/>
      <c r="N27" s="21">
        <f t="shared" si="1"/>
        <v>0</v>
      </c>
      <c r="O27" s="11"/>
      <c r="P27" s="2">
        <f>--13.97</f>
        <v>13.97</v>
      </c>
      <c r="Q27" s="2"/>
      <c r="R27" s="21"/>
      <c r="S27" s="2"/>
      <c r="T27" s="2"/>
      <c r="U27" s="2"/>
      <c r="V27" s="21"/>
      <c r="W27" s="2"/>
      <c r="X27" s="2">
        <f t="shared" si="2"/>
        <v>13.97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-58563.26</f>
        <v>-58563.26</v>
      </c>
      <c r="E28" s="2"/>
      <c r="F28" s="21"/>
      <c r="G28" s="2"/>
      <c r="H28" s="2"/>
      <c r="I28" s="2"/>
      <c r="J28" s="21"/>
      <c r="K28" s="2"/>
      <c r="L28" s="2">
        <f t="shared" si="0"/>
        <v>-58563.26</v>
      </c>
      <c r="M28" s="2"/>
      <c r="N28" s="21">
        <f t="shared" si="1"/>
        <v>0</v>
      </c>
      <c r="O28" s="11"/>
      <c r="P28" s="2">
        <f>-59170.41</f>
        <v>-59170.41</v>
      </c>
      <c r="Q28" s="2"/>
      <c r="R28" s="21"/>
      <c r="S28" s="2"/>
      <c r="T28" s="2"/>
      <c r="U28" s="2"/>
      <c r="V28" s="21"/>
      <c r="W28" s="2"/>
      <c r="X28" s="2">
        <f t="shared" si="2"/>
        <v>-59170.41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-20533</f>
        <v>-20533</v>
      </c>
      <c r="E29" s="2"/>
      <c r="F29" s="21"/>
      <c r="G29" s="2"/>
      <c r="H29" s="2"/>
      <c r="I29" s="2"/>
      <c r="J29" s="21"/>
      <c r="K29" s="2"/>
      <c r="L29" s="2">
        <f t="shared" si="0"/>
        <v>-20533</v>
      </c>
      <c r="M29" s="2"/>
      <c r="N29" s="21">
        <f t="shared" si="1"/>
        <v>0</v>
      </c>
      <c r="O29" s="11"/>
      <c r="P29" s="2">
        <f>-21254.45</f>
        <v>-21254.45</v>
      </c>
      <c r="Q29" s="2"/>
      <c r="R29" s="21"/>
      <c r="S29" s="2"/>
      <c r="T29" s="2"/>
      <c r="U29" s="2"/>
      <c r="V29" s="21"/>
      <c r="W29" s="2"/>
      <c r="X29" s="2">
        <f t="shared" si="2"/>
        <v>-21254.45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>-6848.37</f>
        <v>-6848.37</v>
      </c>
      <c r="E30" s="2"/>
      <c r="F30" s="21"/>
      <c r="G30" s="2"/>
      <c r="H30" s="2"/>
      <c r="I30" s="2"/>
      <c r="J30" s="21"/>
      <c r="K30" s="2"/>
      <c r="L30" s="2">
        <f t="shared" si="0"/>
        <v>-6848.37</v>
      </c>
      <c r="M30" s="2"/>
      <c r="N30" s="21">
        <f t="shared" si="1"/>
        <v>0</v>
      </c>
      <c r="O30" s="11"/>
      <c r="P30" s="2">
        <f>-6848.37</f>
        <v>-6848.37</v>
      </c>
      <c r="Q30" s="2"/>
      <c r="R30" s="21"/>
      <c r="S30" s="2"/>
      <c r="T30" s="2"/>
      <c r="U30" s="2"/>
      <c r="V30" s="21"/>
      <c r="W30" s="2"/>
      <c r="X30" s="2">
        <f t="shared" si="2"/>
        <v>-6848.37</v>
      </c>
      <c r="Y30" s="2"/>
      <c r="Z30" s="21">
        <f t="shared" si="3"/>
        <v>0</v>
      </c>
    </row>
    <row r="31" spans="1:26" s="24" customFormat="1" hidden="1" outlineLevel="1" x14ac:dyDescent="0.25">
      <c r="A31" s="46"/>
      <c r="B31" s="11" t="str">
        <f>CONCATENATE("          ", "4218", " - ", "SALES RETURN TAXABLE-STUDY GUI")</f>
        <v xml:space="preserve">          4218 - SALES RETURN TAXABLE-STUDY GUI</v>
      </c>
      <c r="C31" s="11"/>
      <c r="D31" s="2">
        <f>-26.8</f>
        <v>-26.8</v>
      </c>
      <c r="E31" s="2"/>
      <c r="F31" s="21"/>
      <c r="G31" s="2"/>
      <c r="H31" s="2"/>
      <c r="I31" s="2"/>
      <c r="J31" s="21"/>
      <c r="K31" s="2"/>
      <c r="L31" s="2">
        <f t="shared" si="0"/>
        <v>-26.8</v>
      </c>
      <c r="M31" s="2"/>
      <c r="N31" s="21">
        <f t="shared" si="1"/>
        <v>0</v>
      </c>
      <c r="O31" s="11"/>
      <c r="P31" s="2">
        <f>-26.8</f>
        <v>-26.8</v>
      </c>
      <c r="Q31" s="2"/>
      <c r="R31" s="21"/>
      <c r="S31" s="2"/>
      <c r="T31" s="2"/>
      <c r="U31" s="2"/>
      <c r="V31" s="21"/>
      <c r="W31" s="2"/>
      <c r="X31" s="2">
        <f t="shared" si="2"/>
        <v>-26.8</v>
      </c>
      <c r="Y31" s="2"/>
      <c r="Z31" s="21">
        <f t="shared" si="3"/>
        <v>0</v>
      </c>
    </row>
    <row r="32" spans="1:26" s="24" customFormat="1" hidden="1" outlineLevel="1" x14ac:dyDescent="0.25">
      <c r="A32" s="46"/>
      <c r="B32" s="11" t="str">
        <f>CONCATENATE("          ", "4301", " - ", "SALES RETURN NON TAXABLE-NEW T")</f>
        <v xml:space="preserve">          4301 - SALES RETURN NON TAXABLE-NEW T</v>
      </c>
      <c r="C32" s="11"/>
      <c r="D32" s="2">
        <f>-2665.19</f>
        <v>-2665.19</v>
      </c>
      <c r="E32" s="2"/>
      <c r="F32" s="21"/>
      <c r="G32" s="2"/>
      <c r="H32" s="2"/>
      <c r="I32" s="2"/>
      <c r="J32" s="21"/>
      <c r="K32" s="2"/>
      <c r="L32" s="2">
        <f t="shared" si="0"/>
        <v>-2665.19</v>
      </c>
      <c r="M32" s="2"/>
      <c r="N32" s="21">
        <f t="shared" si="1"/>
        <v>0</v>
      </c>
      <c r="O32" s="11"/>
      <c r="P32" s="2">
        <f>-2919.78</f>
        <v>-2919.78</v>
      </c>
      <c r="Q32" s="2"/>
      <c r="R32" s="21"/>
      <c r="S32" s="2"/>
      <c r="T32" s="2"/>
      <c r="U32" s="2"/>
      <c r="V32" s="21"/>
      <c r="W32" s="2"/>
      <c r="X32" s="2">
        <f t="shared" si="2"/>
        <v>-2919.78</v>
      </c>
      <c r="Y32" s="2"/>
      <c r="Z32" s="21">
        <f t="shared" si="3"/>
        <v>0</v>
      </c>
    </row>
    <row r="33" spans="1:26" s="24" customFormat="1" hidden="1" outlineLevel="1" x14ac:dyDescent="0.25">
      <c r="A33" s="46"/>
      <c r="B33" s="11" t="str">
        <f>CONCATENATE("          ", "4302", " - ", "SALES RETURN NON TAXABLE-TEXT")</f>
        <v xml:space="preserve">          4302 - SALES RETURN NON TAXABLE-TEXT</v>
      </c>
      <c r="C33" s="11"/>
      <c r="D33" s="2">
        <f>-250.25</f>
        <v>-250.25</v>
      </c>
      <c r="E33" s="2"/>
      <c r="F33" s="21"/>
      <c r="G33" s="2"/>
      <c r="H33" s="2"/>
      <c r="I33" s="2"/>
      <c r="J33" s="21"/>
      <c r="K33" s="2"/>
      <c r="L33" s="2">
        <f t="shared" si="0"/>
        <v>-250.25</v>
      </c>
      <c r="M33" s="2"/>
      <c r="N33" s="21">
        <f t="shared" si="1"/>
        <v>0</v>
      </c>
      <c r="O33" s="11"/>
      <c r="P33" s="2">
        <f>-250.25</f>
        <v>-250.25</v>
      </c>
      <c r="Q33" s="2"/>
      <c r="R33" s="21"/>
      <c r="S33" s="2"/>
      <c r="T33" s="2"/>
      <c r="U33" s="2"/>
      <c r="V33" s="21"/>
      <c r="W33" s="2"/>
      <c r="X33" s="2">
        <f t="shared" si="2"/>
        <v>-250.25</v>
      </c>
      <c r="Y33" s="2"/>
      <c r="Z33" s="21">
        <f t="shared" si="3"/>
        <v>0</v>
      </c>
    </row>
    <row r="34" spans="1:26" s="24" customFormat="1" hidden="1" outlineLevel="1" x14ac:dyDescent="0.25">
      <c r="A34" s="46"/>
      <c r="B34" s="11" t="str">
        <f>CONCATENATE("          ", "4304", " - ", "SALES RETURN NON TAXABLE-DIGIT")</f>
        <v xml:space="preserve">          4304 - SALES RETURN NON TAXABLE-DIGIT</v>
      </c>
      <c r="C34" s="11"/>
      <c r="D34" s="2">
        <f>-8466.55</f>
        <v>-8466.5499999999993</v>
      </c>
      <c r="E34" s="2"/>
      <c r="F34" s="21"/>
      <c r="G34" s="2"/>
      <c r="H34" s="2"/>
      <c r="I34" s="2"/>
      <c r="J34" s="21"/>
      <c r="K34" s="2"/>
      <c r="L34" s="2">
        <f t="shared" si="0"/>
        <v>-8466.5499999999993</v>
      </c>
      <c r="M34" s="2"/>
      <c r="N34" s="21">
        <f t="shared" si="1"/>
        <v>0</v>
      </c>
      <c r="O34" s="11"/>
      <c r="P34" s="2">
        <f>-8466.55</f>
        <v>-8466.5499999999993</v>
      </c>
      <c r="Q34" s="2"/>
      <c r="R34" s="21"/>
      <c r="S34" s="2"/>
      <c r="T34" s="2"/>
      <c r="U34" s="2"/>
      <c r="V34" s="21"/>
      <c r="W34" s="2"/>
      <c r="X34" s="2">
        <f t="shared" si="2"/>
        <v>-8466.5499999999993</v>
      </c>
      <c r="Y34" s="2"/>
      <c r="Z34" s="21">
        <f t="shared" si="3"/>
        <v>0</v>
      </c>
    </row>
    <row r="35" spans="1:26" s="24" customFormat="1" hidden="1" outlineLevel="1" x14ac:dyDescent="0.25">
      <c r="A35" s="46"/>
      <c r="B35" s="11" t="str">
        <f>CONCATENATE("          ", "4311", " - ", "SALES RETURN NON TAXABLE-NO VA")</f>
        <v xml:space="preserve">          4311 - SALES RETURN NON TAXABLE-NO VA</v>
      </c>
      <c r="C35" s="11"/>
      <c r="D35" s="2">
        <f>-79.06</f>
        <v>-79.06</v>
      </c>
      <c r="E35" s="2"/>
      <c r="F35" s="21"/>
      <c r="G35" s="2"/>
      <c r="H35" s="2"/>
      <c r="I35" s="2"/>
      <c r="J35" s="21"/>
      <c r="K35" s="2"/>
      <c r="L35" s="2">
        <f t="shared" si="0"/>
        <v>-79.06</v>
      </c>
      <c r="M35" s="2"/>
      <c r="N35" s="21">
        <f t="shared" si="1"/>
        <v>0</v>
      </c>
      <c r="O35" s="11"/>
      <c r="P35" s="2">
        <f>-111.04</f>
        <v>-111.04</v>
      </c>
      <c r="Q35" s="2"/>
      <c r="R35" s="21"/>
      <c r="S35" s="2"/>
      <c r="T35" s="2"/>
      <c r="U35" s="2"/>
      <c r="V35" s="21"/>
      <c r="W35" s="2"/>
      <c r="X35" s="2">
        <f t="shared" si="2"/>
        <v>-111.04</v>
      </c>
      <c r="Y35" s="2"/>
      <c r="Z35" s="21">
        <f t="shared" si="3"/>
        <v>0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8" t="s">
        <v>8</v>
      </c>
      <c r="C37" s="10"/>
      <c r="D37" s="4">
        <f>SUM(OSRRefD16x_0)</f>
        <v>1561651.33</v>
      </c>
      <c r="E37" s="4"/>
      <c r="F37" s="12">
        <f t="shared" ref="F37:F51" si="4">IF(D$12=0,0,D37/D$12)</f>
        <v>0.72645677882170068</v>
      </c>
      <c r="G37" s="4"/>
      <c r="H37" s="4">
        <f>SUM(OSRRefH16x_0)</f>
        <v>1666516.8900000001</v>
      </c>
      <c r="I37" s="4"/>
      <c r="J37" s="12">
        <f t="shared" ref="J37:J51" si="5">IF(H$12=0,0,H37/H$12)</f>
        <v>0.71894602674719588</v>
      </c>
      <c r="K37" s="4"/>
      <c r="L37" s="4">
        <f t="shared" ref="L37:L51" si="6">+D37-H37</f>
        <v>-104865.56000000006</v>
      </c>
      <c r="M37" s="4"/>
      <c r="N37" s="12">
        <f t="shared" ref="N37:N51" si="7">IF(H37=0,0,L37/H37)</f>
        <v>-6.2924990817224816E-2</v>
      </c>
      <c r="O37" s="10"/>
      <c r="P37" s="4">
        <f>SUM(OSRRefP16x_0)</f>
        <v>1637642.3900000004</v>
      </c>
      <c r="Q37" s="4"/>
      <c r="R37" s="12">
        <f t="shared" ref="R37:R51" si="8">IF(P$12=0,0,P37/P$12)</f>
        <v>0.730498267526976</v>
      </c>
      <c r="S37" s="4"/>
      <c r="T37" s="4">
        <f>SUM(OSRRefT16x_0)</f>
        <v>1758136.24</v>
      </c>
      <c r="U37" s="4"/>
      <c r="V37" s="12">
        <f t="shared" ref="V37:V51" si="9">IF(T$12=0,0,T37/T$12)</f>
        <v>0.71912530380485151</v>
      </c>
      <c r="W37" s="4"/>
      <c r="X37" s="4">
        <f t="shared" ref="X37:X51" si="10">+P37-T37</f>
        <v>-120493.84999999963</v>
      </c>
      <c r="Y37" s="4"/>
      <c r="Z37" s="12">
        <f t="shared" ref="Z37:Z51" si="11">IF(T37=0,0,X37/T37)</f>
        <v>-6.8534990212134883E-2</v>
      </c>
    </row>
    <row r="38" spans="1:26" s="24" customFormat="1" hidden="1" outlineLevel="1" x14ac:dyDescent="0.25">
      <c r="A38" s="46"/>
      <c r="B38" s="11" t="str">
        <f>CONCATENATE("          ", "5000", " - ", "PURCHASES @ COST")</f>
        <v xml:space="preserve">          5000 - PURCHASES @ COST</v>
      </c>
      <c r="C38" s="11"/>
      <c r="D38" s="2"/>
      <c r="E38" s="2"/>
      <c r="F38" s="21">
        <f t="shared" si="4"/>
        <v>0</v>
      </c>
      <c r="G38" s="2"/>
      <c r="H38" s="2">
        <v>1666516.8900000001</v>
      </c>
      <c r="I38" s="2"/>
      <c r="J38" s="21">
        <f t="shared" si="5"/>
        <v>0.71894602674719588</v>
      </c>
      <c r="K38" s="2"/>
      <c r="L38" s="2">
        <f t="shared" si="6"/>
        <v>-1666516.8900000001</v>
      </c>
      <c r="M38" s="2"/>
      <c r="N38" s="21">
        <f t="shared" si="7"/>
        <v>-1</v>
      </c>
      <c r="O38" s="11"/>
      <c r="P38" s="2"/>
      <c r="Q38" s="2"/>
      <c r="R38" s="21">
        <f t="shared" si="8"/>
        <v>0</v>
      </c>
      <c r="S38" s="2"/>
      <c r="T38" s="2">
        <v>1758136.24</v>
      </c>
      <c r="U38" s="2"/>
      <c r="V38" s="21">
        <f t="shared" si="9"/>
        <v>0.71912530380485151</v>
      </c>
      <c r="W38" s="2"/>
      <c r="X38" s="2">
        <f t="shared" si="10"/>
        <v>-1758136.24</v>
      </c>
      <c r="Y38" s="2"/>
      <c r="Z38" s="21">
        <f t="shared" si="11"/>
        <v>-1</v>
      </c>
    </row>
    <row r="39" spans="1:26" s="24" customFormat="1" hidden="1" outlineLevel="1" x14ac:dyDescent="0.25">
      <c r="A39" s="46"/>
      <c r="B39" s="11" t="str">
        <f>CONCATENATE("          ", "5001", " - ", "PURCHASES @ COST-NEW TEXT")</f>
        <v xml:space="preserve">          5001 - PURCHASES @ COST-NEW TEXT</v>
      </c>
      <c r="C39" s="11"/>
      <c r="D39" s="2">
        <v>1483764.14</v>
      </c>
      <c r="E39" s="2"/>
      <c r="F39" s="21">
        <f t="shared" si="4"/>
        <v>0.6902248260983781</v>
      </c>
      <c r="G39" s="2"/>
      <c r="H39" s="2"/>
      <c r="I39" s="2"/>
      <c r="J39" s="21">
        <f t="shared" si="5"/>
        <v>0</v>
      </c>
      <c r="K39" s="2"/>
      <c r="L39" s="2">
        <f t="shared" si="6"/>
        <v>1483764.14</v>
      </c>
      <c r="M39" s="2"/>
      <c r="N39" s="21">
        <f t="shared" si="7"/>
        <v>0</v>
      </c>
      <c r="O39" s="11"/>
      <c r="P39" s="2">
        <v>1827758.7</v>
      </c>
      <c r="Q39" s="2"/>
      <c r="R39" s="21">
        <f t="shared" si="8"/>
        <v>0.81530288417079722</v>
      </c>
      <c r="S39" s="2"/>
      <c r="T39" s="2"/>
      <c r="U39" s="2"/>
      <c r="V39" s="21">
        <f t="shared" si="9"/>
        <v>0</v>
      </c>
      <c r="W39" s="2"/>
      <c r="X39" s="2">
        <f t="shared" si="10"/>
        <v>1827758.7</v>
      </c>
      <c r="Y39" s="2"/>
      <c r="Z39" s="21">
        <f t="shared" si="11"/>
        <v>0</v>
      </c>
    </row>
    <row r="40" spans="1:26" s="24" customFormat="1" hidden="1" outlineLevel="1" x14ac:dyDescent="0.25">
      <c r="A40" s="46"/>
      <c r="B40" s="11" t="str">
        <f>CONCATENATE("          ", "5002", " - ", "PURCHASES @ COST-USED TEXT")</f>
        <v xml:space="preserve">          5002 - PURCHASES @ COST-USED TEXT</v>
      </c>
      <c r="C40" s="11"/>
      <c r="D40" s="2">
        <v>224687.41999999998</v>
      </c>
      <c r="E40" s="2"/>
      <c r="F40" s="21">
        <f t="shared" si="4"/>
        <v>0.10452121817419932</v>
      </c>
      <c r="G40" s="2"/>
      <c r="H40" s="2"/>
      <c r="I40" s="2"/>
      <c r="J40" s="21">
        <f t="shared" si="5"/>
        <v>0</v>
      </c>
      <c r="K40" s="2"/>
      <c r="L40" s="2">
        <f t="shared" si="6"/>
        <v>224687.41999999998</v>
      </c>
      <c r="M40" s="2"/>
      <c r="N40" s="21">
        <f t="shared" si="7"/>
        <v>0</v>
      </c>
      <c r="O40" s="11"/>
      <c r="P40" s="2">
        <v>334980.67</v>
      </c>
      <c r="Q40" s="2"/>
      <c r="R40" s="21">
        <f t="shared" si="8"/>
        <v>0.14942383061421949</v>
      </c>
      <c r="S40" s="2"/>
      <c r="T40" s="2"/>
      <c r="U40" s="2"/>
      <c r="V40" s="21">
        <f t="shared" si="9"/>
        <v>0</v>
      </c>
      <c r="W40" s="2"/>
      <c r="X40" s="2">
        <f t="shared" si="10"/>
        <v>334980.67</v>
      </c>
      <c r="Y40" s="2"/>
      <c r="Z40" s="21">
        <f t="shared" si="11"/>
        <v>0</v>
      </c>
    </row>
    <row r="41" spans="1:26" s="24" customFormat="1" hidden="1" outlineLevel="1" x14ac:dyDescent="0.25">
      <c r="A41" s="46"/>
      <c r="B41" s="11" t="str">
        <f>CONCATENATE("          ", "5003", " - ", "PURCHASES @ COST-RENTAL TEXT")</f>
        <v xml:space="preserve">          5003 - PURCHASES @ COST-RENTAL TEXT</v>
      </c>
      <c r="C41" s="11"/>
      <c r="D41" s="2">
        <v>-38374.199999999997</v>
      </c>
      <c r="E41" s="2"/>
      <c r="F41" s="21">
        <f t="shared" si="4"/>
        <v>-1.7851102346808555E-2</v>
      </c>
      <c r="G41" s="2"/>
      <c r="H41" s="2"/>
      <c r="I41" s="2"/>
      <c r="J41" s="21">
        <f t="shared" si="5"/>
        <v>0</v>
      </c>
      <c r="K41" s="2"/>
      <c r="L41" s="2">
        <f t="shared" si="6"/>
        <v>-38374.199999999997</v>
      </c>
      <c r="M41" s="2"/>
      <c r="N41" s="21">
        <f t="shared" si="7"/>
        <v>0</v>
      </c>
      <c r="O41" s="11"/>
      <c r="P41" s="2">
        <v>-78.400000000000006</v>
      </c>
      <c r="Q41" s="2"/>
      <c r="R41" s="21">
        <f t="shared" si="8"/>
        <v>-3.4971654693253821E-5</v>
      </c>
      <c r="S41" s="2"/>
      <c r="T41" s="2"/>
      <c r="U41" s="2"/>
      <c r="V41" s="21">
        <f t="shared" si="9"/>
        <v>0</v>
      </c>
      <c r="W41" s="2"/>
      <c r="X41" s="2">
        <f t="shared" si="10"/>
        <v>-78.400000000000006</v>
      </c>
      <c r="Y41" s="2"/>
      <c r="Z41" s="21">
        <f t="shared" si="11"/>
        <v>0</v>
      </c>
    </row>
    <row r="42" spans="1:26" s="24" customFormat="1" hidden="1" outlineLevel="1" x14ac:dyDescent="0.25">
      <c r="A42" s="46"/>
      <c r="B42" s="11" t="str">
        <f>CONCATENATE("          ", "5004", " - ", "PURCHASES @ COST-DIGITAL TEXT")</f>
        <v xml:space="preserve">          5004 - PURCHASES @ COST-DIGITAL TEXT</v>
      </c>
      <c r="C42" s="11"/>
      <c r="D42" s="2">
        <v>169007.92</v>
      </c>
      <c r="E42" s="2"/>
      <c r="F42" s="21">
        <f t="shared" si="4"/>
        <v>7.8619949792861687E-2</v>
      </c>
      <c r="G42" s="2"/>
      <c r="H42" s="2"/>
      <c r="I42" s="2"/>
      <c r="J42" s="21">
        <f t="shared" si="5"/>
        <v>0</v>
      </c>
      <c r="K42" s="2"/>
      <c r="L42" s="2">
        <f t="shared" si="6"/>
        <v>169007.92</v>
      </c>
      <c r="M42" s="2"/>
      <c r="N42" s="21">
        <f t="shared" si="7"/>
        <v>0</v>
      </c>
      <c r="O42" s="11"/>
      <c r="P42" s="2">
        <v>302966.49000000005</v>
      </c>
      <c r="Q42" s="2"/>
      <c r="R42" s="21">
        <f t="shared" si="8"/>
        <v>0.13514336061106044</v>
      </c>
      <c r="S42" s="2"/>
      <c r="T42" s="2"/>
      <c r="U42" s="2"/>
      <c r="V42" s="21">
        <f t="shared" si="9"/>
        <v>0</v>
      </c>
      <c r="W42" s="2"/>
      <c r="X42" s="2">
        <f t="shared" si="10"/>
        <v>302966.49000000005</v>
      </c>
      <c r="Y42" s="2"/>
      <c r="Z42" s="21">
        <f t="shared" si="11"/>
        <v>0</v>
      </c>
    </row>
    <row r="43" spans="1:26" s="24" customFormat="1" hidden="1" outlineLevel="1" x14ac:dyDescent="0.25">
      <c r="A43" s="46"/>
      <c r="B43" s="11" t="str">
        <f>CONCATENATE("          ", "5011", " - ", "PURCHASES @ COST-NO VALUE TEXT")</f>
        <v xml:space="preserve">          5011 - PURCHASES @ COST-NO VALUE TEXT</v>
      </c>
      <c r="C43" s="11"/>
      <c r="D43" s="2">
        <v>369</v>
      </c>
      <c r="E43" s="2"/>
      <c r="F43" s="21">
        <f t="shared" si="4"/>
        <v>1.7165326615205939E-4</v>
      </c>
      <c r="G43" s="2"/>
      <c r="H43" s="2"/>
      <c r="I43" s="2"/>
      <c r="J43" s="21">
        <f t="shared" si="5"/>
        <v>0</v>
      </c>
      <c r="K43" s="2"/>
      <c r="L43" s="2">
        <f t="shared" si="6"/>
        <v>369</v>
      </c>
      <c r="M43" s="2"/>
      <c r="N43" s="21">
        <f t="shared" si="7"/>
        <v>0</v>
      </c>
      <c r="O43" s="11"/>
      <c r="P43" s="2">
        <v>657</v>
      </c>
      <c r="Q43" s="2"/>
      <c r="R43" s="21">
        <f t="shared" si="8"/>
        <v>2.9306603486566019E-4</v>
      </c>
      <c r="S43" s="2"/>
      <c r="T43" s="2"/>
      <c r="U43" s="2"/>
      <c r="V43" s="21">
        <f t="shared" si="9"/>
        <v>0</v>
      </c>
      <c r="W43" s="2"/>
      <c r="X43" s="2">
        <f t="shared" si="10"/>
        <v>657</v>
      </c>
      <c r="Y43" s="2"/>
      <c r="Z43" s="21">
        <f t="shared" si="11"/>
        <v>0</v>
      </c>
    </row>
    <row r="44" spans="1:26" s="24" customFormat="1" hidden="1" outlineLevel="1" x14ac:dyDescent="0.25">
      <c r="A44" s="46"/>
      <c r="B44" s="11" t="str">
        <f>CONCATENATE("          ", "5013", " - ", "PURCHASES @ COST-TRADE BOOKS")</f>
        <v xml:space="preserve">          5013 - PURCHASES @ COST-TRADE BOOKS</v>
      </c>
      <c r="C44" s="11"/>
      <c r="D44" s="2"/>
      <c r="E44" s="2"/>
      <c r="F44" s="21">
        <f t="shared" si="4"/>
        <v>0</v>
      </c>
      <c r="G44" s="2"/>
      <c r="H44" s="2"/>
      <c r="I44" s="2"/>
      <c r="J44" s="21">
        <f t="shared" si="5"/>
        <v>0</v>
      </c>
      <c r="K44" s="2"/>
      <c r="L44" s="2">
        <f t="shared" si="6"/>
        <v>0</v>
      </c>
      <c r="M44" s="2"/>
      <c r="N44" s="21">
        <f t="shared" si="7"/>
        <v>0</v>
      </c>
      <c r="O44" s="11"/>
      <c r="P44" s="2">
        <v>204.9</v>
      </c>
      <c r="Q44" s="2"/>
      <c r="R44" s="21">
        <f t="shared" si="8"/>
        <v>9.1399133248057496E-5</v>
      </c>
      <c r="S44" s="2"/>
      <c r="T44" s="2"/>
      <c r="U44" s="2"/>
      <c r="V44" s="21">
        <f t="shared" si="9"/>
        <v>0</v>
      </c>
      <c r="W44" s="2"/>
      <c r="X44" s="2">
        <f t="shared" si="10"/>
        <v>204.9</v>
      </c>
      <c r="Y44" s="2"/>
      <c r="Z44" s="21">
        <f t="shared" si="11"/>
        <v>0</v>
      </c>
    </row>
    <row r="45" spans="1:26" s="24" customFormat="1" hidden="1" outlineLevel="1" x14ac:dyDescent="0.25">
      <c r="A45" s="46"/>
      <c r="B45" s="11" t="str">
        <f>CONCATENATE("          ", "5014", " - ", "PURCHASES @ COST-REMAINDERS")</f>
        <v xml:space="preserve">          5014 - PURCHASES @ COST-REMAINDERS</v>
      </c>
      <c r="C45" s="11"/>
      <c r="D45" s="2">
        <v>133.84</v>
      </c>
      <c r="E45" s="2"/>
      <c r="F45" s="21">
        <f t="shared" si="4"/>
        <v>6.2260360817863492E-5</v>
      </c>
      <c r="G45" s="2"/>
      <c r="H45" s="2"/>
      <c r="I45" s="2"/>
      <c r="J45" s="21">
        <f t="shared" si="5"/>
        <v>0</v>
      </c>
      <c r="K45" s="2"/>
      <c r="L45" s="2">
        <f t="shared" si="6"/>
        <v>133.84</v>
      </c>
      <c r="M45" s="2"/>
      <c r="N45" s="21">
        <f t="shared" si="7"/>
        <v>0</v>
      </c>
      <c r="O45" s="11"/>
      <c r="P45" s="2">
        <v>234.32</v>
      </c>
      <c r="Q45" s="2"/>
      <c r="R45" s="21">
        <f t="shared" si="8"/>
        <v>1.0452242509851065E-4</v>
      </c>
      <c r="S45" s="2"/>
      <c r="T45" s="2"/>
      <c r="U45" s="2"/>
      <c r="V45" s="21">
        <f t="shared" si="9"/>
        <v>0</v>
      </c>
      <c r="W45" s="2"/>
      <c r="X45" s="2">
        <f t="shared" si="10"/>
        <v>234.32</v>
      </c>
      <c r="Y45" s="2"/>
      <c r="Z45" s="21">
        <f t="shared" si="11"/>
        <v>0</v>
      </c>
    </row>
    <row r="46" spans="1:26" s="24" customFormat="1" hidden="1" outlineLevel="1" x14ac:dyDescent="0.25">
      <c r="A46" s="46"/>
      <c r="B46" s="11" t="str">
        <f>CONCATENATE("          ", "5018", " - ", "PURCHASES @ COST-STUDY GUIDES")</f>
        <v xml:space="preserve">          5018 - PURCHASES @ COST-STUDY GUIDES</v>
      </c>
      <c r="C46" s="11"/>
      <c r="D46" s="2"/>
      <c r="E46" s="2"/>
      <c r="F46" s="21">
        <f t="shared" si="4"/>
        <v>0</v>
      </c>
      <c r="G46" s="2"/>
      <c r="H46" s="2"/>
      <c r="I46" s="2"/>
      <c r="J46" s="21">
        <f t="shared" si="5"/>
        <v>0</v>
      </c>
      <c r="K46" s="2"/>
      <c r="L46" s="2">
        <f t="shared" si="6"/>
        <v>0</v>
      </c>
      <c r="M46" s="2"/>
      <c r="N46" s="21">
        <f t="shared" si="7"/>
        <v>0</v>
      </c>
      <c r="O46" s="11"/>
      <c r="P46" s="2">
        <v>503.93</v>
      </c>
      <c r="Q46" s="2"/>
      <c r="R46" s="21">
        <f t="shared" si="8"/>
        <v>2.2478655547922703E-4</v>
      </c>
      <c r="S46" s="2"/>
      <c r="T46" s="2"/>
      <c r="U46" s="2"/>
      <c r="V46" s="21">
        <f t="shared" si="9"/>
        <v>0</v>
      </c>
      <c r="W46" s="2"/>
      <c r="X46" s="2">
        <f t="shared" si="10"/>
        <v>503.93</v>
      </c>
      <c r="Y46" s="2"/>
      <c r="Z46" s="21">
        <f t="shared" si="11"/>
        <v>0</v>
      </c>
    </row>
    <row r="47" spans="1:26" s="24" customFormat="1" hidden="1" outlineLevel="1" x14ac:dyDescent="0.25">
      <c r="A47" s="46"/>
      <c r="B47" s="11" t="str">
        <f>CONCATENATE("          ", "5200", " - ", "PURCHASES OFFSET")</f>
        <v xml:space="preserve">          5200 - PURCHASES OFFSET</v>
      </c>
      <c r="C47" s="11"/>
      <c r="D47" s="2">
        <v>-1332572</v>
      </c>
      <c r="E47" s="2"/>
      <c r="F47" s="21">
        <f t="shared" si="4"/>
        <v>-0.61989250998043932</v>
      </c>
      <c r="G47" s="2"/>
      <c r="H47" s="2"/>
      <c r="I47" s="2"/>
      <c r="J47" s="21">
        <f t="shared" si="5"/>
        <v>0</v>
      </c>
      <c r="K47" s="2"/>
      <c r="L47" s="2">
        <f t="shared" si="6"/>
        <v>-1332572</v>
      </c>
      <c r="M47" s="2"/>
      <c r="N47" s="21">
        <f t="shared" si="7"/>
        <v>0</v>
      </c>
      <c r="O47" s="11"/>
      <c r="P47" s="2">
        <v>-1949502</v>
      </c>
      <c r="Q47" s="2"/>
      <c r="R47" s="21">
        <f t="shared" si="8"/>
        <v>-0.86960855571183304</v>
      </c>
      <c r="S47" s="2"/>
      <c r="T47" s="2"/>
      <c r="U47" s="2"/>
      <c r="V47" s="21">
        <f t="shared" si="9"/>
        <v>0</v>
      </c>
      <c r="W47" s="2"/>
      <c r="X47" s="2">
        <f t="shared" si="10"/>
        <v>-1949502</v>
      </c>
      <c r="Y47" s="2"/>
      <c r="Z47" s="21">
        <f t="shared" si="11"/>
        <v>0</v>
      </c>
    </row>
    <row r="48" spans="1:26" s="24" customFormat="1" hidden="1" outlineLevel="1" x14ac:dyDescent="0.25">
      <c r="A48" s="46"/>
      <c r="B48" s="11" t="str">
        <f>CONCATENATE("          ", "5300", " - ", "COG$ OFFSET")</f>
        <v xml:space="preserve">          5300 - COG$ OFFSET</v>
      </c>
      <c r="C48" s="11"/>
      <c r="D48" s="2">
        <v>1039635.0000000001</v>
      </c>
      <c r="E48" s="2"/>
      <c r="F48" s="21">
        <f t="shared" si="4"/>
        <v>0.48362261072085716</v>
      </c>
      <c r="G48" s="2"/>
      <c r="H48" s="2"/>
      <c r="I48" s="2"/>
      <c r="J48" s="21">
        <f t="shared" si="5"/>
        <v>0</v>
      </c>
      <c r="K48" s="2"/>
      <c r="L48" s="2">
        <f t="shared" si="6"/>
        <v>1039635.0000000001</v>
      </c>
      <c r="M48" s="2"/>
      <c r="N48" s="21">
        <f t="shared" si="7"/>
        <v>0</v>
      </c>
      <c r="O48" s="11"/>
      <c r="P48" s="2">
        <v>1102923</v>
      </c>
      <c r="Q48" s="2"/>
      <c r="R48" s="21">
        <f t="shared" si="8"/>
        <v>0.49197758047509671</v>
      </c>
      <c r="S48" s="2"/>
      <c r="T48" s="2"/>
      <c r="U48" s="2"/>
      <c r="V48" s="21">
        <f t="shared" si="9"/>
        <v>0</v>
      </c>
      <c r="W48" s="2"/>
      <c r="X48" s="2">
        <f t="shared" si="10"/>
        <v>1102923</v>
      </c>
      <c r="Y48" s="2"/>
      <c r="Z48" s="21">
        <f t="shared" si="11"/>
        <v>0</v>
      </c>
    </row>
    <row r="49" spans="1:26" s="24" customFormat="1" hidden="1" outlineLevel="1" x14ac:dyDescent="0.25">
      <c r="A49" s="46"/>
      <c r="B49" s="11" t="str">
        <f>CONCATENATE("          ", "5501", " - ", "FREIGHT-IN-NEW TEXT")</f>
        <v xml:space="preserve">          5501 - FREIGHT-IN-NEW TEXT</v>
      </c>
      <c r="C49" s="11"/>
      <c r="D49" s="2">
        <v>11008.16</v>
      </c>
      <c r="E49" s="2"/>
      <c r="F49" s="21">
        <f t="shared" si="4"/>
        <v>5.1208309439687103E-3</v>
      </c>
      <c r="G49" s="2"/>
      <c r="H49" s="2"/>
      <c r="I49" s="2"/>
      <c r="J49" s="21">
        <f t="shared" si="5"/>
        <v>0</v>
      </c>
      <c r="K49" s="2"/>
      <c r="L49" s="2">
        <f t="shared" si="6"/>
        <v>11008.16</v>
      </c>
      <c r="M49" s="2"/>
      <c r="N49" s="21">
        <f t="shared" si="7"/>
        <v>0</v>
      </c>
      <c r="O49" s="11"/>
      <c r="P49" s="2">
        <v>12724.24</v>
      </c>
      <c r="Q49" s="2"/>
      <c r="R49" s="21">
        <f t="shared" si="8"/>
        <v>5.675863871353163E-3</v>
      </c>
      <c r="S49" s="2"/>
      <c r="T49" s="2"/>
      <c r="U49" s="2"/>
      <c r="V49" s="21">
        <f t="shared" si="9"/>
        <v>0</v>
      </c>
      <c r="W49" s="2"/>
      <c r="X49" s="2">
        <f t="shared" si="10"/>
        <v>12724.24</v>
      </c>
      <c r="Y49" s="2"/>
      <c r="Z49" s="21">
        <f t="shared" si="11"/>
        <v>0</v>
      </c>
    </row>
    <row r="50" spans="1:26" s="24" customFormat="1" hidden="1" outlineLevel="1" x14ac:dyDescent="0.25">
      <c r="A50" s="46"/>
      <c r="B50" s="11" t="str">
        <f>CONCATENATE("          ", "5502", " - ", "FREIGHT-IN-USED TEXT")</f>
        <v xml:space="preserve">          5502 - FREIGHT-IN-USED TEXT</v>
      </c>
      <c r="C50" s="11"/>
      <c r="D50" s="2">
        <v>3985.02</v>
      </c>
      <c r="E50" s="2"/>
      <c r="F50" s="21">
        <f t="shared" si="4"/>
        <v>1.8537715411416796E-3</v>
      </c>
      <c r="G50" s="2"/>
      <c r="H50" s="2"/>
      <c r="I50" s="2"/>
      <c r="J50" s="21">
        <f t="shared" si="5"/>
        <v>0</v>
      </c>
      <c r="K50" s="2"/>
      <c r="L50" s="2">
        <f t="shared" si="6"/>
        <v>3985.02</v>
      </c>
      <c r="M50" s="2"/>
      <c r="N50" s="21">
        <f t="shared" si="7"/>
        <v>0</v>
      </c>
      <c r="O50" s="11"/>
      <c r="P50" s="2">
        <v>4262.51</v>
      </c>
      <c r="Q50" s="2"/>
      <c r="R50" s="21">
        <f t="shared" si="8"/>
        <v>1.9013651511038438E-3</v>
      </c>
      <c r="S50" s="2"/>
      <c r="T50" s="2"/>
      <c r="U50" s="2"/>
      <c r="V50" s="21">
        <f t="shared" si="9"/>
        <v>0</v>
      </c>
      <c r="W50" s="2"/>
      <c r="X50" s="2">
        <f t="shared" si="10"/>
        <v>4262.51</v>
      </c>
      <c r="Y50" s="2"/>
      <c r="Z50" s="21">
        <f t="shared" si="11"/>
        <v>0</v>
      </c>
    </row>
    <row r="51" spans="1:26" s="24" customFormat="1" hidden="1" outlineLevel="1" x14ac:dyDescent="0.25">
      <c r="A51" s="46"/>
      <c r="B51" s="11" t="str">
        <f>CONCATENATE("          ", "5504", " - ", "FREIGHT-IN-DIGITAL TEXT")</f>
        <v xml:space="preserve">          5504 - FREIGHT-IN-DIGITAL TEXT</v>
      </c>
      <c r="C51" s="11"/>
      <c r="D51" s="2">
        <v>7.03</v>
      </c>
      <c r="E51" s="2"/>
      <c r="F51" s="21">
        <f t="shared" si="4"/>
        <v>3.2702505719484488E-6</v>
      </c>
      <c r="G51" s="2"/>
      <c r="H51" s="2"/>
      <c r="I51" s="2"/>
      <c r="J51" s="21">
        <f t="shared" si="5"/>
        <v>0</v>
      </c>
      <c r="K51" s="2"/>
      <c r="L51" s="2">
        <f t="shared" si="6"/>
        <v>7.03</v>
      </c>
      <c r="M51" s="2"/>
      <c r="N51" s="21">
        <f t="shared" si="7"/>
        <v>0</v>
      </c>
      <c r="O51" s="11"/>
      <c r="P51" s="2">
        <v>7.03</v>
      </c>
      <c r="Q51" s="2"/>
      <c r="R51" s="21">
        <f t="shared" si="8"/>
        <v>3.1358511797649791E-6</v>
      </c>
      <c r="S51" s="2"/>
      <c r="T51" s="2"/>
      <c r="U51" s="2"/>
      <c r="V51" s="21">
        <f t="shared" si="9"/>
        <v>0</v>
      </c>
      <c r="W51" s="2"/>
      <c r="X51" s="2">
        <f t="shared" si="10"/>
        <v>7.03</v>
      </c>
      <c r="Y51" s="2"/>
      <c r="Z51" s="21">
        <f t="shared" si="11"/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6</v>
      </c>
      <c r="C53" s="29"/>
      <c r="D53" s="22">
        <f>D12-D37</f>
        <v>588031.04000000097</v>
      </c>
      <c r="E53" s="14"/>
      <c r="F53" s="20">
        <f>IF(D$12=0,0,D53/D$12)</f>
        <v>0.27354322117829932</v>
      </c>
      <c r="G53" s="14"/>
      <c r="H53" s="22">
        <f>H12-H37</f>
        <v>651483.10999999987</v>
      </c>
      <c r="I53" s="14"/>
      <c r="J53" s="20">
        <f>IF(H$12=0,0,H53/H$12)</f>
        <v>0.28105397325280407</v>
      </c>
      <c r="K53" s="15"/>
      <c r="L53" s="22">
        <f>+D53-H53</f>
        <v>-63452.069999998901</v>
      </c>
      <c r="M53" s="15"/>
      <c r="N53" s="20">
        <f>IF(H53=0,0,L53/H53)</f>
        <v>-9.7396339254288436E-2</v>
      </c>
      <c r="O53" s="28"/>
      <c r="P53" s="22">
        <f>P12-P37</f>
        <v>604173.17999999993</v>
      </c>
      <c r="Q53" s="14"/>
      <c r="R53" s="20">
        <f>IF(P$12=0,0,P53/P$12)</f>
        <v>0.269501732473024</v>
      </c>
      <c r="S53" s="14"/>
      <c r="T53" s="22">
        <f>T12-T37</f>
        <v>686689.76</v>
      </c>
      <c r="U53" s="14"/>
      <c r="V53" s="20">
        <f>IF(T$12=0,0,T53/T$12)</f>
        <v>0.28087469619514843</v>
      </c>
      <c r="W53" s="15"/>
      <c r="X53" s="22">
        <f>+P53-T53</f>
        <v>-82516.580000000075</v>
      </c>
      <c r="Y53" s="15"/>
      <c r="Z53" s="20">
        <f>IF(T53=0,0,X53/T53)</f>
        <v>-0.1201657353970155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8" t="s">
        <v>9</v>
      </c>
      <c r="C55" s="10"/>
      <c r="D55" s="19">
        <f>SUM(OSRRefD22x_0)</f>
        <v>50645.710000000006</v>
      </c>
      <c r="E55" s="19"/>
      <c r="F55" s="34">
        <f t="shared" ref="F55:F66" si="12">IF(D$12=0,0,D55/D$12)</f>
        <v>2.3559624764471591E-2</v>
      </c>
      <c r="G55" s="19"/>
      <c r="H55" s="19">
        <f>SUM(OSRRefH22x_0)</f>
        <v>60659.57836029787</v>
      </c>
      <c r="I55" s="19"/>
      <c r="J55" s="34">
        <f t="shared" ref="J55:J66" si="13">IF(H$12=0,0,H55/H$12)</f>
        <v>2.6168929404787693E-2</v>
      </c>
      <c r="K55" s="4"/>
      <c r="L55" s="19">
        <f t="shared" ref="L55:L66" si="14">+D55-H55</f>
        <v>-10013.868360297864</v>
      </c>
      <c r="M55" s="4"/>
      <c r="N55" s="34">
        <f t="shared" ref="N55:N66" si="15">IF(H55=0,0,L55/H55)</f>
        <v>-0.16508305252006189</v>
      </c>
      <c r="O55" s="10"/>
      <c r="P55" s="19">
        <f>SUM(OSRRefP22x_0)</f>
        <v>93637.060000000027</v>
      </c>
      <c r="Q55" s="19"/>
      <c r="R55" s="34">
        <f t="shared" ref="R55:R66" si="16">IF(P$12=0,0,P55/P$12)</f>
        <v>4.1768404704228199E-2</v>
      </c>
      <c r="S55" s="19"/>
      <c r="T55" s="19">
        <f>SUM(OSRRefT22x_0)</f>
        <v>112887.92305167012</v>
      </c>
      <c r="U55" s="19"/>
      <c r="V55" s="34">
        <f t="shared" ref="V55:V66" si="17">IF(T$12=0,0,T55/T$12)</f>
        <v>4.617421569128851E-2</v>
      </c>
      <c r="W55" s="4"/>
      <c r="X55" s="19">
        <f t="shared" ref="X55:X66" si="18">+P55-T55</f>
        <v>-19250.863051670094</v>
      </c>
      <c r="Y55" s="4"/>
      <c r="Z55" s="34">
        <f t="shared" ref="Z55:Z66" si="19">IF(T55=0,0,X55/T55)</f>
        <v>-0.17053075768661941</v>
      </c>
    </row>
    <row r="56" spans="1:26" s="26" customFormat="1" outlineLevel="1" collapsed="1" x14ac:dyDescent="0.25">
      <c r="A56" s="25"/>
      <c r="B56" s="13" t="str">
        <f>CONCATENATE("     ","*Benefits                                         ")</f>
        <v xml:space="preserve">     *Benefits                                         </v>
      </c>
      <c r="C56" s="13"/>
      <c r="D56" s="1">
        <f>SUM(OSRRefD22_0x_0)</f>
        <v>9693.15</v>
      </c>
      <c r="E56" s="1"/>
      <c r="F56" s="5">
        <f t="shared" si="12"/>
        <v>4.5091080130131014E-3</v>
      </c>
      <c r="G56" s="1"/>
      <c r="H56" s="1">
        <f>SUM(OSRRefH22_0x_0)</f>
        <v>12505.461144574771</v>
      </c>
      <c r="I56" s="1"/>
      <c r="J56" s="5">
        <f t="shared" si="13"/>
        <v>5.394935782819142E-3</v>
      </c>
      <c r="K56" s="1"/>
      <c r="L56" s="1">
        <f t="shared" si="14"/>
        <v>-2812.3111445747709</v>
      </c>
      <c r="M56" s="1"/>
      <c r="N56" s="5">
        <f t="shared" si="15"/>
        <v>-0.2248866404894499</v>
      </c>
      <c r="O56" s="13"/>
      <c r="P56" s="1">
        <f>SUM(OSRRefP22_0x_0)</f>
        <v>20919.760000000002</v>
      </c>
      <c r="Q56" s="1"/>
      <c r="R56" s="5">
        <f t="shared" si="16"/>
        <v>9.3316150891038733E-3</v>
      </c>
      <c r="S56" s="1"/>
      <c r="T56" s="1">
        <f>SUM(OSRRefT22_0x_0)</f>
        <v>26733.461816293224</v>
      </c>
      <c r="U56" s="1"/>
      <c r="V56" s="5">
        <f t="shared" si="17"/>
        <v>1.0934709388845351E-2</v>
      </c>
      <c r="W56" s="1"/>
      <c r="X56" s="1">
        <f t="shared" si="18"/>
        <v>-5813.7018162932218</v>
      </c>
      <c r="Y56" s="1"/>
      <c r="Z56" s="5">
        <f t="shared" si="19"/>
        <v>-0.21746909757680349</v>
      </c>
    </row>
    <row r="57" spans="1:26" s="24" customFormat="1" hidden="1" outlineLevel="2" x14ac:dyDescent="0.25">
      <c r="A57" s="27"/>
      <c r="B57" s="11" t="str">
        <f>CONCATENATE("          ", "6111", " - ", "F.I.C.A.")</f>
        <v xml:space="preserve">          6111 - F.I.C.A.</v>
      </c>
      <c r="C57" s="11"/>
      <c r="D57" s="6">
        <v>1765.5</v>
      </c>
      <c r="E57" s="2"/>
      <c r="F57" s="7">
        <f t="shared" si="12"/>
        <v>8.2128412301208905E-4</v>
      </c>
      <c r="G57" s="2"/>
      <c r="H57" s="6">
        <v>1876.1700046486201</v>
      </c>
      <c r="I57" s="2"/>
      <c r="J57" s="7">
        <f t="shared" si="13"/>
        <v>8.0939171900285597E-4</v>
      </c>
      <c r="K57" s="2"/>
      <c r="L57" s="6">
        <f t="shared" si="14"/>
        <v>-110.67000464862008</v>
      </c>
      <c r="M57" s="2"/>
      <c r="N57" s="7">
        <f t="shared" si="15"/>
        <v>-5.8987194323761184E-2</v>
      </c>
      <c r="O57" s="11"/>
      <c r="P57" s="6">
        <v>3386.25</v>
      </c>
      <c r="Q57" s="2"/>
      <c r="R57" s="7">
        <f t="shared" si="16"/>
        <v>1.5104944605233515E-3</v>
      </c>
      <c r="S57" s="2"/>
      <c r="T57" s="6">
        <v>4221.3825104593898</v>
      </c>
      <c r="U57" s="2"/>
      <c r="V57" s="7">
        <f t="shared" si="17"/>
        <v>1.7266596929431336E-3</v>
      </c>
      <c r="W57" s="2"/>
      <c r="X57" s="6">
        <f t="shared" si="18"/>
        <v>-835.13251045938978</v>
      </c>
      <c r="Y57" s="2"/>
      <c r="Z57" s="7">
        <f t="shared" si="19"/>
        <v>-0.19783388697664048</v>
      </c>
    </row>
    <row r="58" spans="1:26" s="24" customFormat="1" hidden="1" outlineLevel="2" x14ac:dyDescent="0.25">
      <c r="A58" s="27"/>
      <c r="B58" s="11" t="str">
        <f>CONCATENATE("          ", "6112", " - ", "COMPENSATION INSURANCE")</f>
        <v xml:space="preserve">          6112 - COMPENSATION INSURANCE</v>
      </c>
      <c r="C58" s="11"/>
      <c r="D58" s="6">
        <v>96.33</v>
      </c>
      <c r="E58" s="2"/>
      <c r="F58" s="7">
        <f t="shared" si="12"/>
        <v>4.4811271350753067E-5</v>
      </c>
      <c r="G58" s="2"/>
      <c r="H58" s="6">
        <v>691.19442950769201</v>
      </c>
      <c r="I58" s="2"/>
      <c r="J58" s="7">
        <f t="shared" si="13"/>
        <v>2.9818569003783088E-4</v>
      </c>
      <c r="K58" s="2"/>
      <c r="L58" s="6">
        <f t="shared" si="14"/>
        <v>-594.86442950769197</v>
      </c>
      <c r="M58" s="2"/>
      <c r="N58" s="7">
        <f t="shared" si="15"/>
        <v>-0.86063255737085187</v>
      </c>
      <c r="O58" s="11"/>
      <c r="P58" s="6">
        <v>181.44</v>
      </c>
      <c r="Q58" s="2"/>
      <c r="R58" s="7">
        <f t="shared" si="16"/>
        <v>8.0934400861530271E-5</v>
      </c>
      <c r="S58" s="2"/>
      <c r="T58" s="6">
        <v>1338.6862188923071</v>
      </c>
      <c r="U58" s="2"/>
      <c r="V58" s="7">
        <f t="shared" si="17"/>
        <v>5.4755889330868827E-4</v>
      </c>
      <c r="W58" s="2"/>
      <c r="X58" s="6">
        <f t="shared" si="18"/>
        <v>-1157.2462188923071</v>
      </c>
      <c r="Y58" s="2"/>
      <c r="Z58" s="7">
        <f t="shared" si="19"/>
        <v>-0.86446413099693209</v>
      </c>
    </row>
    <row r="59" spans="1:26" s="24" customFormat="1" hidden="1" outlineLevel="2" x14ac:dyDescent="0.25">
      <c r="A59" s="27"/>
      <c r="B59" s="11" t="str">
        <f>CONCATENATE("          ", "6113", " - ", "GROUP INSURANCE")</f>
        <v xml:space="preserve">          6113 - GROUP INSURANCE</v>
      </c>
      <c r="C59" s="11"/>
      <c r="D59" s="6">
        <v>4168.57</v>
      </c>
      <c r="E59" s="2"/>
      <c r="F59" s="7">
        <f t="shared" si="12"/>
        <v>1.939156248464743E-3</v>
      </c>
      <c r="G59" s="2"/>
      <c r="H59" s="6">
        <v>5311.7692307692296</v>
      </c>
      <c r="I59" s="2"/>
      <c r="J59" s="7">
        <f t="shared" si="13"/>
        <v>2.2915311608150257E-3</v>
      </c>
      <c r="K59" s="2"/>
      <c r="L59" s="6">
        <f t="shared" si="14"/>
        <v>-1143.1992307692299</v>
      </c>
      <c r="M59" s="2"/>
      <c r="N59" s="7">
        <f t="shared" si="15"/>
        <v>-0.21522004836864425</v>
      </c>
      <c r="O59" s="11"/>
      <c r="P59" s="6">
        <v>8337.14</v>
      </c>
      <c r="Q59" s="2"/>
      <c r="R59" s="7">
        <f t="shared" si="16"/>
        <v>3.7189232297106397E-3</v>
      </c>
      <c r="S59" s="2"/>
      <c r="T59" s="6">
        <v>11095.23076923077</v>
      </c>
      <c r="U59" s="2"/>
      <c r="V59" s="7">
        <f t="shared" si="17"/>
        <v>4.5382496624425499E-3</v>
      </c>
      <c r="W59" s="2"/>
      <c r="X59" s="6">
        <f t="shared" si="18"/>
        <v>-2758.0907692307701</v>
      </c>
      <c r="Y59" s="2"/>
      <c r="Z59" s="7">
        <f t="shared" si="19"/>
        <v>-0.24858345234958895</v>
      </c>
    </row>
    <row r="60" spans="1:26" s="24" customFormat="1" hidden="1" outlineLevel="2" x14ac:dyDescent="0.25">
      <c r="A60" s="27"/>
      <c r="B60" s="11" t="str">
        <f>CONCATENATE("          ", "6114", " - ", "STATE UNEMPLOYMENT INSURANCE")</f>
        <v xml:space="preserve">          6114 - STATE UNEMPLOYMENT INSURANCE</v>
      </c>
      <c r="C60" s="11"/>
      <c r="D60" s="6">
        <v>58.34</v>
      </c>
      <c r="E60" s="2"/>
      <c r="F60" s="7">
        <f t="shared" si="12"/>
        <v>2.7138893082144025E-5</v>
      </c>
      <c r="G60" s="2"/>
      <c r="H60" s="6">
        <v>94.584500879999993</v>
      </c>
      <c r="I60" s="2"/>
      <c r="J60" s="7">
        <f t="shared" si="13"/>
        <v>4.0804357584124242E-5</v>
      </c>
      <c r="K60" s="2"/>
      <c r="L60" s="6">
        <f t="shared" si="14"/>
        <v>-36.24450087999999</v>
      </c>
      <c r="M60" s="2"/>
      <c r="N60" s="7">
        <f t="shared" si="15"/>
        <v>-0.3831970411937114</v>
      </c>
      <c r="O60" s="11"/>
      <c r="P60" s="6">
        <v>113.43</v>
      </c>
      <c r="Q60" s="2"/>
      <c r="R60" s="7">
        <f t="shared" si="16"/>
        <v>5.0597382549180881E-5</v>
      </c>
      <c r="S60" s="2"/>
      <c r="T60" s="6">
        <v>183.18864048</v>
      </c>
      <c r="U60" s="2"/>
      <c r="V60" s="7">
        <f t="shared" si="17"/>
        <v>7.4929111715925804E-5</v>
      </c>
      <c r="W60" s="2"/>
      <c r="X60" s="6">
        <f t="shared" si="18"/>
        <v>-69.758640479999997</v>
      </c>
      <c r="Y60" s="2"/>
      <c r="Z60" s="7">
        <f t="shared" si="19"/>
        <v>-0.38080221730569608</v>
      </c>
    </row>
    <row r="61" spans="1:26" s="24" customFormat="1" hidden="1" outlineLevel="2" x14ac:dyDescent="0.25">
      <c r="A61" s="27"/>
      <c r="B61" s="11" t="str">
        <f>CONCATENATE("          ", "6115", " - ", "P.E.R.S.")</f>
        <v xml:space="preserve">          6115 - P.E.R.S.</v>
      </c>
      <c r="C61" s="11"/>
      <c r="D61" s="6">
        <v>1325.86</v>
      </c>
      <c r="E61" s="2"/>
      <c r="F61" s="7">
        <f t="shared" si="12"/>
        <v>6.1677018823948356E-4</v>
      </c>
      <c r="G61" s="2"/>
      <c r="H61" s="6">
        <v>1235.9586478769202</v>
      </c>
      <c r="I61" s="2"/>
      <c r="J61" s="7">
        <f t="shared" si="13"/>
        <v>5.3320045206079391E-4</v>
      </c>
      <c r="K61" s="2"/>
      <c r="L61" s="6">
        <f t="shared" si="14"/>
        <v>89.901352123079732</v>
      </c>
      <c r="M61" s="2"/>
      <c r="N61" s="7">
        <f t="shared" si="15"/>
        <v>7.273815533999349E-2</v>
      </c>
      <c r="O61" s="11"/>
      <c r="P61" s="6">
        <v>2651.72</v>
      </c>
      <c r="Q61" s="2"/>
      <c r="R61" s="7">
        <f t="shared" si="16"/>
        <v>1.1828448492754466E-3</v>
      </c>
      <c r="S61" s="2"/>
      <c r="T61" s="6">
        <v>2780.9069577230703</v>
      </c>
      <c r="U61" s="2"/>
      <c r="V61" s="7">
        <f t="shared" si="17"/>
        <v>1.1374662072978078E-3</v>
      </c>
      <c r="W61" s="2"/>
      <c r="X61" s="6">
        <f t="shared" si="18"/>
        <v>-129.18695772307046</v>
      </c>
      <c r="Y61" s="2"/>
      <c r="Z61" s="7">
        <f t="shared" si="19"/>
        <v>-4.6454973031116863E-2</v>
      </c>
    </row>
    <row r="62" spans="1:26" s="24" customFormat="1" hidden="1" outlineLevel="2" x14ac:dyDescent="0.25">
      <c r="A62" s="27"/>
      <c r="B62" s="11" t="str">
        <f>CONCATENATE("          ", "6116", " - ", "EDUCATIONAL BENEFITS")</f>
        <v xml:space="preserve">          6116 - EDUCATIONAL BENEFITS</v>
      </c>
      <c r="C62" s="11"/>
      <c r="D62" s="6"/>
      <c r="E62" s="2"/>
      <c r="F62" s="7">
        <f t="shared" si="12"/>
        <v>0</v>
      </c>
      <c r="G62" s="2"/>
      <c r="H62" s="6">
        <v>0</v>
      </c>
      <c r="I62" s="2"/>
      <c r="J62" s="7">
        <f t="shared" si="13"/>
        <v>0</v>
      </c>
      <c r="K62" s="2"/>
      <c r="L62" s="6">
        <f t="shared" si="14"/>
        <v>0</v>
      </c>
      <c r="M62" s="2"/>
      <c r="N62" s="7">
        <f t="shared" si="15"/>
        <v>0</v>
      </c>
      <c r="O62" s="11"/>
      <c r="P62" s="6"/>
      <c r="Q62" s="2"/>
      <c r="R62" s="7">
        <f t="shared" si="16"/>
        <v>0</v>
      </c>
      <c r="S62" s="2"/>
      <c r="T62" s="6">
        <v>0</v>
      </c>
      <c r="U62" s="2"/>
      <c r="V62" s="7">
        <f t="shared" si="17"/>
        <v>0</v>
      </c>
      <c r="W62" s="2"/>
      <c r="X62" s="6">
        <f t="shared" si="18"/>
        <v>0</v>
      </c>
      <c r="Y62" s="2"/>
      <c r="Z62" s="7">
        <f t="shared" si="19"/>
        <v>0</v>
      </c>
    </row>
    <row r="63" spans="1:26" s="24" customFormat="1" hidden="1" outlineLevel="2" x14ac:dyDescent="0.25">
      <c r="A63" s="27"/>
      <c r="B63" s="11" t="str">
        <f>CONCATENATE("          ", "6117", " - ", "RETIREMENT STAFF HOURLY")</f>
        <v xml:space="preserve">          6117 - RETIREMENT STAFF HOURLY</v>
      </c>
      <c r="C63" s="11"/>
      <c r="D63" s="6">
        <v>94.68</v>
      </c>
      <c r="E63" s="2"/>
      <c r="F63" s="7">
        <f t="shared" si="12"/>
        <v>4.4043716095601583E-5</v>
      </c>
      <c r="G63" s="2"/>
      <c r="H63" s="6"/>
      <c r="I63" s="2"/>
      <c r="J63" s="7">
        <f t="shared" si="13"/>
        <v>0</v>
      </c>
      <c r="K63" s="2"/>
      <c r="L63" s="6">
        <f t="shared" si="14"/>
        <v>94.68</v>
      </c>
      <c r="M63" s="2"/>
      <c r="N63" s="7">
        <f t="shared" si="15"/>
        <v>0</v>
      </c>
      <c r="O63" s="11"/>
      <c r="P63" s="6">
        <v>315.37</v>
      </c>
      <c r="Q63" s="2"/>
      <c r="R63" s="7">
        <f t="shared" si="16"/>
        <v>1.4067615740575838E-4</v>
      </c>
      <c r="S63" s="2"/>
      <c r="T63" s="6"/>
      <c r="U63" s="2"/>
      <c r="V63" s="7">
        <f t="shared" si="17"/>
        <v>0</v>
      </c>
      <c r="W63" s="2"/>
      <c r="X63" s="6">
        <f t="shared" si="18"/>
        <v>315.37</v>
      </c>
      <c r="Y63" s="2"/>
      <c r="Z63" s="7">
        <f t="shared" si="19"/>
        <v>0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6">
        <v>794.54</v>
      </c>
      <c r="E64" s="2"/>
      <c r="F64" s="7">
        <f t="shared" si="12"/>
        <v>3.6960809238064301E-4</v>
      </c>
      <c r="G64" s="2"/>
      <c r="H64" s="6">
        <v>1427.9603583999999</v>
      </c>
      <c r="I64" s="2"/>
      <c r="J64" s="7">
        <f t="shared" si="13"/>
        <v>6.1603121587575495E-4</v>
      </c>
      <c r="K64" s="2"/>
      <c r="L64" s="6">
        <f t="shared" si="14"/>
        <v>-633.42035839999994</v>
      </c>
      <c r="M64" s="2"/>
      <c r="N64" s="7">
        <f t="shared" si="15"/>
        <v>-0.44358399354288403</v>
      </c>
      <c r="O64" s="11"/>
      <c r="P64" s="6">
        <v>2274.46</v>
      </c>
      <c r="Q64" s="2"/>
      <c r="R64" s="7">
        <f t="shared" si="16"/>
        <v>1.0145616037451287E-3</v>
      </c>
      <c r="S64" s="2"/>
      <c r="T64" s="6">
        <v>3212.9108064000002</v>
      </c>
      <c r="U64" s="2"/>
      <c r="V64" s="7">
        <f t="shared" si="17"/>
        <v>1.3141674730226202E-3</v>
      </c>
      <c r="W64" s="2"/>
      <c r="X64" s="6">
        <f t="shared" si="18"/>
        <v>-938.45080640000015</v>
      </c>
      <c r="Y64" s="2"/>
      <c r="Z64" s="7">
        <f t="shared" si="19"/>
        <v>-0.29208741323619714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6">
        <v>801.74</v>
      </c>
      <c r="E65" s="2"/>
      <c r="F65" s="7">
        <f t="shared" si="12"/>
        <v>3.7295742440312222E-4</v>
      </c>
      <c r="G65" s="2"/>
      <c r="H65" s="6">
        <v>1117.8239724923101</v>
      </c>
      <c r="I65" s="2"/>
      <c r="J65" s="7">
        <f t="shared" si="13"/>
        <v>4.8223639883188531E-4</v>
      </c>
      <c r="K65" s="2"/>
      <c r="L65" s="6">
        <f t="shared" si="14"/>
        <v>-316.08397249231007</v>
      </c>
      <c r="M65" s="2"/>
      <c r="N65" s="7">
        <f t="shared" si="15"/>
        <v>-0.28276721583235193</v>
      </c>
      <c r="O65" s="11"/>
      <c r="P65" s="6">
        <v>2512.2800000000002</v>
      </c>
      <c r="Q65" s="2"/>
      <c r="R65" s="7">
        <f t="shared" si="16"/>
        <v>1.1206452634281597E-3</v>
      </c>
      <c r="S65" s="2"/>
      <c r="T65" s="6">
        <v>2401.1559131076897</v>
      </c>
      <c r="U65" s="2"/>
      <c r="V65" s="7">
        <f t="shared" si="17"/>
        <v>9.8213775258758286E-4</v>
      </c>
      <c r="W65" s="2"/>
      <c r="X65" s="6">
        <f t="shared" si="18"/>
        <v>111.12408689231052</v>
      </c>
      <c r="Y65" s="2"/>
      <c r="Z65" s="7">
        <f t="shared" si="19"/>
        <v>4.6279413296610325E-2</v>
      </c>
    </row>
    <row r="66" spans="1:26" s="24" customFormat="1" hidden="1" outlineLevel="2" x14ac:dyDescent="0.25">
      <c r="A66" s="27"/>
      <c r="B66" s="11" t="str">
        <f>CONCATENATE("          ", "6156", " - ", "EMPLOYEE MEALS")</f>
        <v xml:space="preserve">          6156 - EMPLOYEE MEALS</v>
      </c>
      <c r="C66" s="11"/>
      <c r="D66" s="6">
        <v>587.59</v>
      </c>
      <c r="E66" s="2"/>
      <c r="F66" s="7">
        <f t="shared" si="12"/>
        <v>2.733380559845219E-4</v>
      </c>
      <c r="G66" s="2"/>
      <c r="H66" s="6">
        <v>750</v>
      </c>
      <c r="I66" s="2"/>
      <c r="J66" s="7">
        <f t="shared" si="13"/>
        <v>3.2355478861087141E-4</v>
      </c>
      <c r="K66" s="2"/>
      <c r="L66" s="6">
        <f t="shared" si="14"/>
        <v>-162.40999999999997</v>
      </c>
      <c r="M66" s="2"/>
      <c r="N66" s="7">
        <f t="shared" si="15"/>
        <v>-0.21654666666666664</v>
      </c>
      <c r="O66" s="11"/>
      <c r="P66" s="6">
        <v>1147.67</v>
      </c>
      <c r="Q66" s="2"/>
      <c r="R66" s="7">
        <f t="shared" si="16"/>
        <v>5.1193774160467618E-4</v>
      </c>
      <c r="S66" s="2"/>
      <c r="T66" s="6">
        <v>1500</v>
      </c>
      <c r="U66" s="2"/>
      <c r="V66" s="7">
        <f t="shared" si="17"/>
        <v>6.1354059552704368E-4</v>
      </c>
      <c r="W66" s="2"/>
      <c r="X66" s="6">
        <f t="shared" si="18"/>
        <v>-352.32999999999993</v>
      </c>
      <c r="Y66" s="2"/>
      <c r="Z66" s="7">
        <f t="shared" si="19"/>
        <v>-0.2348866666666666</v>
      </c>
    </row>
    <row r="67" spans="1:26" s="26" customFormat="1" outlineLevel="1" collapsed="1" x14ac:dyDescent="0.25">
      <c r="A67" s="25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24469.840000000004</v>
      </c>
      <c r="E67" s="1"/>
      <c r="F67" s="5">
        <f t="shared" ref="F67:F77" si="20">IF(D$12=0,0,D67/D$12)</f>
        <v>1.1383002596797587E-2</v>
      </c>
      <c r="G67" s="1"/>
      <c r="H67" s="1">
        <f>SUM(OSRRefH22_1x_0)</f>
        <v>34064.117215723098</v>
      </c>
      <c r="I67" s="1"/>
      <c r="J67" s="5">
        <f t="shared" ref="J67:J77" si="21">IF(H$12=0,0,H67/H$12)</f>
        <v>1.4695477659932312E-2</v>
      </c>
      <c r="K67" s="1"/>
      <c r="L67" s="1">
        <f t="shared" ref="L67:L77" si="22">+D67-H67</f>
        <v>-9594.2772157230938</v>
      </c>
      <c r="M67" s="1"/>
      <c r="N67" s="5">
        <f t="shared" ref="N67:N77" si="23">IF(H67=0,0,L67/H67)</f>
        <v>-0.28165348172576826</v>
      </c>
      <c r="O67" s="13"/>
      <c r="P67" s="1">
        <f>SUM(OSRRefP22_1x_0)</f>
        <v>50543.15</v>
      </c>
      <c r="Q67" s="1"/>
      <c r="R67" s="5">
        <f t="shared" ref="R67:R77" si="24">IF(P$12=0,0,P67/P$12)</f>
        <v>2.2545632511598621E-2</v>
      </c>
      <c r="S67" s="1"/>
      <c r="T67" s="1">
        <f>SUM(OSRRefT22_1x_0)</f>
        <v>65249.461235376904</v>
      </c>
      <c r="U67" s="1"/>
      <c r="V67" s="5">
        <f t="shared" ref="V67:V77" si="25">IF(T$12=0,0,T67/T$12)</f>
        <v>2.6688795536114595E-2</v>
      </c>
      <c r="W67" s="1"/>
      <c r="X67" s="1">
        <f t="shared" ref="X67:X77" si="26">+P67-T67</f>
        <v>-14706.311235376903</v>
      </c>
      <c r="Y67" s="1"/>
      <c r="Z67" s="5">
        <f t="shared" ref="Z67:Z77" si="27">IF(T67=0,0,X67/T67)</f>
        <v>-0.22538594123139588</v>
      </c>
    </row>
    <row r="68" spans="1:26" s="24" customFormat="1" hidden="1" outlineLevel="2" x14ac:dyDescent="0.25">
      <c r="A68" s="27"/>
      <c r="B68" s="11" t="str">
        <f>CONCATENATE("          ", "6001", " - ", "ADMINISTRATIVE SALARIES")</f>
        <v xml:space="preserve">          6001 - ADMINISTRATIVE SALARIES</v>
      </c>
      <c r="C68" s="11"/>
      <c r="D68" s="6"/>
      <c r="E68" s="2"/>
      <c r="F68" s="7">
        <f t="shared" si="20"/>
        <v>0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0</v>
      </c>
      <c r="M68" s="2"/>
      <c r="N68" s="7">
        <f t="shared" si="23"/>
        <v>0</v>
      </c>
      <c r="O68" s="11"/>
      <c r="P68" s="6"/>
      <c r="Q68" s="2"/>
      <c r="R68" s="7">
        <f t="shared" si="24"/>
        <v>0</v>
      </c>
      <c r="S68" s="2"/>
      <c r="T68" s="6">
        <v>0</v>
      </c>
      <c r="U68" s="2"/>
      <c r="V68" s="7">
        <f t="shared" si="25"/>
        <v>0</v>
      </c>
      <c r="W68" s="2"/>
      <c r="X68" s="6">
        <f t="shared" si="26"/>
        <v>0</v>
      </c>
      <c r="Y68" s="2"/>
      <c r="Z68" s="7">
        <f t="shared" si="27"/>
        <v>0</v>
      </c>
    </row>
    <row r="69" spans="1:26" s="24" customFormat="1" hidden="1" outlineLevel="2" x14ac:dyDescent="0.25">
      <c r="A69" s="27"/>
      <c r="B69" s="11" t="str">
        <f>CONCATENATE("          ", "6002", " - ", "STAFF SALARIES")</f>
        <v xml:space="preserve">          6002 - STAFF SALARIES</v>
      </c>
      <c r="C69" s="11"/>
      <c r="D69" s="6">
        <v>14272.87</v>
      </c>
      <c r="E69" s="2"/>
      <c r="F69" s="7">
        <f t="shared" si="20"/>
        <v>6.6395250755115019E-3</v>
      </c>
      <c r="G69" s="2"/>
      <c r="H69" s="6">
        <v>12765.0123437231</v>
      </c>
      <c r="I69" s="2"/>
      <c r="J69" s="7">
        <f t="shared" si="21"/>
        <v>5.5069078273179894E-3</v>
      </c>
      <c r="K69" s="2"/>
      <c r="L69" s="6">
        <f t="shared" si="22"/>
        <v>1507.8576562769013</v>
      </c>
      <c r="M69" s="2"/>
      <c r="N69" s="7">
        <f t="shared" si="23"/>
        <v>0.11812426151067182</v>
      </c>
      <c r="O69" s="11"/>
      <c r="P69" s="6">
        <v>31902.230000000003</v>
      </c>
      <c r="Q69" s="2"/>
      <c r="R69" s="7">
        <f t="shared" si="24"/>
        <v>1.4230532799805649E-2</v>
      </c>
      <c r="S69" s="2"/>
      <c r="T69" s="6">
        <v>28721.2777733769</v>
      </c>
      <c r="U69" s="2"/>
      <c r="V69" s="7">
        <f t="shared" si="25"/>
        <v>1.174777991291687E-2</v>
      </c>
      <c r="W69" s="2"/>
      <c r="X69" s="6">
        <f t="shared" si="26"/>
        <v>3180.9522266231033</v>
      </c>
      <c r="Y69" s="2"/>
      <c r="Z69" s="7">
        <f t="shared" si="27"/>
        <v>0.1107524620499885</v>
      </c>
    </row>
    <row r="70" spans="1:26" s="24" customFormat="1" hidden="1" outlineLevel="2" x14ac:dyDescent="0.25">
      <c r="A70" s="27"/>
      <c r="B70" s="11" t="str">
        <f>CONCATENATE("          ", "6003", " - ", "STAFF HOURLY-9 MONTH")</f>
        <v xml:space="preserve">          6003 - STAFF HOURLY-9 MONTH</v>
      </c>
      <c r="C70" s="11"/>
      <c r="D70" s="6"/>
      <c r="E70" s="2"/>
      <c r="F70" s="7">
        <f t="shared" si="20"/>
        <v>0</v>
      </c>
      <c r="G70" s="2"/>
      <c r="H70" s="6">
        <v>0</v>
      </c>
      <c r="I70" s="2"/>
      <c r="J70" s="7">
        <f t="shared" si="21"/>
        <v>0</v>
      </c>
      <c r="K70" s="2"/>
      <c r="L70" s="6">
        <f t="shared" si="22"/>
        <v>0</v>
      </c>
      <c r="M70" s="2"/>
      <c r="N70" s="7">
        <f t="shared" si="23"/>
        <v>0</v>
      </c>
      <c r="O70" s="11"/>
      <c r="P70" s="6"/>
      <c r="Q70" s="2"/>
      <c r="R70" s="7">
        <f t="shared" si="24"/>
        <v>0</v>
      </c>
      <c r="S70" s="2"/>
      <c r="T70" s="6">
        <v>0</v>
      </c>
      <c r="U70" s="2"/>
      <c r="V70" s="7">
        <f t="shared" si="25"/>
        <v>0</v>
      </c>
      <c r="W70" s="2"/>
      <c r="X70" s="6">
        <f t="shared" si="26"/>
        <v>0</v>
      </c>
      <c r="Y70" s="2"/>
      <c r="Z70" s="7">
        <f t="shared" si="27"/>
        <v>0</v>
      </c>
    </row>
    <row r="71" spans="1:26" s="24" customFormat="1" hidden="1" outlineLevel="2" x14ac:dyDescent="0.25">
      <c r="A71" s="27"/>
      <c r="B71" s="11" t="str">
        <f>CONCATENATE("          ", "6004", " - ", "STAFF HOURLY")</f>
        <v xml:space="preserve">          6004 - STAFF HOURLY</v>
      </c>
      <c r="C71" s="11"/>
      <c r="D71" s="6">
        <v>2830.32</v>
      </c>
      <c r="E71" s="2"/>
      <c r="F71" s="7">
        <f t="shared" si="20"/>
        <v>1.3166224180365766E-3</v>
      </c>
      <c r="G71" s="2"/>
      <c r="H71" s="6">
        <v>5865.9348719999998</v>
      </c>
      <c r="I71" s="2"/>
      <c r="J71" s="7">
        <f t="shared" si="21"/>
        <v>2.5306017566867991E-3</v>
      </c>
      <c r="K71" s="2"/>
      <c r="L71" s="6">
        <f t="shared" si="22"/>
        <v>-3035.6148719999997</v>
      </c>
      <c r="M71" s="2"/>
      <c r="N71" s="7">
        <f t="shared" si="23"/>
        <v>-0.51749890481907135</v>
      </c>
      <c r="O71" s="11"/>
      <c r="P71" s="6">
        <v>4836.25</v>
      </c>
      <c r="Q71" s="2"/>
      <c r="R71" s="7">
        <f t="shared" si="24"/>
        <v>2.1572916455388875E-3</v>
      </c>
      <c r="S71" s="2"/>
      <c r="T71" s="6">
        <v>13198.353461999999</v>
      </c>
      <c r="U71" s="2"/>
      <c r="V71" s="7">
        <f t="shared" si="25"/>
        <v>5.3984837620345985E-3</v>
      </c>
      <c r="W71" s="2"/>
      <c r="X71" s="6">
        <f t="shared" si="26"/>
        <v>-8362.1034619999991</v>
      </c>
      <c r="Y71" s="2"/>
      <c r="Z71" s="7">
        <f t="shared" si="27"/>
        <v>-0.63357171681117075</v>
      </c>
    </row>
    <row r="72" spans="1:26" s="24" customFormat="1" hidden="1" outlineLevel="2" x14ac:dyDescent="0.25">
      <c r="A72" s="27"/>
      <c r="B72" s="11" t="str">
        <f>CONCATENATE("          ", "6005", " - ", "TEMPORARY WAGES-HOURLY")</f>
        <v xml:space="preserve">          6005 - TEMPORARY WAGES-HOURLY</v>
      </c>
      <c r="C72" s="11"/>
      <c r="D72" s="6">
        <v>1476.95</v>
      </c>
      <c r="E72" s="2"/>
      <c r="F72" s="7">
        <f t="shared" si="20"/>
        <v>6.8705499036120362E-4</v>
      </c>
      <c r="G72" s="2"/>
      <c r="H72" s="6">
        <v>3517.92</v>
      </c>
      <c r="I72" s="2"/>
      <c r="J72" s="7">
        <f t="shared" si="21"/>
        <v>1.5176531492666092E-3</v>
      </c>
      <c r="K72" s="2"/>
      <c r="L72" s="6">
        <f t="shared" si="22"/>
        <v>-2040.97</v>
      </c>
      <c r="M72" s="2"/>
      <c r="N72" s="7">
        <f t="shared" si="23"/>
        <v>-0.58016384681857458</v>
      </c>
      <c r="O72" s="11"/>
      <c r="P72" s="6">
        <v>2669.35</v>
      </c>
      <c r="Q72" s="2"/>
      <c r="R72" s="7">
        <f t="shared" si="24"/>
        <v>1.1907090109111872E-3</v>
      </c>
      <c r="S72" s="2"/>
      <c r="T72" s="6">
        <v>6952.08</v>
      </c>
      <c r="U72" s="2"/>
      <c r="V72" s="7">
        <f t="shared" si="25"/>
        <v>2.8435888689010997E-3</v>
      </c>
      <c r="W72" s="2"/>
      <c r="X72" s="6">
        <f t="shared" si="26"/>
        <v>-4282.7299999999996</v>
      </c>
      <c r="Y72" s="2"/>
      <c r="Z72" s="7">
        <f t="shared" si="27"/>
        <v>-0.61603577634319506</v>
      </c>
    </row>
    <row r="73" spans="1:26" s="24" customFormat="1" hidden="1" outlineLevel="2" x14ac:dyDescent="0.25">
      <c r="A73" s="27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0"/>
        <v>0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0</v>
      </c>
      <c r="M73" s="2"/>
      <c r="N73" s="7">
        <f t="shared" si="23"/>
        <v>0</v>
      </c>
      <c r="O73" s="11"/>
      <c r="P73" s="6"/>
      <c r="Q73" s="2"/>
      <c r="R73" s="7">
        <f t="shared" si="24"/>
        <v>0</v>
      </c>
      <c r="S73" s="2"/>
      <c r="T73" s="6">
        <v>0</v>
      </c>
      <c r="U73" s="2"/>
      <c r="V73" s="7">
        <f t="shared" si="25"/>
        <v>0</v>
      </c>
      <c r="W73" s="2"/>
      <c r="X73" s="6">
        <f t="shared" si="26"/>
        <v>0</v>
      </c>
      <c r="Y73" s="2"/>
      <c r="Z73" s="7">
        <f t="shared" si="27"/>
        <v>0</v>
      </c>
    </row>
    <row r="74" spans="1:26" s="24" customFormat="1" hidden="1" outlineLevel="2" x14ac:dyDescent="0.25">
      <c r="A74" s="27"/>
      <c r="B74" s="11" t="str">
        <f>CONCATENATE("          ", "6007", " - ", "STUDENT HOURLY")</f>
        <v xml:space="preserve">          6007 - STUDENT HOURLY</v>
      </c>
      <c r="C74" s="11"/>
      <c r="D74" s="6">
        <v>5889.7</v>
      </c>
      <c r="E74" s="2"/>
      <c r="F74" s="7">
        <f t="shared" si="20"/>
        <v>2.7398001128883039E-3</v>
      </c>
      <c r="G74" s="2"/>
      <c r="H74" s="6">
        <v>3570</v>
      </c>
      <c r="I74" s="2"/>
      <c r="J74" s="7">
        <f t="shared" si="21"/>
        <v>1.5401207937877481E-3</v>
      </c>
      <c r="K74" s="2"/>
      <c r="L74" s="6">
        <f t="shared" si="22"/>
        <v>2319.6999999999998</v>
      </c>
      <c r="M74" s="2"/>
      <c r="N74" s="7">
        <f t="shared" si="23"/>
        <v>0.64977591036414561</v>
      </c>
      <c r="O74" s="11"/>
      <c r="P74" s="6">
        <v>11135.32</v>
      </c>
      <c r="Q74" s="2"/>
      <c r="R74" s="7">
        <f t="shared" si="24"/>
        <v>4.9670990553428969E-3</v>
      </c>
      <c r="S74" s="2"/>
      <c r="T74" s="6">
        <v>8032.5</v>
      </c>
      <c r="U74" s="2"/>
      <c r="V74" s="7">
        <f t="shared" si="25"/>
        <v>3.2855098890473187E-3</v>
      </c>
      <c r="W74" s="2"/>
      <c r="X74" s="6">
        <f t="shared" si="26"/>
        <v>3102.8199999999997</v>
      </c>
      <c r="Y74" s="2"/>
      <c r="Z74" s="7">
        <f t="shared" si="27"/>
        <v>0.38628322440087143</v>
      </c>
    </row>
    <row r="75" spans="1:26" s="24" customFormat="1" hidden="1" outlineLevel="2" x14ac:dyDescent="0.25">
      <c r="A75" s="27"/>
      <c r="B75" s="11" t="str">
        <f>CONCATENATE("          ", "6008", " - ", "STUDENT HOURLY-FICA EXEMPT")</f>
        <v xml:space="preserve">          6008 - STUDENT HOURLY-FICA EXEMPT</v>
      </c>
      <c r="C75" s="11"/>
      <c r="D75" s="6"/>
      <c r="E75" s="2"/>
      <c r="F75" s="7">
        <f t="shared" si="20"/>
        <v>0</v>
      </c>
      <c r="G75" s="2"/>
      <c r="H75" s="6">
        <v>8345.25</v>
      </c>
      <c r="I75" s="2"/>
      <c r="J75" s="7">
        <f t="shared" si="21"/>
        <v>3.6001941328731666E-3</v>
      </c>
      <c r="K75" s="2"/>
      <c r="L75" s="6">
        <f t="shared" si="22"/>
        <v>-8345.25</v>
      </c>
      <c r="M75" s="2"/>
      <c r="N75" s="7">
        <f t="shared" si="23"/>
        <v>-1</v>
      </c>
      <c r="O75" s="11"/>
      <c r="P75" s="6"/>
      <c r="Q75" s="2"/>
      <c r="R75" s="7">
        <f t="shared" si="24"/>
        <v>0</v>
      </c>
      <c r="S75" s="2"/>
      <c r="T75" s="6">
        <v>8345.25</v>
      </c>
      <c r="U75" s="2"/>
      <c r="V75" s="7">
        <f t="shared" si="25"/>
        <v>3.4134331032147072E-3</v>
      </c>
      <c r="W75" s="2"/>
      <c r="X75" s="6">
        <f t="shared" si="26"/>
        <v>-8345.25</v>
      </c>
      <c r="Y75" s="2"/>
      <c r="Z75" s="7">
        <f t="shared" si="27"/>
        <v>-1</v>
      </c>
    </row>
    <row r="76" spans="1:26" s="24" customFormat="1" hidden="1" outlineLevel="2" x14ac:dyDescent="0.25">
      <c r="A76" s="27"/>
      <c r="B76" s="11" t="str">
        <f>CONCATENATE("          ", "6009", " - ", "TEMPORARY-SEASONAL")</f>
        <v xml:space="preserve">          6009 - TEMPORARY-SEASONAL</v>
      </c>
      <c r="C76" s="11"/>
      <c r="D76" s="6"/>
      <c r="E76" s="2"/>
      <c r="F76" s="7">
        <f t="shared" si="20"/>
        <v>0</v>
      </c>
      <c r="G76" s="2"/>
      <c r="H76" s="6">
        <v>0</v>
      </c>
      <c r="I76" s="2"/>
      <c r="J76" s="7">
        <f t="shared" si="21"/>
        <v>0</v>
      </c>
      <c r="K76" s="2"/>
      <c r="L76" s="6">
        <f t="shared" si="22"/>
        <v>0</v>
      </c>
      <c r="M76" s="2"/>
      <c r="N76" s="7">
        <f t="shared" si="23"/>
        <v>0</v>
      </c>
      <c r="O76" s="11"/>
      <c r="P76" s="6"/>
      <c r="Q76" s="2"/>
      <c r="R76" s="7">
        <f t="shared" si="24"/>
        <v>0</v>
      </c>
      <c r="S76" s="2"/>
      <c r="T76" s="6">
        <v>0</v>
      </c>
      <c r="U76" s="2"/>
      <c r="V76" s="7">
        <f t="shared" si="25"/>
        <v>0</v>
      </c>
      <c r="W76" s="2"/>
      <c r="X76" s="6">
        <f t="shared" si="26"/>
        <v>0</v>
      </c>
      <c r="Y76" s="2"/>
      <c r="Z76" s="7">
        <f t="shared" si="27"/>
        <v>0</v>
      </c>
    </row>
    <row r="77" spans="1:26" s="24" customFormat="1" hidden="1" outlineLevel="2" x14ac:dyDescent="0.25">
      <c r="A77" s="27"/>
      <c r="B77" s="11" t="str">
        <f>CONCATENATE("          ", "6010", " - ", "GRATUITY")</f>
        <v xml:space="preserve">          6010 - GRATUITY</v>
      </c>
      <c r="C77" s="11"/>
      <c r="D77" s="6"/>
      <c r="E77" s="2"/>
      <c r="F77" s="7">
        <f t="shared" si="20"/>
        <v>0</v>
      </c>
      <c r="G77" s="2"/>
      <c r="H77" s="6">
        <v>0</v>
      </c>
      <c r="I77" s="2"/>
      <c r="J77" s="7">
        <f t="shared" si="21"/>
        <v>0</v>
      </c>
      <c r="K77" s="2"/>
      <c r="L77" s="6">
        <f t="shared" si="22"/>
        <v>0</v>
      </c>
      <c r="M77" s="2"/>
      <c r="N77" s="7">
        <f t="shared" si="23"/>
        <v>0</v>
      </c>
      <c r="O77" s="11"/>
      <c r="P77" s="6"/>
      <c r="Q77" s="2"/>
      <c r="R77" s="7">
        <f t="shared" si="24"/>
        <v>0</v>
      </c>
      <c r="S77" s="2"/>
      <c r="T77" s="6">
        <v>0</v>
      </c>
      <c r="U77" s="2"/>
      <c r="V77" s="7">
        <f t="shared" si="25"/>
        <v>0</v>
      </c>
      <c r="W77" s="2"/>
      <c r="X77" s="6">
        <f t="shared" si="26"/>
        <v>0</v>
      </c>
      <c r="Y77" s="2"/>
      <c r="Z77" s="7">
        <f t="shared" si="27"/>
        <v>0</v>
      </c>
    </row>
    <row r="78" spans="1:26" s="26" customFormat="1" outlineLevel="1" collapsed="1" x14ac:dyDescent="0.25">
      <c r="A78" s="25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2905.19</v>
      </c>
      <c r="E78" s="1"/>
      <c r="F78" s="5">
        <f t="shared" ref="F78:F82" si="28">IF(D$12=0,0,D78/D$12)</f>
        <v>1.3514508192203291E-3</v>
      </c>
      <c r="G78" s="1"/>
      <c r="H78" s="1">
        <f>SUM(OSRRefH22_2x_0)</f>
        <v>1500</v>
      </c>
      <c r="I78" s="1"/>
      <c r="J78" s="5">
        <f t="shared" ref="J78:J82" si="29">IF(H$12=0,0,H78/H$12)</f>
        <v>6.4710957722174283E-4</v>
      </c>
      <c r="K78" s="1"/>
      <c r="L78" s="1">
        <f t="shared" ref="L78:L82" si="30">+D78-H78</f>
        <v>1405.19</v>
      </c>
      <c r="M78" s="1"/>
      <c r="N78" s="5">
        <f t="shared" ref="N78:N82" si="31">IF(H78=0,0,L78/H78)</f>
        <v>0.93679333333333337</v>
      </c>
      <c r="O78" s="13"/>
      <c r="P78" s="1">
        <f>SUM(OSRRefP22_2x_0)</f>
        <v>2996.19</v>
      </c>
      <c r="Q78" s="1"/>
      <c r="R78" s="5">
        <f t="shared" ref="R78:R82" si="32">IF(P$12=0,0,P78/P$12)</f>
        <v>1.3365015570839308E-3</v>
      </c>
      <c r="S78" s="1"/>
      <c r="T78" s="1">
        <f>SUM(OSRRefT22_2x_0)</f>
        <v>1800</v>
      </c>
      <c r="U78" s="1"/>
      <c r="V78" s="5">
        <f t="shared" ref="V78:V82" si="33">IF(T$12=0,0,T78/T$12)</f>
        <v>7.3624871463245239E-4</v>
      </c>
      <c r="W78" s="1"/>
      <c r="X78" s="1">
        <f t="shared" ref="X78:X82" si="34">+P78-T78</f>
        <v>1196.19</v>
      </c>
      <c r="Y78" s="1"/>
      <c r="Z78" s="5">
        <f t="shared" ref="Z78:Z82" si="35">IF(T78=0,0,X78/T78)</f>
        <v>0.66455000000000009</v>
      </c>
    </row>
    <row r="79" spans="1:26" s="24" customFormat="1" hidden="1" outlineLevel="2" x14ac:dyDescent="0.25">
      <c r="A79" s="27"/>
      <c r="B79" s="11" t="str">
        <f>CONCATENATE("          ", "6362", " - ", "ADVERTISING EXPENSE")</f>
        <v xml:space="preserve">          6362 - ADVERTISING EXPENSE</v>
      </c>
      <c r="C79" s="11"/>
      <c r="D79" s="6">
        <v>2905.19</v>
      </c>
      <c r="E79" s="2"/>
      <c r="F79" s="7">
        <f t="shared" si="28"/>
        <v>1.3514508192203291E-3</v>
      </c>
      <c r="G79" s="2"/>
      <c r="H79" s="6">
        <v>1500</v>
      </c>
      <c r="I79" s="2"/>
      <c r="J79" s="7">
        <f t="shared" si="29"/>
        <v>6.4710957722174283E-4</v>
      </c>
      <c r="K79" s="2"/>
      <c r="L79" s="6">
        <f t="shared" si="30"/>
        <v>1405.19</v>
      </c>
      <c r="M79" s="2"/>
      <c r="N79" s="7">
        <f t="shared" si="31"/>
        <v>0.93679333333333337</v>
      </c>
      <c r="O79" s="11"/>
      <c r="P79" s="6">
        <v>2996.19</v>
      </c>
      <c r="Q79" s="2"/>
      <c r="R79" s="7">
        <f t="shared" si="32"/>
        <v>1.3365015570839308E-3</v>
      </c>
      <c r="S79" s="2"/>
      <c r="T79" s="6">
        <v>1800</v>
      </c>
      <c r="U79" s="2"/>
      <c r="V79" s="7">
        <f t="shared" si="33"/>
        <v>7.3624871463245239E-4</v>
      </c>
      <c r="W79" s="2"/>
      <c r="X79" s="6">
        <f t="shared" si="34"/>
        <v>1196.19</v>
      </c>
      <c r="Y79" s="2"/>
      <c r="Z79" s="7">
        <f t="shared" si="35"/>
        <v>0.66455000000000009</v>
      </c>
    </row>
    <row r="80" spans="1:26" s="26" customFormat="1" outlineLevel="1" collapsed="1" x14ac:dyDescent="0.25">
      <c r="A80" s="25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4124.57</v>
      </c>
      <c r="E80" s="1"/>
      <c r="F80" s="5">
        <f t="shared" si="28"/>
        <v>1.9186881083273701E-3</v>
      </c>
      <c r="G80" s="1"/>
      <c r="H80" s="1">
        <f>SUM(OSRRefH22_3x_0)</f>
        <v>6425</v>
      </c>
      <c r="I80" s="1"/>
      <c r="J80" s="5">
        <f t="shared" si="29"/>
        <v>2.7717860224331322E-3</v>
      </c>
      <c r="K80" s="1"/>
      <c r="L80" s="1">
        <f t="shared" si="30"/>
        <v>-2300.4300000000003</v>
      </c>
      <c r="M80" s="1"/>
      <c r="N80" s="5">
        <f t="shared" si="31"/>
        <v>-0.358043579766537</v>
      </c>
      <c r="O80" s="13"/>
      <c r="P80" s="1">
        <f>SUM(OSRRefP22_3x_0)</f>
        <v>6633.48</v>
      </c>
      <c r="Q80" s="1"/>
      <c r="R80" s="5">
        <f t="shared" si="32"/>
        <v>2.9589766833495578E-3</v>
      </c>
      <c r="S80" s="1"/>
      <c r="T80" s="1">
        <f>SUM(OSRRefT22_3x_0)</f>
        <v>7850</v>
      </c>
      <c r="U80" s="1"/>
      <c r="V80" s="5">
        <f t="shared" si="33"/>
        <v>3.2108624499248618E-3</v>
      </c>
      <c r="W80" s="1"/>
      <c r="X80" s="1">
        <f t="shared" si="34"/>
        <v>-1216.5200000000004</v>
      </c>
      <c r="Y80" s="1"/>
      <c r="Z80" s="5">
        <f t="shared" si="35"/>
        <v>-0.15497070063694274</v>
      </c>
    </row>
    <row r="81" spans="1:26" s="24" customFormat="1" hidden="1" outlineLevel="2" x14ac:dyDescent="0.25">
      <c r="A81" s="27"/>
      <c r="B81" s="11" t="str">
        <f>CONCATENATE("          ", "6382", " - ", "DISCOUNTS/MARK DOWNS")</f>
        <v xml:space="preserve">          6382 - DISCOUNTS/MARK DOWNS</v>
      </c>
      <c r="C81" s="11"/>
      <c r="D81" s="6">
        <v>4547.3</v>
      </c>
      <c r="E81" s="2"/>
      <c r="F81" s="7">
        <f t="shared" si="28"/>
        <v>2.1153357646971809E-3</v>
      </c>
      <c r="G81" s="2"/>
      <c r="H81" s="6">
        <v>6425</v>
      </c>
      <c r="I81" s="2"/>
      <c r="J81" s="7">
        <f t="shared" si="29"/>
        <v>2.7717860224331322E-3</v>
      </c>
      <c r="K81" s="2"/>
      <c r="L81" s="6">
        <f t="shared" si="30"/>
        <v>-1877.6999999999998</v>
      </c>
      <c r="M81" s="2"/>
      <c r="N81" s="7">
        <f t="shared" si="31"/>
        <v>-0.29224902723735408</v>
      </c>
      <c r="O81" s="11"/>
      <c r="P81" s="6">
        <v>7056.21</v>
      </c>
      <c r="Q81" s="2"/>
      <c r="R81" s="7">
        <f t="shared" si="32"/>
        <v>3.1475425964679151E-3</v>
      </c>
      <c r="S81" s="2"/>
      <c r="T81" s="6">
        <v>7850</v>
      </c>
      <c r="U81" s="2"/>
      <c r="V81" s="7">
        <f t="shared" si="33"/>
        <v>3.2108624499248618E-3</v>
      </c>
      <c r="W81" s="2"/>
      <c r="X81" s="6">
        <f t="shared" si="34"/>
        <v>-793.79</v>
      </c>
      <c r="Y81" s="2"/>
      <c r="Z81" s="7">
        <f t="shared" si="35"/>
        <v>-0.10111974522292994</v>
      </c>
    </row>
    <row r="82" spans="1:26" s="24" customFormat="1" hidden="1" outlineLevel="2" x14ac:dyDescent="0.25">
      <c r="A82" s="27"/>
      <c r="B82" s="11" t="str">
        <f>CONCATENATE("          ", "9175", " - ", "EARNED DISCOUNTS")</f>
        <v xml:space="preserve">          9175 - EARNED DISCOUNTS</v>
      </c>
      <c r="C82" s="11"/>
      <c r="D82" s="6">
        <v>-422.73</v>
      </c>
      <c r="E82" s="2"/>
      <c r="F82" s="7">
        <f t="shared" si="28"/>
        <v>-1.9664765636981049E-4</v>
      </c>
      <c r="G82" s="2"/>
      <c r="H82" s="6"/>
      <c r="I82" s="2"/>
      <c r="J82" s="7">
        <f t="shared" si="29"/>
        <v>0</v>
      </c>
      <c r="K82" s="2"/>
      <c r="L82" s="6">
        <f t="shared" si="30"/>
        <v>-422.73</v>
      </c>
      <c r="M82" s="2"/>
      <c r="N82" s="7">
        <f t="shared" si="31"/>
        <v>0</v>
      </c>
      <c r="O82" s="11"/>
      <c r="P82" s="6">
        <v>-422.73</v>
      </c>
      <c r="Q82" s="2"/>
      <c r="R82" s="7">
        <f t="shared" si="32"/>
        <v>-1.8856591311835699E-4</v>
      </c>
      <c r="S82" s="2"/>
      <c r="T82" s="6"/>
      <c r="U82" s="2"/>
      <c r="V82" s="7">
        <f t="shared" si="33"/>
        <v>0</v>
      </c>
      <c r="W82" s="2"/>
      <c r="X82" s="6">
        <f t="shared" si="34"/>
        <v>-422.73</v>
      </c>
      <c r="Y82" s="2"/>
      <c r="Z82" s="7">
        <f t="shared" si="35"/>
        <v>0</v>
      </c>
    </row>
    <row r="83" spans="1:26" s="26" customFormat="1" outlineLevel="1" collapsed="1" x14ac:dyDescent="0.25">
      <c r="A83" s="25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0</v>
      </c>
      <c r="E83" s="1"/>
      <c r="F83" s="5">
        <f t="shared" ref="F83:F95" si="36">IF(D$12=0,0,D83/D$12)</f>
        <v>0</v>
      </c>
      <c r="G83" s="1"/>
      <c r="H83" s="1">
        <f>SUM(OSRRefH22_4x_0)</f>
        <v>100</v>
      </c>
      <c r="I83" s="1"/>
      <c r="J83" s="5">
        <f t="shared" ref="J83:J95" si="37">IF(H$12=0,0,H83/H$12)</f>
        <v>4.3140638481449525E-5</v>
      </c>
      <c r="K83" s="1"/>
      <c r="L83" s="1">
        <f t="shared" ref="L83:L95" si="38">+D83-H83</f>
        <v>-100</v>
      </c>
      <c r="M83" s="1"/>
      <c r="N83" s="5">
        <f t="shared" ref="N83:N95" si="39">IF(H83=0,0,L83/H83)</f>
        <v>-1</v>
      </c>
      <c r="O83" s="13"/>
      <c r="P83" s="1">
        <f>SUM(OSRRefP22_4x_0)</f>
        <v>0</v>
      </c>
      <c r="Q83" s="1"/>
      <c r="R83" s="5">
        <f t="shared" ref="R83:R95" si="40">IF(P$12=0,0,P83/P$12)</f>
        <v>0</v>
      </c>
      <c r="S83" s="1"/>
      <c r="T83" s="1">
        <f>SUM(OSRRefT22_4x_0)</f>
        <v>200</v>
      </c>
      <c r="U83" s="1"/>
      <c r="V83" s="5">
        <f t="shared" ref="V83:V95" si="41">IF(T$12=0,0,T83/T$12)</f>
        <v>8.1805412736939156E-5</v>
      </c>
      <c r="W83" s="1"/>
      <c r="X83" s="1">
        <f t="shared" ref="X83:X95" si="42">+P83-T83</f>
        <v>-200</v>
      </c>
      <c r="Y83" s="1"/>
      <c r="Z83" s="5">
        <f t="shared" ref="Z83:Z95" si="43">IF(T83=0,0,X83/T83)</f>
        <v>-1</v>
      </c>
    </row>
    <row r="84" spans="1:26" s="24" customFormat="1" hidden="1" outlineLevel="2" x14ac:dyDescent="0.25">
      <c r="A84" s="27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36"/>
        <v>0</v>
      </c>
      <c r="G84" s="2"/>
      <c r="H84" s="6">
        <v>100</v>
      </c>
      <c r="I84" s="2"/>
      <c r="J84" s="7">
        <f t="shared" si="37"/>
        <v>4.3140638481449525E-5</v>
      </c>
      <c r="K84" s="2"/>
      <c r="L84" s="6">
        <f t="shared" si="38"/>
        <v>-100</v>
      </c>
      <c r="M84" s="2"/>
      <c r="N84" s="7">
        <f t="shared" si="39"/>
        <v>-1</v>
      </c>
      <c r="O84" s="11"/>
      <c r="P84" s="6"/>
      <c r="Q84" s="2"/>
      <c r="R84" s="7">
        <f t="shared" si="40"/>
        <v>0</v>
      </c>
      <c r="S84" s="2"/>
      <c r="T84" s="6">
        <v>200</v>
      </c>
      <c r="U84" s="2"/>
      <c r="V84" s="7">
        <f t="shared" si="41"/>
        <v>8.1805412736939156E-5</v>
      </c>
      <c r="W84" s="2"/>
      <c r="X84" s="6">
        <f t="shared" si="42"/>
        <v>-200</v>
      </c>
      <c r="Y84" s="2"/>
      <c r="Z84" s="7">
        <f t="shared" si="43"/>
        <v>-1</v>
      </c>
    </row>
    <row r="85" spans="1:26" s="26" customFormat="1" outlineLevel="1" collapsed="1" x14ac:dyDescent="0.25">
      <c r="A85" s="25"/>
      <c r="B85" s="13" t="str">
        <f>CONCATENATE("     ","Equipment Rental                                  ")</f>
        <v xml:space="preserve">     Equipment Rental                                  </v>
      </c>
      <c r="C85" s="13"/>
      <c r="D85" s="1">
        <f>SUM(OSRRefD22_5x_0)</f>
        <v>91.26</v>
      </c>
      <c r="E85" s="1"/>
      <c r="F85" s="5">
        <f t="shared" si="36"/>
        <v>4.245278338492396E-5</v>
      </c>
      <c r="G85" s="1"/>
      <c r="H85" s="1">
        <f>SUM(OSRRefH22_5x_0)</f>
        <v>100</v>
      </c>
      <c r="I85" s="1"/>
      <c r="J85" s="5">
        <f t="shared" si="37"/>
        <v>4.3140638481449525E-5</v>
      </c>
      <c r="K85" s="1"/>
      <c r="L85" s="1">
        <f t="shared" si="38"/>
        <v>-8.7399999999999949</v>
      </c>
      <c r="M85" s="1"/>
      <c r="N85" s="5">
        <f t="shared" si="39"/>
        <v>-8.739999999999995E-2</v>
      </c>
      <c r="O85" s="13"/>
      <c r="P85" s="1">
        <f>SUM(OSRRefP22_5x_0)</f>
        <v>182.52</v>
      </c>
      <c r="Q85" s="1"/>
      <c r="R85" s="5">
        <f t="shared" si="40"/>
        <v>8.1416153247610817E-5</v>
      </c>
      <c r="S85" s="1"/>
      <c r="T85" s="1">
        <f>SUM(OSRRefT22_5x_0)</f>
        <v>200</v>
      </c>
      <c r="U85" s="1"/>
      <c r="V85" s="5">
        <f t="shared" si="41"/>
        <v>8.1805412736939156E-5</v>
      </c>
      <c r="W85" s="1"/>
      <c r="X85" s="1">
        <f t="shared" si="42"/>
        <v>-17.47999999999999</v>
      </c>
      <c r="Y85" s="1"/>
      <c r="Z85" s="5">
        <f t="shared" si="43"/>
        <v>-8.739999999999995E-2</v>
      </c>
    </row>
    <row r="86" spans="1:26" s="24" customFormat="1" hidden="1" outlineLevel="2" x14ac:dyDescent="0.25">
      <c r="A86" s="27"/>
      <c r="B86" s="11" t="str">
        <f>CONCATENATE("          ", "6351", " - ", "EQUIPMENT RENTAL")</f>
        <v xml:space="preserve">          6351 - EQUIPMENT RENTAL</v>
      </c>
      <c r="C86" s="11"/>
      <c r="D86" s="6">
        <v>91.26</v>
      </c>
      <c r="E86" s="2"/>
      <c r="F86" s="7">
        <f t="shared" si="36"/>
        <v>4.245278338492396E-5</v>
      </c>
      <c r="G86" s="2"/>
      <c r="H86" s="6">
        <v>100</v>
      </c>
      <c r="I86" s="2"/>
      <c r="J86" s="7">
        <f t="shared" si="37"/>
        <v>4.3140638481449525E-5</v>
      </c>
      <c r="K86" s="2"/>
      <c r="L86" s="6">
        <f t="shared" si="38"/>
        <v>-8.7399999999999949</v>
      </c>
      <c r="M86" s="2"/>
      <c r="N86" s="7">
        <f t="shared" si="39"/>
        <v>-8.739999999999995E-2</v>
      </c>
      <c r="O86" s="11"/>
      <c r="P86" s="6">
        <v>182.52</v>
      </c>
      <c r="Q86" s="2"/>
      <c r="R86" s="7">
        <f t="shared" si="40"/>
        <v>8.1416153247610817E-5</v>
      </c>
      <c r="S86" s="2"/>
      <c r="T86" s="6">
        <v>200</v>
      </c>
      <c r="U86" s="2"/>
      <c r="V86" s="7">
        <f t="shared" si="41"/>
        <v>8.1805412736939156E-5</v>
      </c>
      <c r="W86" s="2"/>
      <c r="X86" s="6">
        <f t="shared" si="42"/>
        <v>-17.47999999999999</v>
      </c>
      <c r="Y86" s="2"/>
      <c r="Z86" s="7">
        <f t="shared" si="43"/>
        <v>-8.739999999999995E-2</v>
      </c>
    </row>
    <row r="87" spans="1:26" s="26" customFormat="1" outlineLevel="1" collapsed="1" x14ac:dyDescent="0.25">
      <c r="A87" s="25"/>
      <c r="B87" s="13" t="str">
        <f>CONCATENATE("     ","Freight out/Postage                               ")</f>
        <v xml:space="preserve">     Freight out/Postage                               </v>
      </c>
      <c r="C87" s="13"/>
      <c r="D87" s="1">
        <f>SUM(OSRRefD22_6x_0)</f>
        <v>299.74</v>
      </c>
      <c r="E87" s="1"/>
      <c r="F87" s="5">
        <f t="shared" si="36"/>
        <v>1.394345528358219E-4</v>
      </c>
      <c r="G87" s="1"/>
      <c r="H87" s="1">
        <f>SUM(OSRRefH22_6x_0)</f>
        <v>1000</v>
      </c>
      <c r="I87" s="1"/>
      <c r="J87" s="5">
        <f t="shared" si="37"/>
        <v>4.3140638481449527E-4</v>
      </c>
      <c r="K87" s="1"/>
      <c r="L87" s="1">
        <f t="shared" si="38"/>
        <v>-700.26</v>
      </c>
      <c r="M87" s="1"/>
      <c r="N87" s="5">
        <f t="shared" si="39"/>
        <v>-0.70025999999999999</v>
      </c>
      <c r="O87" s="13"/>
      <c r="P87" s="1">
        <f>SUM(OSRRefP22_6x_0)</f>
        <v>664.33</v>
      </c>
      <c r="Q87" s="1"/>
      <c r="R87" s="5">
        <f t="shared" si="40"/>
        <v>2.9633570615266981E-4</v>
      </c>
      <c r="S87" s="1"/>
      <c r="T87" s="1">
        <f>SUM(OSRRefT22_6x_0)</f>
        <v>1500</v>
      </c>
      <c r="U87" s="1"/>
      <c r="V87" s="5">
        <f t="shared" si="41"/>
        <v>6.1354059552704368E-4</v>
      </c>
      <c r="W87" s="1"/>
      <c r="X87" s="1">
        <f t="shared" si="42"/>
        <v>-835.67</v>
      </c>
      <c r="Y87" s="1"/>
      <c r="Z87" s="5">
        <f t="shared" si="43"/>
        <v>-0.55711333333333335</v>
      </c>
    </row>
    <row r="88" spans="1:26" s="24" customFormat="1" hidden="1" outlineLevel="2" x14ac:dyDescent="0.25">
      <c r="A88" s="27"/>
      <c r="B88" s="11" t="str">
        <f>CONCATENATE("          ", "6305", " - ", "FREIGHT OUT")</f>
        <v xml:space="preserve">          6305 - FREIGHT OUT</v>
      </c>
      <c r="C88" s="11"/>
      <c r="D88" s="6">
        <v>299.74</v>
      </c>
      <c r="E88" s="2"/>
      <c r="F88" s="7">
        <f t="shared" si="36"/>
        <v>1.394345528358219E-4</v>
      </c>
      <c r="G88" s="2"/>
      <c r="H88" s="6">
        <v>1000</v>
      </c>
      <c r="I88" s="2"/>
      <c r="J88" s="7">
        <f t="shared" si="37"/>
        <v>4.3140638481449527E-4</v>
      </c>
      <c r="K88" s="2"/>
      <c r="L88" s="6">
        <f t="shared" si="38"/>
        <v>-700.26</v>
      </c>
      <c r="M88" s="2"/>
      <c r="N88" s="7">
        <f t="shared" si="39"/>
        <v>-0.70025999999999999</v>
      </c>
      <c r="O88" s="11"/>
      <c r="P88" s="6">
        <v>664.33</v>
      </c>
      <c r="Q88" s="2"/>
      <c r="R88" s="7">
        <f t="shared" si="40"/>
        <v>2.9633570615266981E-4</v>
      </c>
      <c r="S88" s="2"/>
      <c r="T88" s="6">
        <v>1500</v>
      </c>
      <c r="U88" s="2"/>
      <c r="V88" s="7">
        <f t="shared" si="41"/>
        <v>6.1354059552704368E-4</v>
      </c>
      <c r="W88" s="2"/>
      <c r="X88" s="6">
        <f t="shared" si="42"/>
        <v>-835.67</v>
      </c>
      <c r="Y88" s="2"/>
      <c r="Z88" s="7">
        <f t="shared" si="43"/>
        <v>-0.55711333333333335</v>
      </c>
    </row>
    <row r="89" spans="1:26" s="26" customFormat="1" outlineLevel="1" collapsed="1" x14ac:dyDescent="0.25">
      <c r="A89" s="25"/>
      <c r="B89" s="13" t="str">
        <f>CONCATENATE("     ","General                                           ")</f>
        <v xml:space="preserve">     General                                           </v>
      </c>
      <c r="C89" s="13"/>
      <c r="D89" s="1">
        <f>SUM(OSRRefD22_7x_0)</f>
        <v>0</v>
      </c>
      <c r="E89" s="1"/>
      <c r="F89" s="5">
        <f t="shared" si="36"/>
        <v>0</v>
      </c>
      <c r="G89" s="1"/>
      <c r="H89" s="1">
        <f>SUM(OSRRefH22_7x_0)</f>
        <v>0</v>
      </c>
      <c r="I89" s="1"/>
      <c r="J89" s="5">
        <f t="shared" si="37"/>
        <v>0</v>
      </c>
      <c r="K89" s="1"/>
      <c r="L89" s="1">
        <f t="shared" si="38"/>
        <v>0</v>
      </c>
      <c r="M89" s="1"/>
      <c r="N89" s="5">
        <f t="shared" si="39"/>
        <v>0</v>
      </c>
      <c r="O89" s="13"/>
      <c r="P89" s="1">
        <f>SUM(OSRRefP22_7x_0)</f>
        <v>7.84</v>
      </c>
      <c r="Q89" s="1"/>
      <c r="R89" s="5">
        <f t="shared" si="40"/>
        <v>3.4971654693253819E-6</v>
      </c>
      <c r="S89" s="1"/>
      <c r="T89" s="1">
        <f>SUM(OSRRefT22_7x_0)</f>
        <v>0</v>
      </c>
      <c r="U89" s="1"/>
      <c r="V89" s="5">
        <f t="shared" si="41"/>
        <v>0</v>
      </c>
      <c r="W89" s="1"/>
      <c r="X89" s="1">
        <f t="shared" si="42"/>
        <v>7.84</v>
      </c>
      <c r="Y89" s="1"/>
      <c r="Z89" s="5">
        <f t="shared" si="43"/>
        <v>0</v>
      </c>
    </row>
    <row r="90" spans="1:26" s="24" customFormat="1" hidden="1" outlineLevel="2" x14ac:dyDescent="0.25">
      <c r="A90" s="27"/>
      <c r="B90" s="11" t="str">
        <f>CONCATENATE("          ", "6279", " - ", "GENERAL EXPENSE")</f>
        <v xml:space="preserve">          6279 - GENERAL EXPENSE</v>
      </c>
      <c r="C90" s="11"/>
      <c r="D90" s="6"/>
      <c r="E90" s="2"/>
      <c r="F90" s="7">
        <f t="shared" si="36"/>
        <v>0</v>
      </c>
      <c r="G90" s="2"/>
      <c r="H90" s="6"/>
      <c r="I90" s="2"/>
      <c r="J90" s="7">
        <f t="shared" si="37"/>
        <v>0</v>
      </c>
      <c r="K90" s="2"/>
      <c r="L90" s="6">
        <f t="shared" si="38"/>
        <v>0</v>
      </c>
      <c r="M90" s="2"/>
      <c r="N90" s="7">
        <f t="shared" si="39"/>
        <v>0</v>
      </c>
      <c r="O90" s="11"/>
      <c r="P90" s="6">
        <v>7.84</v>
      </c>
      <c r="Q90" s="2"/>
      <c r="R90" s="7">
        <f t="shared" si="40"/>
        <v>3.4971654693253819E-6</v>
      </c>
      <c r="S90" s="2"/>
      <c r="T90" s="6"/>
      <c r="U90" s="2"/>
      <c r="V90" s="7">
        <f t="shared" si="41"/>
        <v>0</v>
      </c>
      <c r="W90" s="2"/>
      <c r="X90" s="6">
        <f t="shared" si="42"/>
        <v>7.84</v>
      </c>
      <c r="Y90" s="2"/>
      <c r="Z90" s="7">
        <f t="shared" si="43"/>
        <v>0</v>
      </c>
    </row>
    <row r="91" spans="1:26" s="26" customFormat="1" outlineLevel="1" collapsed="1" x14ac:dyDescent="0.25">
      <c r="A91" s="25"/>
      <c r="B91" s="13" t="str">
        <f>CONCATENATE("     ","Inventory Adjustment                              ")</f>
        <v xml:space="preserve">     Inventory Adjustment                              </v>
      </c>
      <c r="C91" s="13"/>
      <c r="D91" s="1">
        <f>SUM(OSRRefD22_8x_0)</f>
        <v>1000</v>
      </c>
      <c r="E91" s="1"/>
      <c r="F91" s="5">
        <f t="shared" si="36"/>
        <v>4.6518500312211217E-4</v>
      </c>
      <c r="G91" s="1"/>
      <c r="H91" s="1">
        <f>SUM(OSRRefH22_8x_0)</f>
        <v>1000</v>
      </c>
      <c r="I91" s="1"/>
      <c r="J91" s="5">
        <f t="shared" si="37"/>
        <v>4.3140638481449527E-4</v>
      </c>
      <c r="K91" s="1"/>
      <c r="L91" s="1">
        <f t="shared" si="38"/>
        <v>0</v>
      </c>
      <c r="M91" s="1"/>
      <c r="N91" s="5">
        <f t="shared" si="39"/>
        <v>0</v>
      </c>
      <c r="O91" s="13"/>
      <c r="P91" s="1">
        <f>SUM(OSRRefP22_8x_0)</f>
        <v>2000</v>
      </c>
      <c r="Q91" s="1"/>
      <c r="R91" s="5">
        <f t="shared" si="40"/>
        <v>8.9213404829729134E-4</v>
      </c>
      <c r="S91" s="1"/>
      <c r="T91" s="1">
        <f>SUM(OSRRefT22_8x_0)</f>
        <v>2000</v>
      </c>
      <c r="U91" s="1"/>
      <c r="V91" s="5">
        <f t="shared" si="41"/>
        <v>8.1805412736939153E-4</v>
      </c>
      <c r="W91" s="1"/>
      <c r="X91" s="1">
        <f t="shared" si="42"/>
        <v>0</v>
      </c>
      <c r="Y91" s="1"/>
      <c r="Z91" s="5">
        <f t="shared" si="43"/>
        <v>0</v>
      </c>
    </row>
    <row r="92" spans="1:26" s="24" customFormat="1" hidden="1" outlineLevel="2" x14ac:dyDescent="0.25">
      <c r="A92" s="27"/>
      <c r="B92" s="11" t="str">
        <f>CONCATENATE("          ", "6408", " - ", "INVENTORY ADJUSTMENT")</f>
        <v xml:space="preserve">          6408 - INVENTORY ADJUSTMENT</v>
      </c>
      <c r="C92" s="11"/>
      <c r="D92" s="6">
        <v>1000</v>
      </c>
      <c r="E92" s="2"/>
      <c r="F92" s="7">
        <f t="shared" si="36"/>
        <v>4.6518500312211217E-4</v>
      </c>
      <c r="G92" s="2"/>
      <c r="H92" s="6">
        <v>1000</v>
      </c>
      <c r="I92" s="2"/>
      <c r="J92" s="7">
        <f t="shared" si="37"/>
        <v>4.3140638481449527E-4</v>
      </c>
      <c r="K92" s="2"/>
      <c r="L92" s="6">
        <f t="shared" si="38"/>
        <v>0</v>
      </c>
      <c r="M92" s="2"/>
      <c r="N92" s="7">
        <f t="shared" si="39"/>
        <v>0</v>
      </c>
      <c r="O92" s="11"/>
      <c r="P92" s="6">
        <v>2000</v>
      </c>
      <c r="Q92" s="2"/>
      <c r="R92" s="7">
        <f t="shared" si="40"/>
        <v>8.9213404829729134E-4</v>
      </c>
      <c r="S92" s="2"/>
      <c r="T92" s="6">
        <v>2000</v>
      </c>
      <c r="U92" s="2"/>
      <c r="V92" s="7">
        <f t="shared" si="41"/>
        <v>8.1805412736939153E-4</v>
      </c>
      <c r="W92" s="2"/>
      <c r="X92" s="6">
        <f t="shared" si="42"/>
        <v>0</v>
      </c>
      <c r="Y92" s="2"/>
      <c r="Z92" s="7">
        <f t="shared" si="43"/>
        <v>0</v>
      </c>
    </row>
    <row r="93" spans="1:26" s="26" customFormat="1" outlineLevel="1" collapsed="1" x14ac:dyDescent="0.25">
      <c r="A93" s="25"/>
      <c r="B93" s="13" t="str">
        <f>CONCATENATE("     ","Repair and Maintenance                            ")</f>
        <v xml:space="preserve">     Repair and Maintenance                            </v>
      </c>
      <c r="C93" s="13"/>
      <c r="D93" s="1">
        <f>SUM(OSRRefD22_9x_0)</f>
        <v>28.96</v>
      </c>
      <c r="E93" s="1"/>
      <c r="F93" s="5">
        <f t="shared" si="36"/>
        <v>1.347175769041637E-5</v>
      </c>
      <c r="G93" s="1"/>
      <c r="H93" s="1">
        <f>SUM(OSRRefH22_9x_0)</f>
        <v>140</v>
      </c>
      <c r="I93" s="1"/>
      <c r="J93" s="5">
        <f t="shared" si="37"/>
        <v>6.0396893874029336E-5</v>
      </c>
      <c r="K93" s="1"/>
      <c r="L93" s="1">
        <f t="shared" si="38"/>
        <v>-111.03999999999999</v>
      </c>
      <c r="M93" s="1"/>
      <c r="N93" s="5">
        <f t="shared" si="39"/>
        <v>-0.79314285714285704</v>
      </c>
      <c r="O93" s="13"/>
      <c r="P93" s="1">
        <f>SUM(OSRRefP22_9x_0)</f>
        <v>49.42</v>
      </c>
      <c r="Q93" s="1"/>
      <c r="R93" s="5">
        <f t="shared" si="40"/>
        <v>2.204463233342607E-5</v>
      </c>
      <c r="S93" s="1"/>
      <c r="T93" s="1">
        <f>SUM(OSRRefT22_9x_0)</f>
        <v>280</v>
      </c>
      <c r="U93" s="1"/>
      <c r="V93" s="5">
        <f t="shared" si="41"/>
        <v>1.1452757783171482E-4</v>
      </c>
      <c r="W93" s="1"/>
      <c r="X93" s="1">
        <f t="shared" si="42"/>
        <v>-230.57999999999998</v>
      </c>
      <c r="Y93" s="1"/>
      <c r="Z93" s="5">
        <f t="shared" si="43"/>
        <v>-0.8234999999999999</v>
      </c>
    </row>
    <row r="94" spans="1:26" s="24" customFormat="1" hidden="1" outlineLevel="2" x14ac:dyDescent="0.25">
      <c r="A94" s="27"/>
      <c r="B94" s="11" t="str">
        <f>CONCATENATE("          ", "6373", " - ", "MAINTENANCE CONTRACTS")</f>
        <v xml:space="preserve">          6373 - MAINTENANCE CONTRACTS</v>
      </c>
      <c r="C94" s="11"/>
      <c r="D94" s="6">
        <v>28.96</v>
      </c>
      <c r="E94" s="2"/>
      <c r="F94" s="7">
        <f t="shared" si="36"/>
        <v>1.347175769041637E-5</v>
      </c>
      <c r="G94" s="2"/>
      <c r="H94" s="6">
        <v>40</v>
      </c>
      <c r="I94" s="2"/>
      <c r="J94" s="7">
        <f t="shared" si="37"/>
        <v>1.7256255392579811E-5</v>
      </c>
      <c r="K94" s="2"/>
      <c r="L94" s="6">
        <f t="shared" si="38"/>
        <v>-11.04</v>
      </c>
      <c r="M94" s="2"/>
      <c r="N94" s="7">
        <f t="shared" si="39"/>
        <v>-0.27599999999999997</v>
      </c>
      <c r="O94" s="11"/>
      <c r="P94" s="6">
        <v>49.42</v>
      </c>
      <c r="Q94" s="2"/>
      <c r="R94" s="7">
        <f t="shared" si="40"/>
        <v>2.204463233342607E-5</v>
      </c>
      <c r="S94" s="2"/>
      <c r="T94" s="6">
        <v>80</v>
      </c>
      <c r="U94" s="2"/>
      <c r="V94" s="7">
        <f t="shared" si="41"/>
        <v>3.2722165094775662E-5</v>
      </c>
      <c r="W94" s="2"/>
      <c r="X94" s="6">
        <f t="shared" si="42"/>
        <v>-30.58</v>
      </c>
      <c r="Y94" s="2"/>
      <c r="Z94" s="7">
        <f t="shared" si="43"/>
        <v>-0.38224999999999998</v>
      </c>
    </row>
    <row r="95" spans="1:26" s="24" customFormat="1" hidden="1" outlineLevel="2" x14ac:dyDescent="0.25">
      <c r="A95" s="27"/>
      <c r="B95" s="11" t="str">
        <f>CONCATENATE("          ", "6375", " - ", "OUTSIDE REPAIRS &amp; MAINTENANCE")</f>
        <v xml:space="preserve">          6375 - OUTSIDE REPAIRS &amp; MAINTENANCE</v>
      </c>
      <c r="C95" s="11"/>
      <c r="D95" s="6"/>
      <c r="E95" s="2"/>
      <c r="F95" s="7">
        <f t="shared" si="36"/>
        <v>0</v>
      </c>
      <c r="G95" s="2"/>
      <c r="H95" s="6">
        <v>100</v>
      </c>
      <c r="I95" s="2"/>
      <c r="J95" s="7">
        <f t="shared" si="37"/>
        <v>4.3140638481449525E-5</v>
      </c>
      <c r="K95" s="2"/>
      <c r="L95" s="6">
        <f t="shared" si="38"/>
        <v>-100</v>
      </c>
      <c r="M95" s="2"/>
      <c r="N95" s="7">
        <f t="shared" si="39"/>
        <v>-1</v>
      </c>
      <c r="O95" s="11"/>
      <c r="P95" s="6"/>
      <c r="Q95" s="2"/>
      <c r="R95" s="7">
        <f t="shared" si="40"/>
        <v>0</v>
      </c>
      <c r="S95" s="2"/>
      <c r="T95" s="6">
        <v>200</v>
      </c>
      <c r="U95" s="2"/>
      <c r="V95" s="7">
        <f t="shared" si="41"/>
        <v>8.1805412736939156E-5</v>
      </c>
      <c r="W95" s="2"/>
      <c r="X95" s="6">
        <f t="shared" si="42"/>
        <v>-200</v>
      </c>
      <c r="Y95" s="2"/>
      <c r="Z95" s="7">
        <f t="shared" si="43"/>
        <v>-1</v>
      </c>
    </row>
    <row r="96" spans="1:26" s="26" customFormat="1" outlineLevel="1" collapsed="1" x14ac:dyDescent="0.25">
      <c r="A96" s="25"/>
      <c r="B96" s="13" t="str">
        <f>CONCATENATE("     ","Subscriptions &amp; Dues                              ")</f>
        <v xml:space="preserve">     Subscriptions &amp; Dues                              </v>
      </c>
      <c r="C96" s="13"/>
      <c r="D96" s="1">
        <f>SUM(OSRRefD22_10x_0)</f>
        <v>250</v>
      </c>
      <c r="E96" s="1"/>
      <c r="F96" s="5">
        <f t="shared" ref="F96:F101" si="44">IF(D$12=0,0,D96/D$12)</f>
        <v>1.1629625078052804E-4</v>
      </c>
      <c r="G96" s="1"/>
      <c r="H96" s="1">
        <f>SUM(OSRRefH22_10x_0)</f>
        <v>300</v>
      </c>
      <c r="I96" s="1"/>
      <c r="J96" s="5">
        <f t="shared" ref="J96:J101" si="45">IF(H$12=0,0,H96/H$12)</f>
        <v>1.2942191544434859E-4</v>
      </c>
      <c r="K96" s="1"/>
      <c r="L96" s="1">
        <f t="shared" ref="L96:L101" si="46">+D96-H96</f>
        <v>-50</v>
      </c>
      <c r="M96" s="1"/>
      <c r="N96" s="5">
        <f t="shared" ref="N96:N101" si="47">IF(H96=0,0,L96/H96)</f>
        <v>-0.16666666666666666</v>
      </c>
      <c r="O96" s="13"/>
      <c r="P96" s="1">
        <f>SUM(OSRRefP22_10x_0)</f>
        <v>538.85</v>
      </c>
      <c r="Q96" s="1"/>
      <c r="R96" s="5">
        <f t="shared" ref="R96:R101" si="48">IF(P$12=0,0,P96/P$12)</f>
        <v>2.4036321596249772E-4</v>
      </c>
      <c r="S96" s="1"/>
      <c r="T96" s="1">
        <f>SUM(OSRRefT22_10x_0)</f>
        <v>600</v>
      </c>
      <c r="U96" s="1"/>
      <c r="V96" s="5">
        <f t="shared" ref="V96:V101" si="49">IF(T$12=0,0,T96/T$12)</f>
        <v>2.4541623821081748E-4</v>
      </c>
      <c r="W96" s="1"/>
      <c r="X96" s="1">
        <f t="shared" ref="X96:X101" si="50">+P96-T96</f>
        <v>-61.149999999999977</v>
      </c>
      <c r="Y96" s="1"/>
      <c r="Z96" s="5">
        <f t="shared" ref="Z96:Z101" si="51">IF(T96=0,0,X96/T96)</f>
        <v>-0.10191666666666663</v>
      </c>
    </row>
    <row r="97" spans="1:26" s="24" customFormat="1" hidden="1" outlineLevel="2" x14ac:dyDescent="0.25">
      <c r="A97" s="27"/>
      <c r="B97" s="11" t="str">
        <f>CONCATENATE("          ", "6258", " - ", "MEMBERSHIP DUES")</f>
        <v xml:space="preserve">          6258 - MEMBERSHIP DUES</v>
      </c>
      <c r="C97" s="11"/>
      <c r="D97" s="6">
        <v>250</v>
      </c>
      <c r="E97" s="2"/>
      <c r="F97" s="7">
        <f t="shared" si="44"/>
        <v>1.1629625078052804E-4</v>
      </c>
      <c r="G97" s="2"/>
      <c r="H97" s="6">
        <v>300</v>
      </c>
      <c r="I97" s="2"/>
      <c r="J97" s="7">
        <f t="shared" si="45"/>
        <v>1.2942191544434859E-4</v>
      </c>
      <c r="K97" s="2"/>
      <c r="L97" s="6">
        <f t="shared" si="46"/>
        <v>-50</v>
      </c>
      <c r="M97" s="2"/>
      <c r="N97" s="7">
        <f t="shared" si="47"/>
        <v>-0.16666666666666666</v>
      </c>
      <c r="O97" s="11"/>
      <c r="P97" s="6">
        <v>538.85</v>
      </c>
      <c r="Q97" s="2"/>
      <c r="R97" s="7">
        <f t="shared" si="48"/>
        <v>2.4036321596249772E-4</v>
      </c>
      <c r="S97" s="2"/>
      <c r="T97" s="6">
        <v>600</v>
      </c>
      <c r="U97" s="2"/>
      <c r="V97" s="7">
        <f t="shared" si="49"/>
        <v>2.4541623821081748E-4</v>
      </c>
      <c r="W97" s="2"/>
      <c r="X97" s="6">
        <f t="shared" si="50"/>
        <v>-61.149999999999977</v>
      </c>
      <c r="Y97" s="2"/>
      <c r="Z97" s="7">
        <f t="shared" si="51"/>
        <v>-0.10191666666666663</v>
      </c>
    </row>
    <row r="98" spans="1:26" s="26" customFormat="1" outlineLevel="1" collapsed="1" x14ac:dyDescent="0.25">
      <c r="A98" s="25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SUM(OSRRefD22_11x_0)</f>
        <v>6921.99</v>
      </c>
      <c r="E98" s="1"/>
      <c r="F98" s="5">
        <f t="shared" si="44"/>
        <v>3.2200059397612291E-3</v>
      </c>
      <c r="G98" s="1"/>
      <c r="H98" s="1">
        <f>SUM(OSRRefH22_11x_0)</f>
        <v>2525</v>
      </c>
      <c r="I98" s="1"/>
      <c r="J98" s="5">
        <f t="shared" si="45"/>
        <v>1.0893011216566006E-3</v>
      </c>
      <c r="K98" s="1"/>
      <c r="L98" s="1">
        <f t="shared" si="46"/>
        <v>4396.99</v>
      </c>
      <c r="M98" s="1"/>
      <c r="N98" s="5">
        <f t="shared" si="47"/>
        <v>1.7413821782178216</v>
      </c>
      <c r="O98" s="13"/>
      <c r="P98" s="1">
        <f>SUM(OSRRefP22_11x_0)</f>
        <v>7199.55</v>
      </c>
      <c r="Q98" s="1"/>
      <c r="R98" s="5">
        <f t="shared" si="48"/>
        <v>3.2114818437093818E-3</v>
      </c>
      <c r="S98" s="1"/>
      <c r="T98" s="1">
        <f>SUM(OSRRefT22_11x_0)</f>
        <v>4125</v>
      </c>
      <c r="U98" s="1"/>
      <c r="V98" s="5">
        <f t="shared" si="49"/>
        <v>1.68723663769937E-3</v>
      </c>
      <c r="W98" s="1"/>
      <c r="X98" s="1">
        <f t="shared" si="50"/>
        <v>3074.55</v>
      </c>
      <c r="Y98" s="1"/>
      <c r="Z98" s="5">
        <f t="shared" si="51"/>
        <v>0.74534545454545464</v>
      </c>
    </row>
    <row r="99" spans="1:26" s="24" customFormat="1" hidden="1" outlineLevel="2" x14ac:dyDescent="0.25">
      <c r="A99" s="27"/>
      <c r="B99" s="11" t="str">
        <f>CONCATENATE("          ", "6241", " - ", "OFFICE EXPENSE")</f>
        <v xml:space="preserve">          6241 - OFFICE EXPENSE</v>
      </c>
      <c r="C99" s="11"/>
      <c r="D99" s="6">
        <v>1943.91</v>
      </c>
      <c r="E99" s="2"/>
      <c r="F99" s="7">
        <f t="shared" si="44"/>
        <v>9.0427777941910509E-4</v>
      </c>
      <c r="G99" s="2"/>
      <c r="H99" s="6">
        <v>125</v>
      </c>
      <c r="I99" s="2"/>
      <c r="J99" s="7">
        <f t="shared" si="45"/>
        <v>5.3925798101811909E-5</v>
      </c>
      <c r="K99" s="2"/>
      <c r="L99" s="6">
        <f t="shared" si="46"/>
        <v>1818.91</v>
      </c>
      <c r="M99" s="2"/>
      <c r="N99" s="7">
        <f t="shared" si="47"/>
        <v>14.55128</v>
      </c>
      <c r="O99" s="11"/>
      <c r="P99" s="6">
        <v>2205.08</v>
      </c>
      <c r="Q99" s="2"/>
      <c r="R99" s="7">
        <f t="shared" si="48"/>
        <v>9.8361347360969567E-4</v>
      </c>
      <c r="S99" s="2"/>
      <c r="T99" s="6">
        <v>425</v>
      </c>
      <c r="U99" s="2"/>
      <c r="V99" s="7">
        <f t="shared" si="49"/>
        <v>1.7383650206599571E-4</v>
      </c>
      <c r="W99" s="2"/>
      <c r="X99" s="6">
        <f t="shared" si="50"/>
        <v>1780.08</v>
      </c>
      <c r="Y99" s="2"/>
      <c r="Z99" s="7">
        <f t="shared" si="51"/>
        <v>4.1884235294117644</v>
      </c>
    </row>
    <row r="100" spans="1:26" s="24" customFormat="1" hidden="1" outlineLevel="2" x14ac:dyDescent="0.25">
      <c r="A100" s="27"/>
      <c r="B100" s="11" t="str">
        <f>CONCATENATE("          ", "6245", " - ", "PRINTING")</f>
        <v xml:space="preserve">          6245 - PRINTING</v>
      </c>
      <c r="C100" s="11"/>
      <c r="D100" s="6">
        <v>4978.08</v>
      </c>
      <c r="E100" s="2"/>
      <c r="F100" s="7">
        <f t="shared" si="44"/>
        <v>2.3157281603421241E-3</v>
      </c>
      <c r="G100" s="2"/>
      <c r="H100" s="6">
        <v>500</v>
      </c>
      <c r="I100" s="2"/>
      <c r="J100" s="7">
        <f t="shared" si="45"/>
        <v>2.1570319240724764E-4</v>
      </c>
      <c r="K100" s="2"/>
      <c r="L100" s="6">
        <f t="shared" si="46"/>
        <v>4478.08</v>
      </c>
      <c r="M100" s="2"/>
      <c r="N100" s="7">
        <f t="shared" si="47"/>
        <v>8.9561600000000006</v>
      </c>
      <c r="O100" s="11"/>
      <c r="P100" s="6">
        <v>4978.08</v>
      </c>
      <c r="Q100" s="2"/>
      <c r="R100" s="7">
        <f t="shared" si="48"/>
        <v>2.22055733157389E-3</v>
      </c>
      <c r="S100" s="2"/>
      <c r="T100" s="6">
        <v>600</v>
      </c>
      <c r="U100" s="2"/>
      <c r="V100" s="7">
        <f t="shared" si="49"/>
        <v>2.4541623821081748E-4</v>
      </c>
      <c r="W100" s="2"/>
      <c r="X100" s="6">
        <f t="shared" si="50"/>
        <v>4378.08</v>
      </c>
      <c r="Y100" s="2"/>
      <c r="Z100" s="7">
        <f t="shared" si="51"/>
        <v>7.2968000000000002</v>
      </c>
    </row>
    <row r="101" spans="1:26" s="24" customFormat="1" hidden="1" outlineLevel="2" x14ac:dyDescent="0.25">
      <c r="A101" s="27"/>
      <c r="B101" s="11" t="str">
        <f>CONCATENATE("          ", "6247", " - ", "STORE SUPPLIES")</f>
        <v xml:space="preserve">          6247 - STORE SUPPLIES</v>
      </c>
      <c r="C101" s="11"/>
      <c r="D101" s="6"/>
      <c r="E101" s="2"/>
      <c r="F101" s="7">
        <f t="shared" si="44"/>
        <v>0</v>
      </c>
      <c r="G101" s="2"/>
      <c r="H101" s="6">
        <v>1900</v>
      </c>
      <c r="I101" s="2"/>
      <c r="J101" s="7">
        <f t="shared" si="45"/>
        <v>8.1967213114754098E-4</v>
      </c>
      <c r="K101" s="2"/>
      <c r="L101" s="6">
        <f t="shared" si="46"/>
        <v>-1900</v>
      </c>
      <c r="M101" s="2"/>
      <c r="N101" s="7">
        <f t="shared" si="47"/>
        <v>-1</v>
      </c>
      <c r="O101" s="11"/>
      <c r="P101" s="6">
        <v>16.39</v>
      </c>
      <c r="Q101" s="2"/>
      <c r="R101" s="7">
        <f t="shared" si="48"/>
        <v>7.3110385257963031E-6</v>
      </c>
      <c r="S101" s="2"/>
      <c r="T101" s="6">
        <v>3100</v>
      </c>
      <c r="U101" s="2"/>
      <c r="V101" s="7">
        <f t="shared" si="49"/>
        <v>1.2679838974225569E-3</v>
      </c>
      <c r="W101" s="2"/>
      <c r="X101" s="6">
        <f t="shared" si="50"/>
        <v>-3083.61</v>
      </c>
      <c r="Y101" s="2"/>
      <c r="Z101" s="7">
        <f t="shared" si="51"/>
        <v>-0.99471290322580652</v>
      </c>
    </row>
    <row r="102" spans="1:26" s="26" customFormat="1" outlineLevel="1" collapsed="1" x14ac:dyDescent="0.25">
      <c r="A102" s="25"/>
      <c r="B102" s="13" t="str">
        <f>CONCATENATE("     ","Telephone/Data Lines                              ")</f>
        <v xml:space="preserve">     Telephone/Data Lines                              </v>
      </c>
      <c r="C102" s="13"/>
      <c r="D102" s="1">
        <f>SUM(OSRRefD22_12x_0)</f>
        <v>830.15</v>
      </c>
      <c r="E102" s="1"/>
      <c r="F102" s="5">
        <f t="shared" ref="F102:F104" si="52">IF(D$12=0,0,D102/D$12)</f>
        <v>3.8617333034182141E-4</v>
      </c>
      <c r="G102" s="1"/>
      <c r="H102" s="1">
        <f>SUM(OSRRefH22_12x_0)</f>
        <v>1000</v>
      </c>
      <c r="I102" s="1"/>
      <c r="J102" s="5">
        <f t="shared" ref="J102:J104" si="53">IF(H$12=0,0,H102/H$12)</f>
        <v>4.3140638481449527E-4</v>
      </c>
      <c r="K102" s="1"/>
      <c r="L102" s="1">
        <f t="shared" ref="L102:L104" si="54">+D102-H102</f>
        <v>-169.85000000000002</v>
      </c>
      <c r="M102" s="1"/>
      <c r="N102" s="5">
        <f t="shared" ref="N102:N104" si="55">IF(H102=0,0,L102/H102)</f>
        <v>-0.16985000000000003</v>
      </c>
      <c r="O102" s="13"/>
      <c r="P102" s="1">
        <f>SUM(OSRRefP22_12x_0)</f>
        <v>1354.5</v>
      </c>
      <c r="Q102" s="1"/>
      <c r="R102" s="5">
        <f t="shared" ref="R102:R104" si="56">IF(P$12=0,0,P102/P$12)</f>
        <v>6.0419778420934059E-4</v>
      </c>
      <c r="S102" s="1"/>
      <c r="T102" s="1">
        <f>SUM(OSRRefT22_12x_0)</f>
        <v>1600</v>
      </c>
      <c r="U102" s="1"/>
      <c r="V102" s="5">
        <f t="shared" ref="V102:V104" si="57">IF(T$12=0,0,T102/T$12)</f>
        <v>6.5444330189551325E-4</v>
      </c>
      <c r="W102" s="1"/>
      <c r="X102" s="1">
        <f t="shared" ref="X102:X104" si="58">+P102-T102</f>
        <v>-245.5</v>
      </c>
      <c r="Y102" s="1"/>
      <c r="Z102" s="5">
        <f t="shared" ref="Z102:Z104" si="59">IF(T102=0,0,X102/T102)</f>
        <v>-0.1534375</v>
      </c>
    </row>
    <row r="103" spans="1:26" s="24" customFormat="1" hidden="1" outlineLevel="2" x14ac:dyDescent="0.25">
      <c r="A103" s="27"/>
      <c r="B103" s="11" t="str">
        <f>CONCATENATE("          ", "6303", " - ", "DATA PHONE LINES")</f>
        <v xml:space="preserve">          6303 - DATA PHONE LINES</v>
      </c>
      <c r="C103" s="11"/>
      <c r="D103" s="6">
        <v>295</v>
      </c>
      <c r="E103" s="2"/>
      <c r="F103" s="7">
        <f t="shared" si="52"/>
        <v>1.3722957592102308E-4</v>
      </c>
      <c r="G103" s="2"/>
      <c r="H103" s="6">
        <v>300</v>
      </c>
      <c r="I103" s="2"/>
      <c r="J103" s="7">
        <f t="shared" si="53"/>
        <v>1.2942191544434859E-4</v>
      </c>
      <c r="K103" s="2"/>
      <c r="L103" s="6">
        <f t="shared" si="54"/>
        <v>-5</v>
      </c>
      <c r="M103" s="2"/>
      <c r="N103" s="7">
        <f t="shared" si="55"/>
        <v>-1.6666666666666666E-2</v>
      </c>
      <c r="O103" s="11"/>
      <c r="P103" s="6">
        <v>590</v>
      </c>
      <c r="Q103" s="2"/>
      <c r="R103" s="7">
        <f t="shared" si="56"/>
        <v>2.6317954424770094E-4</v>
      </c>
      <c r="S103" s="2"/>
      <c r="T103" s="6">
        <v>600</v>
      </c>
      <c r="U103" s="2"/>
      <c r="V103" s="7">
        <f t="shared" si="57"/>
        <v>2.4541623821081748E-4</v>
      </c>
      <c r="W103" s="2"/>
      <c r="X103" s="6">
        <f t="shared" si="58"/>
        <v>-10</v>
      </c>
      <c r="Y103" s="2"/>
      <c r="Z103" s="7">
        <f t="shared" si="59"/>
        <v>-1.6666666666666666E-2</v>
      </c>
    </row>
    <row r="104" spans="1:26" s="24" customFormat="1" hidden="1" outlineLevel="2" x14ac:dyDescent="0.25">
      <c r="A104" s="27"/>
      <c r="B104" s="11" t="str">
        <f>CONCATENATE("          ", "6309", " - ", "TELEPHONE")</f>
        <v xml:space="preserve">          6309 - TELEPHONE</v>
      </c>
      <c r="C104" s="11"/>
      <c r="D104" s="6">
        <v>535.15</v>
      </c>
      <c r="E104" s="2"/>
      <c r="F104" s="7">
        <f t="shared" si="52"/>
        <v>2.489437544207983E-4</v>
      </c>
      <c r="G104" s="2"/>
      <c r="H104" s="6">
        <v>700</v>
      </c>
      <c r="I104" s="2"/>
      <c r="J104" s="7">
        <f t="shared" si="53"/>
        <v>3.0198446937014669E-4</v>
      </c>
      <c r="K104" s="2"/>
      <c r="L104" s="6">
        <f t="shared" si="54"/>
        <v>-164.85000000000002</v>
      </c>
      <c r="M104" s="2"/>
      <c r="N104" s="7">
        <f t="shared" si="55"/>
        <v>-0.23550000000000004</v>
      </c>
      <c r="O104" s="11"/>
      <c r="P104" s="6">
        <v>764.5</v>
      </c>
      <c r="Q104" s="2"/>
      <c r="R104" s="7">
        <f t="shared" si="56"/>
        <v>3.410182399616396E-4</v>
      </c>
      <c r="S104" s="2"/>
      <c r="T104" s="6">
        <v>1000</v>
      </c>
      <c r="U104" s="2"/>
      <c r="V104" s="7">
        <f t="shared" si="57"/>
        <v>4.0902706368469577E-4</v>
      </c>
      <c r="W104" s="2"/>
      <c r="X104" s="6">
        <f t="shared" si="58"/>
        <v>-235.5</v>
      </c>
      <c r="Y104" s="2"/>
      <c r="Z104" s="7">
        <f t="shared" si="59"/>
        <v>-0.23549999999999999</v>
      </c>
    </row>
    <row r="105" spans="1:26" s="26" customFormat="1" outlineLevel="1" collapsed="1" x14ac:dyDescent="0.25">
      <c r="A105" s="25"/>
      <c r="B105" s="13" t="str">
        <f>CONCATENATE("     ","Training                                          ")</f>
        <v xml:space="preserve">     Training                                          </v>
      </c>
      <c r="C105" s="13"/>
      <c r="D105" s="1">
        <f>SUM(OSRRefD22_13x_0)</f>
        <v>30.86</v>
      </c>
      <c r="E105" s="1"/>
      <c r="F105" s="5">
        <f t="shared" ref="F105:F108" si="60">IF(D$12=0,0,D105/D$12)</f>
        <v>1.4355609196348381E-5</v>
      </c>
      <c r="G105" s="1"/>
      <c r="H105" s="1">
        <f>SUM(OSRRefH22_13x_0)</f>
        <v>0</v>
      </c>
      <c r="I105" s="1"/>
      <c r="J105" s="5">
        <f t="shared" ref="J105:J108" si="61">IF(H$12=0,0,H105/H$12)</f>
        <v>0</v>
      </c>
      <c r="K105" s="1"/>
      <c r="L105" s="1">
        <f t="shared" ref="L105:L108" si="62">+D105-H105</f>
        <v>30.86</v>
      </c>
      <c r="M105" s="1"/>
      <c r="N105" s="5">
        <f t="shared" ref="N105:N108" si="63">IF(H105=0,0,L105/H105)</f>
        <v>0</v>
      </c>
      <c r="O105" s="13"/>
      <c r="P105" s="1">
        <f>SUM(OSRRefP22_13x_0)</f>
        <v>547.47</v>
      </c>
      <c r="Q105" s="1"/>
      <c r="R105" s="5">
        <f t="shared" ref="R105:R108" si="64">IF(P$12=0,0,P105/P$12)</f>
        <v>2.4420831371065906E-4</v>
      </c>
      <c r="S105" s="1"/>
      <c r="T105" s="1">
        <f>SUM(OSRRefT22_13x_0)</f>
        <v>300</v>
      </c>
      <c r="U105" s="1"/>
      <c r="V105" s="5">
        <f t="shared" ref="V105:V108" si="65">IF(T$12=0,0,T105/T$12)</f>
        <v>1.2270811910540874E-4</v>
      </c>
      <c r="W105" s="1"/>
      <c r="X105" s="1">
        <f t="shared" ref="X105:X108" si="66">+P105-T105</f>
        <v>247.47000000000003</v>
      </c>
      <c r="Y105" s="1"/>
      <c r="Z105" s="5">
        <f t="shared" ref="Z105:Z108" si="67">IF(T105=0,0,X105/T105)</f>
        <v>0.82490000000000008</v>
      </c>
    </row>
    <row r="106" spans="1:26" s="24" customFormat="1" hidden="1" outlineLevel="2" x14ac:dyDescent="0.25">
      <c r="A106" s="27"/>
      <c r="B106" s="11" t="str">
        <f>CONCATENATE("          ", "6376", " - ", "TRAINING")</f>
        <v xml:space="preserve">          6376 - TRAINING</v>
      </c>
      <c r="C106" s="11"/>
      <c r="D106" s="6">
        <v>30.86</v>
      </c>
      <c r="E106" s="2"/>
      <c r="F106" s="7">
        <f t="shared" si="60"/>
        <v>1.4355609196348381E-5</v>
      </c>
      <c r="G106" s="2"/>
      <c r="H106" s="6"/>
      <c r="I106" s="2"/>
      <c r="J106" s="7">
        <f t="shared" si="61"/>
        <v>0</v>
      </c>
      <c r="K106" s="2"/>
      <c r="L106" s="6">
        <f t="shared" si="62"/>
        <v>30.86</v>
      </c>
      <c r="M106" s="2"/>
      <c r="N106" s="7">
        <f t="shared" si="63"/>
        <v>0</v>
      </c>
      <c r="O106" s="11"/>
      <c r="P106" s="6">
        <v>547.47</v>
      </c>
      <c r="Q106" s="2"/>
      <c r="R106" s="7">
        <f t="shared" si="64"/>
        <v>2.4420831371065906E-4</v>
      </c>
      <c r="S106" s="2"/>
      <c r="T106" s="6">
        <v>300</v>
      </c>
      <c r="U106" s="2"/>
      <c r="V106" s="7">
        <f t="shared" si="65"/>
        <v>1.2270811910540874E-4</v>
      </c>
      <c r="W106" s="2"/>
      <c r="X106" s="6">
        <f t="shared" si="66"/>
        <v>247.47000000000003</v>
      </c>
      <c r="Y106" s="2"/>
      <c r="Z106" s="7">
        <f t="shared" si="67"/>
        <v>0.82490000000000008</v>
      </c>
    </row>
    <row r="107" spans="1:26" s="26" customFormat="1" outlineLevel="1" collapsed="1" x14ac:dyDescent="0.25">
      <c r="A107" s="25"/>
      <c r="B107" s="13" t="str">
        <f>CONCATENATE("     ","Travel                                            ")</f>
        <v xml:space="preserve">     Travel                                            </v>
      </c>
      <c r="C107" s="13"/>
      <c r="D107" s="1">
        <f>SUM(OSRRefD22_14x_0)</f>
        <v>0</v>
      </c>
      <c r="E107" s="1"/>
      <c r="F107" s="5">
        <f t="shared" si="60"/>
        <v>0</v>
      </c>
      <c r="G107" s="1"/>
      <c r="H107" s="1">
        <f>SUM(OSRRefH22_14x_0)</f>
        <v>0</v>
      </c>
      <c r="I107" s="1"/>
      <c r="J107" s="5">
        <f t="shared" si="61"/>
        <v>0</v>
      </c>
      <c r="K107" s="1"/>
      <c r="L107" s="1">
        <f t="shared" si="62"/>
        <v>0</v>
      </c>
      <c r="M107" s="1"/>
      <c r="N107" s="5">
        <f t="shared" si="63"/>
        <v>0</v>
      </c>
      <c r="O107" s="13"/>
      <c r="P107" s="1">
        <f>SUM(OSRRefP22_14x_0)</f>
        <v>0</v>
      </c>
      <c r="Q107" s="1"/>
      <c r="R107" s="5">
        <f t="shared" si="64"/>
        <v>0</v>
      </c>
      <c r="S107" s="1"/>
      <c r="T107" s="1">
        <f>SUM(OSRRefT22_14x_0)</f>
        <v>450</v>
      </c>
      <c r="U107" s="1"/>
      <c r="V107" s="5">
        <f t="shared" si="65"/>
        <v>1.840621786581131E-4</v>
      </c>
      <c r="W107" s="1"/>
      <c r="X107" s="1">
        <f t="shared" si="66"/>
        <v>-450</v>
      </c>
      <c r="Y107" s="1"/>
      <c r="Z107" s="5">
        <f t="shared" si="67"/>
        <v>-1</v>
      </c>
    </row>
    <row r="108" spans="1:26" s="24" customFormat="1" hidden="1" outlineLevel="2" x14ac:dyDescent="0.25">
      <c r="A108" s="27"/>
      <c r="B108" s="11" t="str">
        <f>CONCATENATE("          ", "6298", " - ", "VEHICLE MILEAGE")</f>
        <v xml:space="preserve">          6298 - VEHICLE MILEAGE</v>
      </c>
      <c r="C108" s="11"/>
      <c r="D108" s="6"/>
      <c r="E108" s="2"/>
      <c r="F108" s="7">
        <f t="shared" si="60"/>
        <v>0</v>
      </c>
      <c r="G108" s="2"/>
      <c r="H108" s="6"/>
      <c r="I108" s="2"/>
      <c r="J108" s="7">
        <f t="shared" si="61"/>
        <v>0</v>
      </c>
      <c r="K108" s="2"/>
      <c r="L108" s="6">
        <f t="shared" si="62"/>
        <v>0</v>
      </c>
      <c r="M108" s="2"/>
      <c r="N108" s="7">
        <f t="shared" si="63"/>
        <v>0</v>
      </c>
      <c r="O108" s="11"/>
      <c r="P108" s="6"/>
      <c r="Q108" s="2"/>
      <c r="R108" s="7">
        <f t="shared" si="64"/>
        <v>0</v>
      </c>
      <c r="S108" s="2"/>
      <c r="T108" s="6">
        <v>450</v>
      </c>
      <c r="U108" s="2"/>
      <c r="V108" s="7">
        <f t="shared" si="65"/>
        <v>1.840621786581131E-4</v>
      </c>
      <c r="W108" s="2"/>
      <c r="X108" s="6">
        <f t="shared" si="66"/>
        <v>-450</v>
      </c>
      <c r="Y108" s="2"/>
      <c r="Z108" s="7">
        <f t="shared" si="67"/>
        <v>-1</v>
      </c>
    </row>
    <row r="109" spans="1:26" s="63" customFormat="1" x14ac:dyDescent="0.25">
      <c r="A109" s="36"/>
      <c r="B109" s="36"/>
      <c r="C109" s="36"/>
      <c r="D109" s="1"/>
      <c r="E109" s="1"/>
      <c r="F109" s="5"/>
      <c r="G109" s="1"/>
      <c r="H109" s="1"/>
      <c r="I109" s="1"/>
      <c r="J109" s="5"/>
      <c r="K109" s="1"/>
      <c r="L109" s="1"/>
      <c r="M109" s="1"/>
      <c r="N109" s="5"/>
      <c r="O109" s="36"/>
      <c r="P109" s="1"/>
      <c r="Q109" s="1"/>
      <c r="R109" s="5"/>
      <c r="S109" s="1"/>
      <c r="T109" s="1"/>
      <c r="U109" s="1"/>
      <c r="V109" s="5"/>
      <c r="W109" s="1"/>
      <c r="X109" s="1"/>
      <c r="Y109" s="1"/>
      <c r="Z109" s="5"/>
    </row>
    <row r="110" spans="1:26" s="23" customFormat="1" collapsed="1" x14ac:dyDescent="0.25">
      <c r="A110" s="10"/>
      <c r="B110" s="28" t="s">
        <v>0</v>
      </c>
      <c r="C110" s="10"/>
      <c r="D110" s="4">
        <f>SUM(OSRRefD25x_0)</f>
        <v>1899.3400000000001</v>
      </c>
      <c r="E110" s="4"/>
      <c r="F110" s="12">
        <f t="shared" ref="F110:F113" si="68">IF(D$12=0,0,D110/D$12)</f>
        <v>8.8354448382995266E-4</v>
      </c>
      <c r="G110" s="4"/>
      <c r="H110" s="4">
        <f>SUM(OSRRefH25x_0)</f>
        <v>6000</v>
      </c>
      <c r="I110" s="4"/>
      <c r="J110" s="12">
        <f t="shared" ref="J110:J113" si="69">IF(H$12=0,0,H110/H$12)</f>
        <v>2.5884383088869713E-3</v>
      </c>
      <c r="K110" s="4"/>
      <c r="L110" s="4">
        <f t="shared" ref="L110:L113" si="70">+D110-H110</f>
        <v>-4100.66</v>
      </c>
      <c r="M110" s="4"/>
      <c r="N110" s="12">
        <f t="shared" ref="N110:N113" si="71">IF(H110=0,0,L110/H110)</f>
        <v>-0.68344333333333329</v>
      </c>
      <c r="O110" s="10"/>
      <c r="P110" s="4">
        <f>SUM(OSRRefP25x_0)</f>
        <v>2326.1</v>
      </c>
      <c r="Q110" s="4"/>
      <c r="R110" s="12">
        <f t="shared" ref="R110:R113" si="72">IF(P$12=0,0,P110/P$12)</f>
        <v>1.0375965048721647E-3</v>
      </c>
      <c r="S110" s="4"/>
      <c r="T110" s="4">
        <f>SUM(OSRRefT25x_0)</f>
        <v>7300</v>
      </c>
      <c r="U110" s="4"/>
      <c r="V110" s="12">
        <f t="shared" ref="V110:V113" si="73">IF(T$12=0,0,T110/T$12)</f>
        <v>2.9858975648982791E-3</v>
      </c>
      <c r="W110" s="4"/>
      <c r="X110" s="4">
        <f t="shared" ref="X110:X113" si="74">+P110-T110</f>
        <v>-4973.8999999999996</v>
      </c>
      <c r="Y110" s="4"/>
      <c r="Z110" s="12">
        <f t="shared" ref="Z110:Z113" si="75">IF(T110=0,0,X110/T110)</f>
        <v>-0.68135616438356161</v>
      </c>
    </row>
    <row r="111" spans="1:26" s="24" customFormat="1" hidden="1" outlineLevel="1" x14ac:dyDescent="0.25">
      <c r="A111" s="46"/>
      <c r="B111" s="11" t="str">
        <f>CONCATENATE("          ", "9150", " - ", "MISC. INCOME")</f>
        <v xml:space="preserve">          9150 - MISC. INCOME</v>
      </c>
      <c r="C111" s="11"/>
      <c r="D111" s="2">
        <f>--1891.91</f>
        <v>1891.91</v>
      </c>
      <c r="E111" s="2"/>
      <c r="F111" s="21">
        <f t="shared" si="68"/>
        <v>8.8008815925675525E-4</v>
      </c>
      <c r="G111" s="2"/>
      <c r="H111" s="2"/>
      <c r="I111" s="2"/>
      <c r="J111" s="21">
        <f t="shared" si="69"/>
        <v>0</v>
      </c>
      <c r="K111" s="2"/>
      <c r="L111" s="2">
        <f t="shared" si="70"/>
        <v>1891.91</v>
      </c>
      <c r="M111" s="2"/>
      <c r="N111" s="21">
        <f t="shared" si="71"/>
        <v>0</v>
      </c>
      <c r="O111" s="11"/>
      <c r="P111" s="2">
        <f>--2318.67</f>
        <v>2318.67</v>
      </c>
      <c r="Q111" s="2"/>
      <c r="R111" s="21">
        <f t="shared" si="72"/>
        <v>1.0342822268827403E-3</v>
      </c>
      <c r="S111" s="2"/>
      <c r="T111" s="2"/>
      <c r="U111" s="2"/>
      <c r="V111" s="21">
        <f t="shared" si="73"/>
        <v>0</v>
      </c>
      <c r="W111" s="2"/>
      <c r="X111" s="2">
        <f t="shared" si="74"/>
        <v>2318.67</v>
      </c>
      <c r="Y111" s="2"/>
      <c r="Z111" s="21">
        <f t="shared" si="75"/>
        <v>0</v>
      </c>
    </row>
    <row r="112" spans="1:26" s="24" customFormat="1" hidden="1" outlineLevel="1" x14ac:dyDescent="0.25">
      <c r="A112" s="46"/>
      <c r="B112" s="11" t="str">
        <f>CONCATENATE("          ", "9152", " - ", "MISC. INCOME")</f>
        <v xml:space="preserve">          9152 - MISC. INCOME</v>
      </c>
      <c r="C112" s="11"/>
      <c r="D112" s="2">
        <f>--7.43</f>
        <v>7.43</v>
      </c>
      <c r="E112" s="2"/>
      <c r="F112" s="21">
        <f t="shared" si="68"/>
        <v>3.4563245731972934E-6</v>
      </c>
      <c r="G112" s="2"/>
      <c r="H112" s="2"/>
      <c r="I112" s="2"/>
      <c r="J112" s="21">
        <f t="shared" si="69"/>
        <v>0</v>
      </c>
      <c r="K112" s="2"/>
      <c r="L112" s="2">
        <f t="shared" si="70"/>
        <v>7.43</v>
      </c>
      <c r="M112" s="2"/>
      <c r="N112" s="21">
        <f t="shared" si="71"/>
        <v>0</v>
      </c>
      <c r="O112" s="11"/>
      <c r="P112" s="2">
        <f>--7.43</f>
        <v>7.43</v>
      </c>
      <c r="Q112" s="2"/>
      <c r="R112" s="21">
        <f t="shared" si="72"/>
        <v>3.3142779894244371E-6</v>
      </c>
      <c r="S112" s="2"/>
      <c r="T112" s="2"/>
      <c r="U112" s="2"/>
      <c r="V112" s="21">
        <f t="shared" si="73"/>
        <v>0</v>
      </c>
      <c r="W112" s="2"/>
      <c r="X112" s="2">
        <f t="shared" si="74"/>
        <v>7.43</v>
      </c>
      <c r="Y112" s="2"/>
      <c r="Z112" s="21">
        <f t="shared" si="75"/>
        <v>0</v>
      </c>
    </row>
    <row r="113" spans="1:26" s="24" customFormat="1" hidden="1" outlineLevel="1" x14ac:dyDescent="0.25">
      <c r="A113" s="46"/>
      <c r="B113" s="11" t="str">
        <f>CONCATENATE("          ", "9160", " - ", "MISC. INCOME")</f>
        <v xml:space="preserve">          9160 - MISC. INCOME</v>
      </c>
      <c r="C113" s="11"/>
      <c r="D113" s="2">
        <f>0</f>
        <v>0</v>
      </c>
      <c r="E113" s="2"/>
      <c r="F113" s="21">
        <f t="shared" si="68"/>
        <v>0</v>
      </c>
      <c r="G113" s="2"/>
      <c r="H113" s="2">
        <v>6000</v>
      </c>
      <c r="I113" s="2"/>
      <c r="J113" s="21">
        <f t="shared" si="69"/>
        <v>2.5884383088869713E-3</v>
      </c>
      <c r="K113" s="2"/>
      <c r="L113" s="2">
        <f t="shared" si="70"/>
        <v>-6000</v>
      </c>
      <c r="M113" s="2"/>
      <c r="N113" s="21">
        <f t="shared" si="71"/>
        <v>-1</v>
      </c>
      <c r="O113" s="11"/>
      <c r="P113" s="2">
        <f>0</f>
        <v>0</v>
      </c>
      <c r="Q113" s="2"/>
      <c r="R113" s="21">
        <f t="shared" si="72"/>
        <v>0</v>
      </c>
      <c r="S113" s="2"/>
      <c r="T113" s="2">
        <v>7300</v>
      </c>
      <c r="U113" s="2"/>
      <c r="V113" s="21">
        <f t="shared" si="73"/>
        <v>2.9858975648982791E-3</v>
      </c>
      <c r="W113" s="2"/>
      <c r="X113" s="2">
        <f t="shared" si="74"/>
        <v>-7300</v>
      </c>
      <c r="Y113" s="2"/>
      <c r="Z113" s="21">
        <f t="shared" si="75"/>
        <v>-1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9" t="s">
        <v>3</v>
      </c>
      <c r="C115" s="29"/>
      <c r="D115" s="22">
        <f>+D53-D55+D110</f>
        <v>539284.67000000097</v>
      </c>
      <c r="E115" s="14"/>
      <c r="F115" s="20">
        <f>IF(D$12=0,0,D115/D$12)</f>
        <v>0.25086714089765771</v>
      </c>
      <c r="G115" s="14"/>
      <c r="H115" s="22">
        <f>+H53-H55+H110</f>
        <v>596823.53163970204</v>
      </c>
      <c r="I115" s="14"/>
      <c r="J115" s="20">
        <f>IF(H$12=0,0,H115/H$12)</f>
        <v>0.25747348215690335</v>
      </c>
      <c r="K115" s="15"/>
      <c r="L115" s="22">
        <f>+D115-H115</f>
        <v>-57538.861639701063</v>
      </c>
      <c r="M115" s="15"/>
      <c r="N115" s="20">
        <f>IF(H115=0,0,L115/H115)</f>
        <v>-9.640850031770673E-2</v>
      </c>
      <c r="O115" s="28"/>
      <c r="P115" s="22">
        <f>+P53-P55+P110</f>
        <v>512862.21999999986</v>
      </c>
      <c r="Q115" s="14"/>
      <c r="R115" s="20">
        <f>IF(P$12=0,0,P115/P$12)</f>
        <v>0.22877092427366796</v>
      </c>
      <c r="S115" s="14"/>
      <c r="T115" s="22">
        <f>+T53-T55+T110</f>
        <v>581101.83694832993</v>
      </c>
      <c r="U115" s="14"/>
      <c r="V115" s="20">
        <f>IF(T$12=0,0,T115/T$12)</f>
        <v>0.23768637806875825</v>
      </c>
      <c r="W115" s="15"/>
      <c r="X115" s="22">
        <f>+P115-T115</f>
        <v>-68239.616948330076</v>
      </c>
      <c r="Y115" s="15"/>
      <c r="Z115" s="20">
        <f>IF(T115=0,0,X115/T115)</f>
        <v>-0.11743142528458014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2"/>
      <c r="B117" s="10" t="s">
        <v>14</v>
      </c>
      <c r="C117" s="10"/>
      <c r="D117" s="4">
        <v>260356.30000000002</v>
      </c>
      <c r="E117" s="4"/>
      <c r="F117" s="12">
        <f>IF(D$12=0,0,D117/D$12)</f>
        <v>0.12111384622836159</v>
      </c>
      <c r="G117" s="4"/>
      <c r="H117" s="4">
        <v>366139</v>
      </c>
      <c r="I117" s="4"/>
      <c r="J117" s="12">
        <f>IF(H$12=0,0,H117/H$12)</f>
        <v>0.15795470232959447</v>
      </c>
      <c r="K117" s="4"/>
      <c r="L117" s="4">
        <f>+D117-H117</f>
        <v>-105782.69999999998</v>
      </c>
      <c r="M117" s="4"/>
      <c r="N117" s="12">
        <f>IF(H117=0,0,L117/H117)</f>
        <v>-0.28891404630481859</v>
      </c>
      <c r="O117" s="10"/>
      <c r="P117" s="4">
        <v>279513.50999999995</v>
      </c>
      <c r="Q117" s="4"/>
      <c r="R117" s="12">
        <f>IF(P$12=0,0,P117/P$12)</f>
        <v>0.12468175961504269</v>
      </c>
      <c r="S117" s="4"/>
      <c r="T117" s="4">
        <v>397047</v>
      </c>
      <c r="U117" s="4"/>
      <c r="V117" s="12">
        <f>IF(T$12=0,0,T117/T$12)</f>
        <v>0.1624029685548174</v>
      </c>
      <c r="W117" s="4"/>
      <c r="X117" s="4">
        <f>+P117-T117</f>
        <v>-117533.49000000005</v>
      </c>
      <c r="Y117" s="4"/>
      <c r="Z117" s="12">
        <f>IF(T117=0,0,X117/T117)</f>
        <v>-0.2960190859016692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4</v>
      </c>
      <c r="C119" s="29"/>
      <c r="D119" s="31">
        <f>+D115-D117</f>
        <v>278928.37000000093</v>
      </c>
      <c r="E119" s="14"/>
      <c r="F119" s="32">
        <f>IF(D$12=0,0,D119/D$12)</f>
        <v>0.12975329466929608</v>
      </c>
      <c r="G119" s="14"/>
      <c r="H119" s="31">
        <f>+H115-H117</f>
        <v>230684.53163970204</v>
      </c>
      <c r="I119" s="14"/>
      <c r="J119" s="32">
        <f>IF(H$12=0,0,H119/H$12)</f>
        <v>9.9518779827308904E-2</v>
      </c>
      <c r="K119" s="15"/>
      <c r="L119" s="31">
        <f>D119-H119</f>
        <v>48243.838360298891</v>
      </c>
      <c r="M119" s="15"/>
      <c r="N119" s="32">
        <f>IF(H119=0,0,L119/H119)</f>
        <v>0.20913339103139011</v>
      </c>
      <c r="O119" s="28"/>
      <c r="P119" s="31">
        <f>+P115-P117</f>
        <v>233348.7099999999</v>
      </c>
      <c r="Q119" s="14"/>
      <c r="R119" s="32">
        <f>IF(P$12=0,0,P119/P$12)</f>
        <v>0.10408916465862528</v>
      </c>
      <c r="S119" s="14"/>
      <c r="T119" s="31">
        <f>+T115-T117</f>
        <v>184054.83694832993</v>
      </c>
      <c r="U119" s="14"/>
      <c r="V119" s="32">
        <f>IF(T$12=0,0,T119/T$12)</f>
        <v>7.5283409513940844E-2</v>
      </c>
      <c r="W119" s="15"/>
      <c r="X119" s="31">
        <f>P119-T119</f>
        <v>49293.873051669972</v>
      </c>
      <c r="Y119" s="15"/>
      <c r="Z119" s="32">
        <f>IF(T119=0,0,X119/T119)</f>
        <v>0.2678216659174697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9" t="s">
        <v>5</v>
      </c>
      <c r="C122" s="29"/>
      <c r="D122" s="33">
        <f>SUM(D119:D121)</f>
        <v>278928.37000000093</v>
      </c>
      <c r="E122" s="14"/>
      <c r="F122" s="35">
        <f>IF(D$12=0,0,D122/D$12)</f>
        <v>0.12975329466929608</v>
      </c>
      <c r="G122" s="14"/>
      <c r="H122" s="33">
        <f>SUM(H119:H121)</f>
        <v>230684.53163970204</v>
      </c>
      <c r="I122" s="14"/>
      <c r="J122" s="35">
        <f>IF(H$12=0,0,H122/H$12)</f>
        <v>9.9518779827308904E-2</v>
      </c>
      <c r="K122" s="15"/>
      <c r="L122" s="33">
        <f>+D122-H122</f>
        <v>48243.838360298891</v>
      </c>
      <c r="M122" s="15"/>
      <c r="N122" s="35">
        <f>IF(H122=0,0,L122/H122)</f>
        <v>0.20913339103139011</v>
      </c>
      <c r="O122" s="28"/>
      <c r="P122" s="33">
        <f>SUM(P119:P121)</f>
        <v>233348.7099999999</v>
      </c>
      <c r="Q122" s="14"/>
      <c r="R122" s="35">
        <f>IF(P$12=0,0,P122/P$12)</f>
        <v>0.10408916465862528</v>
      </c>
      <c r="S122" s="14"/>
      <c r="T122" s="33">
        <f>SUM(T119:T121)</f>
        <v>184054.83694832993</v>
      </c>
      <c r="U122" s="14"/>
      <c r="V122" s="35">
        <f>IF(T$12=0,0,T122/T$12)</f>
        <v>7.5283409513940844E-2</v>
      </c>
      <c r="W122" s="15"/>
      <c r="X122" s="33">
        <f>+P122-T122</f>
        <v>49293.873051669972</v>
      </c>
      <c r="Y122" s="15"/>
      <c r="Z122" s="35">
        <f>IF(T122=0,0,X122/T122)</f>
        <v>0.2678216659174697</v>
      </c>
    </row>
    <row r="123" spans="1:26" ht="15.75" thickTop="1" x14ac:dyDescent="0.25">
      <c r="A123" s="9"/>
      <c r="C123" s="9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A124" s="9"/>
      <c r="B124" s="61">
        <v>43732.705506284721</v>
      </c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25">
      <c r="A125" s="9"/>
      <c r="B125" s="62" t="s">
        <v>314</v>
      </c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25">
      <c r="A126" s="9"/>
      <c r="B126" s="58"/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25"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","311", " - ", "Textbooks")</f>
        <v>Department 311 - Textbooks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1457614.8999999997</v>
      </c>
      <c r="E12" s="4"/>
      <c r="F12" s="12"/>
      <c r="G12" s="4"/>
      <c r="H12" s="4">
        <f>SUM(OSRRefH13x_0)</f>
        <v>1513000</v>
      </c>
      <c r="I12" s="4"/>
      <c r="J12" s="12"/>
      <c r="K12" s="4"/>
      <c r="L12" s="4">
        <f t="shared" ref="L12:L35" si="0">+D12-H12</f>
        <v>-55385.100000000326</v>
      </c>
      <c r="M12" s="4"/>
      <c r="N12" s="12">
        <f t="shared" ref="N12:N35" si="1">IF(H12=0,0,L12/H12)</f>
        <v>-3.660614672835448E-2</v>
      </c>
      <c r="O12" s="10"/>
      <c r="P12" s="4">
        <f>SUM(OSRRefP13x_0)</f>
        <v>1535150.94</v>
      </c>
      <c r="Q12" s="4"/>
      <c r="R12" s="12"/>
      <c r="S12" s="4"/>
      <c r="T12" s="4">
        <f>SUM(OSRRefT13x_0)</f>
        <v>1613326</v>
      </c>
      <c r="U12" s="4"/>
      <c r="V12" s="12"/>
      <c r="W12" s="4"/>
      <c r="X12" s="4">
        <f t="shared" ref="X12:X35" si="2">+P12-T12</f>
        <v>-78175.060000000056</v>
      </c>
      <c r="Y12" s="4"/>
      <c r="Z12" s="12">
        <f t="shared" ref="Z12:Z35" si="3">IF(T12=0,0,X12/T12)</f>
        <v>-4.8455835956279177E-2</v>
      </c>
    </row>
    <row r="13" spans="1:26" s="24" customFormat="1" hidden="1" outlineLevel="1" x14ac:dyDescent="0.25">
      <c r="A13" s="46"/>
      <c r="B13" s="11" t="str">
        <f>CONCATENATE("          ", "4001", " - ", "TAXABLE SALES-NEW TEXT")</f>
        <v xml:space="preserve">          4001 - TAXABLE SALES-NEW TEXT</v>
      </c>
      <c r="C13" s="11"/>
      <c r="D13" s="2">
        <f>--911170.09</f>
        <v>911170.09</v>
      </c>
      <c r="E13" s="2"/>
      <c r="F13" s="21"/>
      <c r="G13" s="2"/>
      <c r="H13" s="2"/>
      <c r="I13" s="2"/>
      <c r="J13" s="21"/>
      <c r="K13" s="2"/>
      <c r="L13" s="2">
        <f t="shared" si="0"/>
        <v>911170.09</v>
      </c>
      <c r="M13" s="2"/>
      <c r="N13" s="21">
        <f t="shared" si="1"/>
        <v>0</v>
      </c>
      <c r="O13" s="11"/>
      <c r="P13" s="2">
        <f>--945108.24</f>
        <v>945108.24</v>
      </c>
      <c r="Q13" s="2"/>
      <c r="R13" s="21"/>
      <c r="S13" s="2"/>
      <c r="T13" s="2"/>
      <c r="U13" s="2"/>
      <c r="V13" s="21"/>
      <c r="W13" s="2"/>
      <c r="X13" s="2">
        <f t="shared" si="2"/>
        <v>945108.24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"4002", " - ", "TAXABLE SALES-USED TEXT")</f>
        <v xml:space="preserve">          4002 - TAXABLE SALES-USED TEXT</v>
      </c>
      <c r="C14" s="11"/>
      <c r="D14" s="2">
        <f>--282590.5</f>
        <v>282590.5</v>
      </c>
      <c r="E14" s="2"/>
      <c r="F14" s="21"/>
      <c r="G14" s="2"/>
      <c r="H14" s="2"/>
      <c r="I14" s="2"/>
      <c r="J14" s="21"/>
      <c r="K14" s="2"/>
      <c r="L14" s="2">
        <f t="shared" si="0"/>
        <v>282590.5</v>
      </c>
      <c r="M14" s="2"/>
      <c r="N14" s="21">
        <f t="shared" si="1"/>
        <v>0</v>
      </c>
      <c r="O14" s="11"/>
      <c r="P14" s="2">
        <f>--296424.45</f>
        <v>296424.45</v>
      </c>
      <c r="Q14" s="2"/>
      <c r="R14" s="21"/>
      <c r="S14" s="2"/>
      <c r="T14" s="2"/>
      <c r="U14" s="2"/>
      <c r="V14" s="21"/>
      <c r="W14" s="2"/>
      <c r="X14" s="2">
        <f t="shared" si="2"/>
        <v>296424.45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"4003", " - ", "TAXABLE SALES-RENTAL TEXT")</f>
        <v xml:space="preserve">          4003 - TAXABLE SALES-RENTAL TEXT</v>
      </c>
      <c r="C15" s="11"/>
      <c r="D15" s="2">
        <f>--12302.07</f>
        <v>12302.07</v>
      </c>
      <c r="E15" s="2"/>
      <c r="F15" s="21"/>
      <c r="G15" s="2"/>
      <c r="H15" s="2"/>
      <c r="I15" s="2"/>
      <c r="J15" s="21"/>
      <c r="K15" s="2"/>
      <c r="L15" s="2">
        <f t="shared" si="0"/>
        <v>12302.07</v>
      </c>
      <c r="M15" s="2"/>
      <c r="N15" s="21">
        <f t="shared" si="1"/>
        <v>0</v>
      </c>
      <c r="O15" s="11"/>
      <c r="P15" s="2">
        <f>--12736.05</f>
        <v>12736.05</v>
      </c>
      <c r="Q15" s="2"/>
      <c r="R15" s="21"/>
      <c r="S15" s="2"/>
      <c r="T15" s="2"/>
      <c r="U15" s="2"/>
      <c r="V15" s="21"/>
      <c r="W15" s="2"/>
      <c r="X15" s="2">
        <f t="shared" si="2"/>
        <v>12736.05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"4004", " - ", "TAXABLE SALES-DIGITAL TEXT")</f>
        <v xml:space="preserve">          4004 - TAXABLE SALES-DIGITAL TEXT</v>
      </c>
      <c r="C16" s="11"/>
      <c r="D16" s="2">
        <f>--22276.72</f>
        <v>22276.720000000001</v>
      </c>
      <c r="E16" s="2"/>
      <c r="F16" s="21"/>
      <c r="G16" s="2"/>
      <c r="H16" s="2"/>
      <c r="I16" s="2"/>
      <c r="J16" s="21"/>
      <c r="K16" s="2"/>
      <c r="L16" s="2">
        <f t="shared" si="0"/>
        <v>22276.720000000001</v>
      </c>
      <c r="M16" s="2"/>
      <c r="N16" s="21">
        <f t="shared" si="1"/>
        <v>0</v>
      </c>
      <c r="O16" s="11"/>
      <c r="P16" s="2">
        <f>--22410.07</f>
        <v>22410.07</v>
      </c>
      <c r="Q16" s="2"/>
      <c r="R16" s="21"/>
      <c r="S16" s="2"/>
      <c r="T16" s="2"/>
      <c r="U16" s="2"/>
      <c r="V16" s="21"/>
      <c r="W16" s="2"/>
      <c r="X16" s="2">
        <f t="shared" si="2"/>
        <v>22410.07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"4013", " - ", "TAXABLE SALES-TRADE BOOKS")</f>
        <v xml:space="preserve">          4013 - TAXABLE SALES-TRADE BOOKS</v>
      </c>
      <c r="C17" s="11"/>
      <c r="D17" s="2">
        <f>--70.86</f>
        <v>70.86</v>
      </c>
      <c r="E17" s="2"/>
      <c r="F17" s="21"/>
      <c r="G17" s="2"/>
      <c r="H17" s="2"/>
      <c r="I17" s="2"/>
      <c r="J17" s="21"/>
      <c r="K17" s="2"/>
      <c r="L17" s="2">
        <f t="shared" si="0"/>
        <v>70.86</v>
      </c>
      <c r="M17" s="2"/>
      <c r="N17" s="21">
        <f t="shared" si="1"/>
        <v>0</v>
      </c>
      <c r="O17" s="11"/>
      <c r="P17" s="2">
        <f>--110.81</f>
        <v>110.81</v>
      </c>
      <c r="Q17" s="2"/>
      <c r="R17" s="21"/>
      <c r="S17" s="2"/>
      <c r="T17" s="2"/>
      <c r="U17" s="2"/>
      <c r="V17" s="21"/>
      <c r="W17" s="2"/>
      <c r="X17" s="2">
        <f t="shared" si="2"/>
        <v>110.81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"4014", " - ", "TAXABLE SALES-REMAINDERS")</f>
        <v xml:space="preserve">          4014 - TAXABLE SALES-REMAINDERS</v>
      </c>
      <c r="C18" s="11"/>
      <c r="D18" s="2">
        <f>--175</f>
        <v>175</v>
      </c>
      <c r="E18" s="2"/>
      <c r="F18" s="21"/>
      <c r="G18" s="2"/>
      <c r="H18" s="2"/>
      <c r="I18" s="2"/>
      <c r="J18" s="21"/>
      <c r="K18" s="2"/>
      <c r="L18" s="2">
        <f t="shared" si="0"/>
        <v>175</v>
      </c>
      <c r="M18" s="2"/>
      <c r="N18" s="21">
        <f t="shared" si="1"/>
        <v>0</v>
      </c>
      <c r="O18" s="11"/>
      <c r="P18" s="2">
        <f>--425.65</f>
        <v>425.65</v>
      </c>
      <c r="Q18" s="2"/>
      <c r="R18" s="21"/>
      <c r="S18" s="2"/>
      <c r="T18" s="2"/>
      <c r="U18" s="2"/>
      <c r="V18" s="21"/>
      <c r="W18" s="2"/>
      <c r="X18" s="2">
        <f t="shared" si="2"/>
        <v>425.65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"4018", " - ", "TAXABLE SALES-STUDY GUIDES")</f>
        <v xml:space="preserve">          4018 - TAXABLE SALES-STUDY GUIDES</v>
      </c>
      <c r="C19" s="11"/>
      <c r="D19" s="2">
        <f>--1184.84</f>
        <v>1184.8399999999999</v>
      </c>
      <c r="E19" s="2"/>
      <c r="F19" s="21"/>
      <c r="G19" s="2"/>
      <c r="H19" s="2"/>
      <c r="I19" s="2"/>
      <c r="J19" s="21"/>
      <c r="K19" s="2"/>
      <c r="L19" s="2">
        <f t="shared" si="0"/>
        <v>1184.8399999999999</v>
      </c>
      <c r="M19" s="2"/>
      <c r="N19" s="21">
        <f t="shared" si="1"/>
        <v>0</v>
      </c>
      <c r="O19" s="11"/>
      <c r="P19" s="2">
        <f>--1364.13</f>
        <v>1364.13</v>
      </c>
      <c r="Q19" s="2"/>
      <c r="R19" s="21"/>
      <c r="S19" s="2"/>
      <c r="T19" s="2"/>
      <c r="U19" s="2"/>
      <c r="V19" s="21"/>
      <c r="W19" s="2"/>
      <c r="X19" s="2">
        <f t="shared" si="2"/>
        <v>1364.13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"4100", " - ", "NON-TAXABLE SALES")</f>
        <v xml:space="preserve">          4100 - NON-TAXABLE SALES</v>
      </c>
      <c r="C20" s="11"/>
      <c r="D20" s="2">
        <f>0</f>
        <v>0</v>
      </c>
      <c r="E20" s="2"/>
      <c r="F20" s="21"/>
      <c r="G20" s="2"/>
      <c r="H20" s="2">
        <v>1513000</v>
      </c>
      <c r="I20" s="2"/>
      <c r="J20" s="21"/>
      <c r="K20" s="2"/>
      <c r="L20" s="2">
        <f t="shared" si="0"/>
        <v>-1513000</v>
      </c>
      <c r="M20" s="2"/>
      <c r="N20" s="21">
        <f t="shared" si="1"/>
        <v>-1</v>
      </c>
      <c r="O20" s="11"/>
      <c r="P20" s="2">
        <f>0</f>
        <v>0</v>
      </c>
      <c r="Q20" s="2"/>
      <c r="R20" s="21"/>
      <c r="S20" s="2"/>
      <c r="T20" s="2">
        <v>1613326</v>
      </c>
      <c r="U20" s="2"/>
      <c r="V20" s="21"/>
      <c r="W20" s="2"/>
      <c r="X20" s="2">
        <f t="shared" si="2"/>
        <v>-1613326</v>
      </c>
      <c r="Y20" s="2"/>
      <c r="Z20" s="21">
        <f t="shared" si="3"/>
        <v>-1</v>
      </c>
    </row>
    <row r="21" spans="1:26" s="24" customFormat="1" hidden="1" outlineLevel="1" x14ac:dyDescent="0.25">
      <c r="A21" s="46"/>
      <c r="B21" s="11" t="str">
        <f>CONCATENATE("          ", "4101", " - ", "NON-TAXABLE SALES-NEW TEXT")</f>
        <v xml:space="preserve">          4101 - NON-TAXABLE SALES-NEW TEXT</v>
      </c>
      <c r="C21" s="11"/>
      <c r="D21" s="2">
        <f>--48156.44</f>
        <v>48156.44</v>
      </c>
      <c r="E21" s="2"/>
      <c r="F21" s="21"/>
      <c r="G21" s="2"/>
      <c r="H21" s="2"/>
      <c r="I21" s="2"/>
      <c r="J21" s="21"/>
      <c r="K21" s="2"/>
      <c r="L21" s="2">
        <f t="shared" si="0"/>
        <v>48156.44</v>
      </c>
      <c r="M21" s="2"/>
      <c r="N21" s="21">
        <f t="shared" si="1"/>
        <v>0</v>
      </c>
      <c r="O21" s="11"/>
      <c r="P21" s="2">
        <f>--55893.02</f>
        <v>55893.02</v>
      </c>
      <c r="Q21" s="2"/>
      <c r="R21" s="21"/>
      <c r="S21" s="2"/>
      <c r="T21" s="2"/>
      <c r="U21" s="2"/>
      <c r="V21" s="21"/>
      <c r="W21" s="2"/>
      <c r="X21" s="2">
        <f t="shared" si="2"/>
        <v>55893.02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"4102", " - ", "NON-TAXABLE SALES-USED TEXT")</f>
        <v xml:space="preserve">          4102 - NON-TAXABLE SALES-USED TEXT</v>
      </c>
      <c r="C22" s="11"/>
      <c r="D22" s="2">
        <f>--27115.09</f>
        <v>27115.09</v>
      </c>
      <c r="E22" s="2"/>
      <c r="F22" s="21"/>
      <c r="G22" s="2"/>
      <c r="H22" s="2"/>
      <c r="I22" s="2"/>
      <c r="J22" s="21"/>
      <c r="K22" s="2"/>
      <c r="L22" s="2">
        <f t="shared" si="0"/>
        <v>27115.09</v>
      </c>
      <c r="M22" s="2"/>
      <c r="N22" s="21">
        <f t="shared" si="1"/>
        <v>0</v>
      </c>
      <c r="O22" s="11"/>
      <c r="P22" s="2">
        <f>--32474.33</f>
        <v>32474.33</v>
      </c>
      <c r="Q22" s="2"/>
      <c r="R22" s="21"/>
      <c r="S22" s="2"/>
      <c r="T22" s="2"/>
      <c r="U22" s="2"/>
      <c r="V22" s="21"/>
      <c r="W22" s="2"/>
      <c r="X22" s="2">
        <f t="shared" si="2"/>
        <v>32474.33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--474.97</f>
        <v>474.97</v>
      </c>
      <c r="E23" s="2"/>
      <c r="F23" s="21"/>
      <c r="G23" s="2"/>
      <c r="H23" s="2"/>
      <c r="I23" s="2"/>
      <c r="J23" s="21"/>
      <c r="K23" s="2"/>
      <c r="L23" s="2">
        <f t="shared" si="0"/>
        <v>474.97</v>
      </c>
      <c r="M23" s="2"/>
      <c r="N23" s="21">
        <f t="shared" si="1"/>
        <v>0</v>
      </c>
      <c r="O23" s="11"/>
      <c r="P23" s="2">
        <f>--474.97</f>
        <v>474.97</v>
      </c>
      <c r="Q23" s="2"/>
      <c r="R23" s="21"/>
      <c r="S23" s="2"/>
      <c r="T23" s="2"/>
      <c r="U23" s="2"/>
      <c r="V23" s="21"/>
      <c r="W23" s="2"/>
      <c r="X23" s="2">
        <f t="shared" si="2"/>
        <v>474.97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--246443.9</f>
        <v>246443.9</v>
      </c>
      <c r="E24" s="2"/>
      <c r="F24" s="21"/>
      <c r="G24" s="2"/>
      <c r="H24" s="2"/>
      <c r="I24" s="2"/>
      <c r="J24" s="21"/>
      <c r="K24" s="2"/>
      <c r="L24" s="2">
        <f t="shared" si="0"/>
        <v>246443.9</v>
      </c>
      <c r="M24" s="2"/>
      <c r="N24" s="21">
        <f t="shared" si="1"/>
        <v>0</v>
      </c>
      <c r="O24" s="11"/>
      <c r="P24" s="2">
        <f>--259868.07</f>
        <v>259868.07</v>
      </c>
      <c r="Q24" s="2"/>
      <c r="R24" s="21"/>
      <c r="S24" s="2"/>
      <c r="T24" s="2"/>
      <c r="U24" s="2"/>
      <c r="V24" s="21"/>
      <c r="W24" s="2"/>
      <c r="X24" s="2">
        <f t="shared" si="2"/>
        <v>259868.07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>--3067.16</f>
        <v>3067.16</v>
      </c>
      <c r="E25" s="2"/>
      <c r="F25" s="21"/>
      <c r="G25" s="2"/>
      <c r="H25" s="2"/>
      <c r="I25" s="2"/>
      <c r="J25" s="21"/>
      <c r="K25" s="2"/>
      <c r="L25" s="2">
        <f t="shared" si="0"/>
        <v>3067.16</v>
      </c>
      <c r="M25" s="2"/>
      <c r="N25" s="21">
        <f t="shared" si="1"/>
        <v>0</v>
      </c>
      <c r="O25" s="11"/>
      <c r="P25" s="2">
        <f>--5748.11</f>
        <v>5748.11</v>
      </c>
      <c r="Q25" s="2"/>
      <c r="R25" s="21"/>
      <c r="S25" s="2"/>
      <c r="T25" s="2"/>
      <c r="U25" s="2"/>
      <c r="V25" s="21"/>
      <c r="W25" s="2"/>
      <c r="X25" s="2">
        <f t="shared" si="2"/>
        <v>5748.11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>--12.72</f>
        <v>12.72</v>
      </c>
      <c r="E26" s="2"/>
      <c r="F26" s="21"/>
      <c r="G26" s="2"/>
      <c r="H26" s="2"/>
      <c r="I26" s="2"/>
      <c r="J26" s="21"/>
      <c r="K26" s="2"/>
      <c r="L26" s="2">
        <f t="shared" si="0"/>
        <v>12.72</v>
      </c>
      <c r="M26" s="2"/>
      <c r="N26" s="21">
        <f t="shared" si="1"/>
        <v>0</v>
      </c>
      <c r="O26" s="11"/>
      <c r="P26" s="2">
        <f>--1146.72</f>
        <v>1146.72</v>
      </c>
      <c r="Q26" s="2"/>
      <c r="R26" s="21"/>
      <c r="S26" s="2"/>
      <c r="T26" s="2"/>
      <c r="U26" s="2"/>
      <c r="V26" s="21"/>
      <c r="W26" s="2"/>
      <c r="X26" s="2">
        <f t="shared" si="2"/>
        <v>1146.72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--7.02</f>
        <v>7.02</v>
      </c>
      <c r="E27" s="2"/>
      <c r="F27" s="21"/>
      <c r="G27" s="2"/>
      <c r="H27" s="2"/>
      <c r="I27" s="2"/>
      <c r="J27" s="21"/>
      <c r="K27" s="2"/>
      <c r="L27" s="2">
        <f t="shared" si="0"/>
        <v>7.02</v>
      </c>
      <c r="M27" s="2"/>
      <c r="N27" s="21">
        <f t="shared" si="1"/>
        <v>0</v>
      </c>
      <c r="O27" s="11"/>
      <c r="P27" s="2">
        <f>--13.97</f>
        <v>13.97</v>
      </c>
      <c r="Q27" s="2"/>
      <c r="R27" s="21"/>
      <c r="S27" s="2"/>
      <c r="T27" s="2"/>
      <c r="U27" s="2"/>
      <c r="V27" s="21"/>
      <c r="W27" s="2"/>
      <c r="X27" s="2">
        <f t="shared" si="2"/>
        <v>13.97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-58563.26</f>
        <v>-58563.26</v>
      </c>
      <c r="E28" s="2"/>
      <c r="F28" s="21"/>
      <c r="G28" s="2"/>
      <c r="H28" s="2"/>
      <c r="I28" s="2"/>
      <c r="J28" s="21"/>
      <c r="K28" s="2"/>
      <c r="L28" s="2">
        <f t="shared" si="0"/>
        <v>-58563.26</v>
      </c>
      <c r="M28" s="2"/>
      <c r="N28" s="21">
        <f t="shared" si="1"/>
        <v>0</v>
      </c>
      <c r="O28" s="11"/>
      <c r="P28" s="2">
        <f>-59170.41</f>
        <v>-59170.41</v>
      </c>
      <c r="Q28" s="2"/>
      <c r="R28" s="21"/>
      <c r="S28" s="2"/>
      <c r="T28" s="2"/>
      <c r="U28" s="2"/>
      <c r="V28" s="21"/>
      <c r="W28" s="2"/>
      <c r="X28" s="2">
        <f t="shared" si="2"/>
        <v>-59170.41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-20533</f>
        <v>-20533</v>
      </c>
      <c r="E29" s="2"/>
      <c r="F29" s="21"/>
      <c r="G29" s="2"/>
      <c r="H29" s="2"/>
      <c r="I29" s="2"/>
      <c r="J29" s="21"/>
      <c r="K29" s="2"/>
      <c r="L29" s="2">
        <f t="shared" si="0"/>
        <v>-20533</v>
      </c>
      <c r="M29" s="2"/>
      <c r="N29" s="21">
        <f t="shared" si="1"/>
        <v>0</v>
      </c>
      <c r="O29" s="11"/>
      <c r="P29" s="2">
        <f>-21254.45</f>
        <v>-21254.45</v>
      </c>
      <c r="Q29" s="2"/>
      <c r="R29" s="21"/>
      <c r="S29" s="2"/>
      <c r="T29" s="2"/>
      <c r="U29" s="2"/>
      <c r="V29" s="21"/>
      <c r="W29" s="2"/>
      <c r="X29" s="2">
        <f t="shared" si="2"/>
        <v>-21254.45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>-6848.37</f>
        <v>-6848.37</v>
      </c>
      <c r="E30" s="2"/>
      <c r="F30" s="21"/>
      <c r="G30" s="2"/>
      <c r="H30" s="2"/>
      <c r="I30" s="2"/>
      <c r="J30" s="21"/>
      <c r="K30" s="2"/>
      <c r="L30" s="2">
        <f t="shared" si="0"/>
        <v>-6848.37</v>
      </c>
      <c r="M30" s="2"/>
      <c r="N30" s="21">
        <f t="shared" si="1"/>
        <v>0</v>
      </c>
      <c r="O30" s="11"/>
      <c r="P30" s="2">
        <f>-6848.37</f>
        <v>-6848.37</v>
      </c>
      <c r="Q30" s="2"/>
      <c r="R30" s="21"/>
      <c r="S30" s="2"/>
      <c r="T30" s="2"/>
      <c r="U30" s="2"/>
      <c r="V30" s="21"/>
      <c r="W30" s="2"/>
      <c r="X30" s="2">
        <f t="shared" si="2"/>
        <v>-6848.37</v>
      </c>
      <c r="Y30" s="2"/>
      <c r="Z30" s="21">
        <f t="shared" si="3"/>
        <v>0</v>
      </c>
    </row>
    <row r="31" spans="1:26" s="24" customFormat="1" hidden="1" outlineLevel="1" x14ac:dyDescent="0.25">
      <c r="A31" s="46"/>
      <c r="B31" s="11" t="str">
        <f>CONCATENATE("          ", "4218", " - ", "SALES RETURN TAXABLE-STUDY GUI")</f>
        <v xml:space="preserve">          4218 - SALES RETURN TAXABLE-STUDY GUI</v>
      </c>
      <c r="C31" s="11"/>
      <c r="D31" s="2">
        <f>-26.8</f>
        <v>-26.8</v>
      </c>
      <c r="E31" s="2"/>
      <c r="F31" s="21"/>
      <c r="G31" s="2"/>
      <c r="H31" s="2"/>
      <c r="I31" s="2"/>
      <c r="J31" s="21"/>
      <c r="K31" s="2"/>
      <c r="L31" s="2">
        <f t="shared" si="0"/>
        <v>-26.8</v>
      </c>
      <c r="M31" s="2"/>
      <c r="N31" s="21">
        <f t="shared" si="1"/>
        <v>0</v>
      </c>
      <c r="O31" s="11"/>
      <c r="P31" s="2">
        <f>-26.8</f>
        <v>-26.8</v>
      </c>
      <c r="Q31" s="2"/>
      <c r="R31" s="21"/>
      <c r="S31" s="2"/>
      <c r="T31" s="2"/>
      <c r="U31" s="2"/>
      <c r="V31" s="21"/>
      <c r="W31" s="2"/>
      <c r="X31" s="2">
        <f t="shared" si="2"/>
        <v>-26.8</v>
      </c>
      <c r="Y31" s="2"/>
      <c r="Z31" s="21">
        <f t="shared" si="3"/>
        <v>0</v>
      </c>
    </row>
    <row r="32" spans="1:26" s="24" customFormat="1" hidden="1" outlineLevel="1" x14ac:dyDescent="0.25">
      <c r="A32" s="46"/>
      <c r="B32" s="11" t="str">
        <f>CONCATENATE("          ", "4301", " - ", "SALES RETURN NON TAXABLE-NEW T")</f>
        <v xml:space="preserve">          4301 - SALES RETURN NON TAXABLE-NEW T</v>
      </c>
      <c r="C32" s="11"/>
      <c r="D32" s="2">
        <f>-2665.19</f>
        <v>-2665.19</v>
      </c>
      <c r="E32" s="2"/>
      <c r="F32" s="21"/>
      <c r="G32" s="2"/>
      <c r="H32" s="2"/>
      <c r="I32" s="2"/>
      <c r="J32" s="21"/>
      <c r="K32" s="2"/>
      <c r="L32" s="2">
        <f t="shared" si="0"/>
        <v>-2665.19</v>
      </c>
      <c r="M32" s="2"/>
      <c r="N32" s="21">
        <f t="shared" si="1"/>
        <v>0</v>
      </c>
      <c r="O32" s="11"/>
      <c r="P32" s="2">
        <f>-2919.78</f>
        <v>-2919.78</v>
      </c>
      <c r="Q32" s="2"/>
      <c r="R32" s="21"/>
      <c r="S32" s="2"/>
      <c r="T32" s="2"/>
      <c r="U32" s="2"/>
      <c r="V32" s="21"/>
      <c r="W32" s="2"/>
      <c r="X32" s="2">
        <f t="shared" si="2"/>
        <v>-2919.78</v>
      </c>
      <c r="Y32" s="2"/>
      <c r="Z32" s="21">
        <f t="shared" si="3"/>
        <v>0</v>
      </c>
    </row>
    <row r="33" spans="1:26" s="24" customFormat="1" hidden="1" outlineLevel="1" x14ac:dyDescent="0.25">
      <c r="A33" s="46"/>
      <c r="B33" s="11" t="str">
        <f>CONCATENATE("          ", "4302", " - ", "SALES RETURN NON TAXABLE-TEXT")</f>
        <v xml:space="preserve">          4302 - SALES RETURN NON TAXABLE-TEXT</v>
      </c>
      <c r="C33" s="11"/>
      <c r="D33" s="2">
        <f>-250.25</f>
        <v>-250.25</v>
      </c>
      <c r="E33" s="2"/>
      <c r="F33" s="21"/>
      <c r="G33" s="2"/>
      <c r="H33" s="2"/>
      <c r="I33" s="2"/>
      <c r="J33" s="21"/>
      <c r="K33" s="2"/>
      <c r="L33" s="2">
        <f t="shared" si="0"/>
        <v>-250.25</v>
      </c>
      <c r="M33" s="2"/>
      <c r="N33" s="21">
        <f t="shared" si="1"/>
        <v>0</v>
      </c>
      <c r="O33" s="11"/>
      <c r="P33" s="2">
        <f>-250.25</f>
        <v>-250.25</v>
      </c>
      <c r="Q33" s="2"/>
      <c r="R33" s="21"/>
      <c r="S33" s="2"/>
      <c r="T33" s="2"/>
      <c r="U33" s="2"/>
      <c r="V33" s="21"/>
      <c r="W33" s="2"/>
      <c r="X33" s="2">
        <f t="shared" si="2"/>
        <v>-250.25</v>
      </c>
      <c r="Y33" s="2"/>
      <c r="Z33" s="21">
        <f t="shared" si="3"/>
        <v>0</v>
      </c>
    </row>
    <row r="34" spans="1:26" s="24" customFormat="1" hidden="1" outlineLevel="1" x14ac:dyDescent="0.25">
      <c r="A34" s="46"/>
      <c r="B34" s="11" t="str">
        <f>CONCATENATE("          ", "4304", " - ", "SALES RETURN NON TAXABLE-DIGIT")</f>
        <v xml:space="preserve">          4304 - SALES RETURN NON TAXABLE-DIGIT</v>
      </c>
      <c r="C34" s="11"/>
      <c r="D34" s="2">
        <f>-8466.55</f>
        <v>-8466.5499999999993</v>
      </c>
      <c r="E34" s="2"/>
      <c r="F34" s="21"/>
      <c r="G34" s="2"/>
      <c r="H34" s="2"/>
      <c r="I34" s="2"/>
      <c r="J34" s="21"/>
      <c r="K34" s="2"/>
      <c r="L34" s="2">
        <f t="shared" si="0"/>
        <v>-8466.5499999999993</v>
      </c>
      <c r="M34" s="2"/>
      <c r="N34" s="21">
        <f t="shared" si="1"/>
        <v>0</v>
      </c>
      <c r="O34" s="11"/>
      <c r="P34" s="2">
        <f>-8466.55</f>
        <v>-8466.5499999999993</v>
      </c>
      <c r="Q34" s="2"/>
      <c r="R34" s="21"/>
      <c r="S34" s="2"/>
      <c r="T34" s="2"/>
      <c r="U34" s="2"/>
      <c r="V34" s="21"/>
      <c r="W34" s="2"/>
      <c r="X34" s="2">
        <f t="shared" si="2"/>
        <v>-8466.5499999999993</v>
      </c>
      <c r="Y34" s="2"/>
      <c r="Z34" s="21">
        <f t="shared" si="3"/>
        <v>0</v>
      </c>
    </row>
    <row r="35" spans="1:26" s="24" customFormat="1" hidden="1" outlineLevel="1" x14ac:dyDescent="0.25">
      <c r="A35" s="46"/>
      <c r="B35" s="11" t="str">
        <f>CONCATENATE("          ", "4311", " - ", "SALES RETURN NON TAXABLE-NO VA")</f>
        <v xml:space="preserve">          4311 - SALES RETURN NON TAXABLE-NO VA</v>
      </c>
      <c r="C35" s="11"/>
      <c r="D35" s="2">
        <f>-79.06</f>
        <v>-79.06</v>
      </c>
      <c r="E35" s="2"/>
      <c r="F35" s="21"/>
      <c r="G35" s="2"/>
      <c r="H35" s="2"/>
      <c r="I35" s="2"/>
      <c r="J35" s="21"/>
      <c r="K35" s="2"/>
      <c r="L35" s="2">
        <f t="shared" si="0"/>
        <v>-79.06</v>
      </c>
      <c r="M35" s="2"/>
      <c r="N35" s="21">
        <f t="shared" si="1"/>
        <v>0</v>
      </c>
      <c r="O35" s="11"/>
      <c r="P35" s="2">
        <f>-111.04</f>
        <v>-111.04</v>
      </c>
      <c r="Q35" s="2"/>
      <c r="R35" s="21"/>
      <c r="S35" s="2"/>
      <c r="T35" s="2"/>
      <c r="U35" s="2"/>
      <c r="V35" s="21"/>
      <c r="W35" s="2"/>
      <c r="X35" s="2">
        <f t="shared" si="2"/>
        <v>-111.04</v>
      </c>
      <c r="Y35" s="2"/>
      <c r="Z35" s="21">
        <f t="shared" si="3"/>
        <v>0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8" t="s">
        <v>8</v>
      </c>
      <c r="C37" s="10"/>
      <c r="D37" s="4">
        <f>SUM(OSRRefD16x_0)</f>
        <v>1039633.95</v>
      </c>
      <c r="E37" s="4"/>
      <c r="F37" s="12">
        <f t="shared" ref="F37:F51" si="4">IF(D$12=0,0,D37/D$12)</f>
        <v>0.71324322357023118</v>
      </c>
      <c r="G37" s="4"/>
      <c r="H37" s="4">
        <f>SUM(OSRRefH16x_0)</f>
        <v>1087483</v>
      </c>
      <c r="I37" s="4"/>
      <c r="J37" s="12">
        <f t="shared" ref="J37:J51" si="5">IF(H$12=0,0,H37/H$12)</f>
        <v>0.71875941837409119</v>
      </c>
      <c r="K37" s="4"/>
      <c r="L37" s="4">
        <f t="shared" ref="L37:L51" si="6">+D37-H37</f>
        <v>-47849.050000000047</v>
      </c>
      <c r="M37" s="4"/>
      <c r="N37" s="12">
        <f t="shared" ref="N37:N51" si="7">IF(H37=0,0,L37/H37)</f>
        <v>-4.3999814249969925E-2</v>
      </c>
      <c r="O37" s="10"/>
      <c r="P37" s="4">
        <f>SUM(OSRRefP16x_0)</f>
        <v>1102921.4100000001</v>
      </c>
      <c r="Q37" s="4"/>
      <c r="R37" s="12">
        <f t="shared" ref="R37:R51" si="8">IF(P$12=0,0,P37/P$12)</f>
        <v>0.71844493024249467</v>
      </c>
      <c r="S37" s="4"/>
      <c r="T37" s="4">
        <f>SUM(OSRRefT16x_0)</f>
        <v>1159848</v>
      </c>
      <c r="U37" s="4"/>
      <c r="V37" s="12">
        <f t="shared" ref="V37:V51" si="9">IF(T$12=0,0,T37/T$12)</f>
        <v>0.71891731739276499</v>
      </c>
      <c r="W37" s="4"/>
      <c r="X37" s="4">
        <f t="shared" ref="X37:X51" si="10">+P37-T37</f>
        <v>-56926.589999999851</v>
      </c>
      <c r="Y37" s="4"/>
      <c r="Z37" s="12">
        <f t="shared" ref="Z37:Z51" si="11">IF(T37=0,0,X37/T37)</f>
        <v>-4.9081077865375335E-2</v>
      </c>
    </row>
    <row r="38" spans="1:26" s="24" customFormat="1" hidden="1" outlineLevel="1" x14ac:dyDescent="0.25">
      <c r="A38" s="46"/>
      <c r="B38" s="11" t="str">
        <f>CONCATENATE("          ", "5000", " - ", "PURCHASES @ COST")</f>
        <v xml:space="preserve">          5000 - PURCHASES @ COST</v>
      </c>
      <c r="C38" s="11"/>
      <c r="D38" s="2"/>
      <c r="E38" s="2"/>
      <c r="F38" s="21">
        <f t="shared" si="4"/>
        <v>0</v>
      </c>
      <c r="G38" s="2"/>
      <c r="H38" s="2">
        <v>1087483</v>
      </c>
      <c r="I38" s="2"/>
      <c r="J38" s="21">
        <f t="shared" si="5"/>
        <v>0.71875941837409119</v>
      </c>
      <c r="K38" s="2"/>
      <c r="L38" s="2">
        <f t="shared" si="6"/>
        <v>-1087483</v>
      </c>
      <c r="M38" s="2"/>
      <c r="N38" s="21">
        <f t="shared" si="7"/>
        <v>-1</v>
      </c>
      <c r="O38" s="11"/>
      <c r="P38" s="2"/>
      <c r="Q38" s="2"/>
      <c r="R38" s="21">
        <f t="shared" si="8"/>
        <v>0</v>
      </c>
      <c r="S38" s="2"/>
      <c r="T38" s="2">
        <v>1159848</v>
      </c>
      <c r="U38" s="2"/>
      <c r="V38" s="21">
        <f t="shared" si="9"/>
        <v>0.71891731739276499</v>
      </c>
      <c r="W38" s="2"/>
      <c r="X38" s="2">
        <f t="shared" si="10"/>
        <v>-1159848</v>
      </c>
      <c r="Y38" s="2"/>
      <c r="Z38" s="21">
        <f t="shared" si="11"/>
        <v>-1</v>
      </c>
    </row>
    <row r="39" spans="1:26" s="24" customFormat="1" hidden="1" outlineLevel="1" x14ac:dyDescent="0.25">
      <c r="A39" s="46"/>
      <c r="B39" s="11" t="str">
        <f>CONCATENATE("          ", "5001", " - ", "PURCHASES @ COST-NEW TEXT")</f>
        <v xml:space="preserve">          5001 - PURCHASES @ COST-NEW TEXT</v>
      </c>
      <c r="C39" s="11"/>
      <c r="D39" s="2">
        <v>1268330.5499999998</v>
      </c>
      <c r="E39" s="2"/>
      <c r="F39" s="21">
        <f t="shared" si="4"/>
        <v>0.87014104342649079</v>
      </c>
      <c r="G39" s="2"/>
      <c r="H39" s="2"/>
      <c r="I39" s="2"/>
      <c r="J39" s="21">
        <f t="shared" si="5"/>
        <v>0</v>
      </c>
      <c r="K39" s="2"/>
      <c r="L39" s="2">
        <f t="shared" si="6"/>
        <v>1268330.5499999998</v>
      </c>
      <c r="M39" s="2"/>
      <c r="N39" s="21">
        <f t="shared" si="7"/>
        <v>0</v>
      </c>
      <c r="O39" s="11"/>
      <c r="P39" s="2">
        <v>1609530.6</v>
      </c>
      <c r="Q39" s="2"/>
      <c r="R39" s="21">
        <f t="shared" si="8"/>
        <v>1.0484510402605753</v>
      </c>
      <c r="S39" s="2"/>
      <c r="T39" s="2"/>
      <c r="U39" s="2"/>
      <c r="V39" s="21">
        <f t="shared" si="9"/>
        <v>0</v>
      </c>
      <c r="W39" s="2"/>
      <c r="X39" s="2">
        <f t="shared" si="10"/>
        <v>1609530.6</v>
      </c>
      <c r="Y39" s="2"/>
      <c r="Z39" s="21">
        <f t="shared" si="11"/>
        <v>0</v>
      </c>
    </row>
    <row r="40" spans="1:26" s="24" customFormat="1" hidden="1" outlineLevel="1" x14ac:dyDescent="0.25">
      <c r="A40" s="46"/>
      <c r="B40" s="11" t="str">
        <f>CONCATENATE("          ", "5002", " - ", "PURCHASES @ COST-USED TEXT")</f>
        <v xml:space="preserve">          5002 - PURCHASES @ COST-USED TEXT</v>
      </c>
      <c r="C40" s="11"/>
      <c r="D40" s="2">
        <v>-81896.37000000001</v>
      </c>
      <c r="E40" s="2"/>
      <c r="F40" s="21">
        <f t="shared" si="4"/>
        <v>-5.618518992910955E-2</v>
      </c>
      <c r="G40" s="2"/>
      <c r="H40" s="2"/>
      <c r="I40" s="2"/>
      <c r="J40" s="21">
        <f t="shared" si="5"/>
        <v>0</v>
      </c>
      <c r="K40" s="2"/>
      <c r="L40" s="2">
        <f t="shared" si="6"/>
        <v>-81896.37000000001</v>
      </c>
      <c r="M40" s="2"/>
      <c r="N40" s="21">
        <f t="shared" si="7"/>
        <v>0</v>
      </c>
      <c r="O40" s="11"/>
      <c r="P40" s="2">
        <v>18487.79</v>
      </c>
      <c r="Q40" s="2"/>
      <c r="R40" s="21">
        <f t="shared" si="8"/>
        <v>1.2042978653291254E-2</v>
      </c>
      <c r="S40" s="2"/>
      <c r="T40" s="2"/>
      <c r="U40" s="2"/>
      <c r="V40" s="21">
        <f t="shared" si="9"/>
        <v>0</v>
      </c>
      <c r="W40" s="2"/>
      <c r="X40" s="2">
        <f t="shared" si="10"/>
        <v>18487.79</v>
      </c>
      <c r="Y40" s="2"/>
      <c r="Z40" s="21">
        <f t="shared" si="11"/>
        <v>0</v>
      </c>
    </row>
    <row r="41" spans="1:26" s="24" customFormat="1" hidden="1" outlineLevel="1" x14ac:dyDescent="0.25">
      <c r="A41" s="46"/>
      <c r="B41" s="11" t="str">
        <f>CONCATENATE("          ", "5003", " - ", "PURCHASES @ COST-RENTAL TEXT")</f>
        <v xml:space="preserve">          5003 - PURCHASES @ COST-RENTAL TEXT</v>
      </c>
      <c r="C41" s="11"/>
      <c r="D41" s="2">
        <v>-38374.199999999997</v>
      </c>
      <c r="E41" s="2"/>
      <c r="F41" s="21">
        <f t="shared" si="4"/>
        <v>-2.6326706731661431E-2</v>
      </c>
      <c r="G41" s="2"/>
      <c r="H41" s="2"/>
      <c r="I41" s="2"/>
      <c r="J41" s="21">
        <f t="shared" si="5"/>
        <v>0</v>
      </c>
      <c r="K41" s="2"/>
      <c r="L41" s="2">
        <f t="shared" si="6"/>
        <v>-38374.199999999997</v>
      </c>
      <c r="M41" s="2"/>
      <c r="N41" s="21">
        <f t="shared" si="7"/>
        <v>0</v>
      </c>
      <c r="O41" s="11"/>
      <c r="P41" s="2">
        <v>-78.400000000000006</v>
      </c>
      <c r="Q41" s="2"/>
      <c r="R41" s="21">
        <f t="shared" si="8"/>
        <v>-5.1069896749045411E-5</v>
      </c>
      <c r="S41" s="2"/>
      <c r="T41" s="2"/>
      <c r="U41" s="2"/>
      <c r="V41" s="21">
        <f t="shared" si="9"/>
        <v>0</v>
      </c>
      <c r="W41" s="2"/>
      <c r="X41" s="2">
        <f t="shared" si="10"/>
        <v>-78.400000000000006</v>
      </c>
      <c r="Y41" s="2"/>
      <c r="Z41" s="21">
        <f t="shared" si="11"/>
        <v>0</v>
      </c>
    </row>
    <row r="42" spans="1:26" s="24" customFormat="1" hidden="1" outlineLevel="1" x14ac:dyDescent="0.25">
      <c r="A42" s="46"/>
      <c r="B42" s="11" t="str">
        <f>CONCATENATE("          ", "5004", " - ", "PURCHASES @ COST-DIGITAL TEXT")</f>
        <v xml:space="preserve">          5004 - PURCHASES @ COST-DIGITAL TEXT</v>
      </c>
      <c r="C42" s="11"/>
      <c r="D42" s="2">
        <v>169007.92</v>
      </c>
      <c r="E42" s="2"/>
      <c r="F42" s="21">
        <f t="shared" si="4"/>
        <v>0.11594826589656847</v>
      </c>
      <c r="G42" s="2"/>
      <c r="H42" s="2"/>
      <c r="I42" s="2"/>
      <c r="J42" s="21">
        <f t="shared" si="5"/>
        <v>0</v>
      </c>
      <c r="K42" s="2"/>
      <c r="L42" s="2">
        <f t="shared" si="6"/>
        <v>169007.92</v>
      </c>
      <c r="M42" s="2"/>
      <c r="N42" s="21">
        <f t="shared" si="7"/>
        <v>0</v>
      </c>
      <c r="O42" s="11"/>
      <c r="P42" s="2">
        <v>302966.49000000005</v>
      </c>
      <c r="Q42" s="2"/>
      <c r="R42" s="21">
        <f t="shared" si="8"/>
        <v>0.19735290003470282</v>
      </c>
      <c r="S42" s="2"/>
      <c r="T42" s="2"/>
      <c r="U42" s="2"/>
      <c r="V42" s="21">
        <f t="shared" si="9"/>
        <v>0</v>
      </c>
      <c r="W42" s="2"/>
      <c r="X42" s="2">
        <f t="shared" si="10"/>
        <v>302966.49000000005</v>
      </c>
      <c r="Y42" s="2"/>
      <c r="Z42" s="21">
        <f t="shared" si="11"/>
        <v>0</v>
      </c>
    </row>
    <row r="43" spans="1:26" s="24" customFormat="1" hidden="1" outlineLevel="1" x14ac:dyDescent="0.25">
      <c r="A43" s="46"/>
      <c r="B43" s="11" t="str">
        <f>CONCATENATE("          ", "5011", " - ", "PURCHASES @ COST-NO VALUE TEXT")</f>
        <v xml:space="preserve">          5011 - PURCHASES @ COST-NO VALUE TEXT</v>
      </c>
      <c r="C43" s="11"/>
      <c r="D43" s="2">
        <v>369</v>
      </c>
      <c r="E43" s="2"/>
      <c r="F43" s="21">
        <f t="shared" si="4"/>
        <v>2.531532848628263E-4</v>
      </c>
      <c r="G43" s="2"/>
      <c r="H43" s="2"/>
      <c r="I43" s="2"/>
      <c r="J43" s="21">
        <f t="shared" si="5"/>
        <v>0</v>
      </c>
      <c r="K43" s="2"/>
      <c r="L43" s="2">
        <f t="shared" si="6"/>
        <v>369</v>
      </c>
      <c r="M43" s="2"/>
      <c r="N43" s="21">
        <f t="shared" si="7"/>
        <v>0</v>
      </c>
      <c r="O43" s="11"/>
      <c r="P43" s="2">
        <v>657</v>
      </c>
      <c r="Q43" s="2"/>
      <c r="R43" s="21">
        <f t="shared" si="8"/>
        <v>4.2797094597095452E-4</v>
      </c>
      <c r="S43" s="2"/>
      <c r="T43" s="2"/>
      <c r="U43" s="2"/>
      <c r="V43" s="21">
        <f t="shared" si="9"/>
        <v>0</v>
      </c>
      <c r="W43" s="2"/>
      <c r="X43" s="2">
        <f t="shared" si="10"/>
        <v>657</v>
      </c>
      <c r="Y43" s="2"/>
      <c r="Z43" s="21">
        <f t="shared" si="11"/>
        <v>0</v>
      </c>
    </row>
    <row r="44" spans="1:26" s="24" customFormat="1" hidden="1" outlineLevel="1" x14ac:dyDescent="0.25">
      <c r="A44" s="46"/>
      <c r="B44" s="11" t="str">
        <f>CONCATENATE("          ", "5013", " - ", "PURCHASES @ COST-TRADE BOOKS")</f>
        <v xml:space="preserve">          5013 - PURCHASES @ COST-TRADE BOOKS</v>
      </c>
      <c r="C44" s="11"/>
      <c r="D44" s="2"/>
      <c r="E44" s="2"/>
      <c r="F44" s="21">
        <f t="shared" si="4"/>
        <v>0</v>
      </c>
      <c r="G44" s="2"/>
      <c r="H44" s="2"/>
      <c r="I44" s="2"/>
      <c r="J44" s="21">
        <f t="shared" si="5"/>
        <v>0</v>
      </c>
      <c r="K44" s="2"/>
      <c r="L44" s="2">
        <f t="shared" si="6"/>
        <v>0</v>
      </c>
      <c r="M44" s="2"/>
      <c r="N44" s="21">
        <f t="shared" si="7"/>
        <v>0</v>
      </c>
      <c r="O44" s="11"/>
      <c r="P44" s="2">
        <v>204.9</v>
      </c>
      <c r="Q44" s="2"/>
      <c r="R44" s="21">
        <f t="shared" si="8"/>
        <v>1.3347221739642097E-4</v>
      </c>
      <c r="S44" s="2"/>
      <c r="T44" s="2"/>
      <c r="U44" s="2"/>
      <c r="V44" s="21">
        <f t="shared" si="9"/>
        <v>0</v>
      </c>
      <c r="W44" s="2"/>
      <c r="X44" s="2">
        <f t="shared" si="10"/>
        <v>204.9</v>
      </c>
      <c r="Y44" s="2"/>
      <c r="Z44" s="21">
        <f t="shared" si="11"/>
        <v>0</v>
      </c>
    </row>
    <row r="45" spans="1:26" s="24" customFormat="1" hidden="1" outlineLevel="1" x14ac:dyDescent="0.25">
      <c r="A45" s="46"/>
      <c r="B45" s="11" t="str">
        <f>CONCATENATE("          ", "5014", " - ", "PURCHASES @ COST-REMAINDERS")</f>
        <v xml:space="preserve">          5014 - PURCHASES @ COST-REMAINDERS</v>
      </c>
      <c r="C45" s="11"/>
      <c r="D45" s="2">
        <v>133.84</v>
      </c>
      <c r="E45" s="2"/>
      <c r="F45" s="21">
        <f t="shared" si="4"/>
        <v>9.1821234813118359E-5</v>
      </c>
      <c r="G45" s="2"/>
      <c r="H45" s="2"/>
      <c r="I45" s="2"/>
      <c r="J45" s="21">
        <f t="shared" si="5"/>
        <v>0</v>
      </c>
      <c r="K45" s="2"/>
      <c r="L45" s="2">
        <f t="shared" si="6"/>
        <v>133.84</v>
      </c>
      <c r="M45" s="2"/>
      <c r="N45" s="21">
        <f t="shared" si="7"/>
        <v>0</v>
      </c>
      <c r="O45" s="11"/>
      <c r="P45" s="2">
        <v>234.32</v>
      </c>
      <c r="Q45" s="2"/>
      <c r="R45" s="21">
        <f t="shared" si="8"/>
        <v>1.5263645671219795E-4</v>
      </c>
      <c r="S45" s="2"/>
      <c r="T45" s="2"/>
      <c r="U45" s="2"/>
      <c r="V45" s="21">
        <f t="shared" si="9"/>
        <v>0</v>
      </c>
      <c r="W45" s="2"/>
      <c r="X45" s="2">
        <f t="shared" si="10"/>
        <v>234.32</v>
      </c>
      <c r="Y45" s="2"/>
      <c r="Z45" s="21">
        <f t="shared" si="11"/>
        <v>0</v>
      </c>
    </row>
    <row r="46" spans="1:26" s="24" customFormat="1" hidden="1" outlineLevel="1" x14ac:dyDescent="0.25">
      <c r="A46" s="46"/>
      <c r="B46" s="11" t="str">
        <f>CONCATENATE("          ", "5018", " - ", "PURCHASES @ COST-STUDY GUIDES")</f>
        <v xml:space="preserve">          5018 - PURCHASES @ COST-STUDY GUIDES</v>
      </c>
      <c r="C46" s="11"/>
      <c r="D46" s="2"/>
      <c r="E46" s="2"/>
      <c r="F46" s="21">
        <f t="shared" si="4"/>
        <v>0</v>
      </c>
      <c r="G46" s="2"/>
      <c r="H46" s="2"/>
      <c r="I46" s="2"/>
      <c r="J46" s="21">
        <f t="shared" si="5"/>
        <v>0</v>
      </c>
      <c r="K46" s="2"/>
      <c r="L46" s="2">
        <f t="shared" si="6"/>
        <v>0</v>
      </c>
      <c r="M46" s="2"/>
      <c r="N46" s="21">
        <f t="shared" si="7"/>
        <v>0</v>
      </c>
      <c r="O46" s="11"/>
      <c r="P46" s="2">
        <v>503.93</v>
      </c>
      <c r="Q46" s="2"/>
      <c r="R46" s="21">
        <f t="shared" si="8"/>
        <v>3.2826088097890883E-4</v>
      </c>
      <c r="S46" s="2"/>
      <c r="T46" s="2"/>
      <c r="U46" s="2"/>
      <c r="V46" s="21">
        <f t="shared" si="9"/>
        <v>0</v>
      </c>
      <c r="W46" s="2"/>
      <c r="X46" s="2">
        <f t="shared" si="10"/>
        <v>503.93</v>
      </c>
      <c r="Y46" s="2"/>
      <c r="Z46" s="21">
        <f t="shared" si="11"/>
        <v>0</v>
      </c>
    </row>
    <row r="47" spans="1:26" s="24" customFormat="1" hidden="1" outlineLevel="1" x14ac:dyDescent="0.25">
      <c r="A47" s="46"/>
      <c r="B47" s="11" t="str">
        <f>CONCATENATE("          ", "5200", " - ", "PURCHASES OFFSET")</f>
        <v xml:space="preserve">          5200 - PURCHASES OFFSET</v>
      </c>
      <c r="C47" s="11"/>
      <c r="D47" s="2">
        <v>-1332572</v>
      </c>
      <c r="E47" s="2"/>
      <c r="F47" s="21">
        <f t="shared" si="4"/>
        <v>-0.91421403554532843</v>
      </c>
      <c r="G47" s="2"/>
      <c r="H47" s="2"/>
      <c r="I47" s="2"/>
      <c r="J47" s="21">
        <f t="shared" si="5"/>
        <v>0</v>
      </c>
      <c r="K47" s="2"/>
      <c r="L47" s="2">
        <f t="shared" si="6"/>
        <v>-1332572</v>
      </c>
      <c r="M47" s="2"/>
      <c r="N47" s="21">
        <f t="shared" si="7"/>
        <v>0</v>
      </c>
      <c r="O47" s="11"/>
      <c r="P47" s="2">
        <v>-1949502</v>
      </c>
      <c r="Q47" s="2"/>
      <c r="R47" s="21">
        <f t="shared" si="8"/>
        <v>-1.2699090032150193</v>
      </c>
      <c r="S47" s="2"/>
      <c r="T47" s="2"/>
      <c r="U47" s="2"/>
      <c r="V47" s="21">
        <f t="shared" si="9"/>
        <v>0</v>
      </c>
      <c r="W47" s="2"/>
      <c r="X47" s="2">
        <f t="shared" si="10"/>
        <v>-1949502</v>
      </c>
      <c r="Y47" s="2"/>
      <c r="Z47" s="21">
        <f t="shared" si="11"/>
        <v>0</v>
      </c>
    </row>
    <row r="48" spans="1:26" s="24" customFormat="1" hidden="1" outlineLevel="1" x14ac:dyDescent="0.25">
      <c r="A48" s="46"/>
      <c r="B48" s="11" t="str">
        <f>CONCATENATE("          ", "5300", " - ", "COG$ OFFSET")</f>
        <v xml:space="preserve">          5300 - COG$ OFFSET</v>
      </c>
      <c r="C48" s="11"/>
      <c r="D48" s="2">
        <v>1039635.0000000001</v>
      </c>
      <c r="E48" s="2"/>
      <c r="F48" s="21">
        <f t="shared" si="4"/>
        <v>0.71324394392510693</v>
      </c>
      <c r="G48" s="2"/>
      <c r="H48" s="2"/>
      <c r="I48" s="2"/>
      <c r="J48" s="21">
        <f t="shared" si="5"/>
        <v>0</v>
      </c>
      <c r="K48" s="2"/>
      <c r="L48" s="2">
        <f t="shared" si="6"/>
        <v>1039635.0000000001</v>
      </c>
      <c r="M48" s="2"/>
      <c r="N48" s="21">
        <f t="shared" si="7"/>
        <v>0</v>
      </c>
      <c r="O48" s="11"/>
      <c r="P48" s="2">
        <v>1102923</v>
      </c>
      <c r="Q48" s="2"/>
      <c r="R48" s="21">
        <f t="shared" si="8"/>
        <v>0.71844596597126797</v>
      </c>
      <c r="S48" s="2"/>
      <c r="T48" s="2"/>
      <c r="U48" s="2"/>
      <c r="V48" s="21">
        <f t="shared" si="9"/>
        <v>0</v>
      </c>
      <c r="W48" s="2"/>
      <c r="X48" s="2">
        <f t="shared" si="10"/>
        <v>1102923</v>
      </c>
      <c r="Y48" s="2"/>
      <c r="Z48" s="21">
        <f t="shared" si="11"/>
        <v>0</v>
      </c>
    </row>
    <row r="49" spans="1:26" s="24" customFormat="1" hidden="1" outlineLevel="1" x14ac:dyDescent="0.25">
      <c r="A49" s="46"/>
      <c r="B49" s="11" t="str">
        <f>CONCATENATE("          ", "5501", " - ", "FREIGHT-IN-NEW TEXT")</f>
        <v xml:space="preserve">          5501 - FREIGHT-IN-NEW TEXT</v>
      </c>
      <c r="C49" s="11"/>
      <c r="D49" s="2">
        <v>11008.16</v>
      </c>
      <c r="E49" s="2"/>
      <c r="F49" s="21">
        <f t="shared" si="4"/>
        <v>7.5521730739717347E-3</v>
      </c>
      <c r="G49" s="2"/>
      <c r="H49" s="2"/>
      <c r="I49" s="2"/>
      <c r="J49" s="21">
        <f t="shared" si="5"/>
        <v>0</v>
      </c>
      <c r="K49" s="2"/>
      <c r="L49" s="2">
        <f t="shared" si="6"/>
        <v>11008.16</v>
      </c>
      <c r="M49" s="2"/>
      <c r="N49" s="21">
        <f t="shared" si="7"/>
        <v>0</v>
      </c>
      <c r="O49" s="11"/>
      <c r="P49" s="2">
        <v>12724.24</v>
      </c>
      <c r="Q49" s="2"/>
      <c r="R49" s="21">
        <f t="shared" si="8"/>
        <v>8.2885921302305304E-3</v>
      </c>
      <c r="S49" s="2"/>
      <c r="T49" s="2"/>
      <c r="U49" s="2"/>
      <c r="V49" s="21">
        <f t="shared" si="9"/>
        <v>0</v>
      </c>
      <c r="W49" s="2"/>
      <c r="X49" s="2">
        <f t="shared" si="10"/>
        <v>12724.24</v>
      </c>
      <c r="Y49" s="2"/>
      <c r="Z49" s="21">
        <f t="shared" si="11"/>
        <v>0</v>
      </c>
    </row>
    <row r="50" spans="1:26" s="24" customFormat="1" hidden="1" outlineLevel="1" x14ac:dyDescent="0.25">
      <c r="A50" s="46"/>
      <c r="B50" s="11" t="str">
        <f>CONCATENATE("          ", "5502", " - ", "FREIGHT-IN-USED TEXT")</f>
        <v xml:space="preserve">          5502 - FREIGHT-IN-USED TEXT</v>
      </c>
      <c r="C50" s="11"/>
      <c r="D50" s="2">
        <v>3985.02</v>
      </c>
      <c r="E50" s="2"/>
      <c r="F50" s="21">
        <f t="shared" si="4"/>
        <v>2.733931987111274E-3</v>
      </c>
      <c r="G50" s="2"/>
      <c r="H50" s="2"/>
      <c r="I50" s="2"/>
      <c r="J50" s="21">
        <f t="shared" si="5"/>
        <v>0</v>
      </c>
      <c r="K50" s="2"/>
      <c r="L50" s="2">
        <f t="shared" si="6"/>
        <v>3985.02</v>
      </c>
      <c r="M50" s="2"/>
      <c r="N50" s="21">
        <f t="shared" si="7"/>
        <v>0</v>
      </c>
      <c r="O50" s="11"/>
      <c r="P50" s="2">
        <v>4262.51</v>
      </c>
      <c r="Q50" s="2"/>
      <c r="R50" s="21">
        <f t="shared" si="8"/>
        <v>2.7766064488746627E-3</v>
      </c>
      <c r="S50" s="2"/>
      <c r="T50" s="2"/>
      <c r="U50" s="2"/>
      <c r="V50" s="21">
        <f t="shared" si="9"/>
        <v>0</v>
      </c>
      <c r="W50" s="2"/>
      <c r="X50" s="2">
        <f t="shared" si="10"/>
        <v>4262.51</v>
      </c>
      <c r="Y50" s="2"/>
      <c r="Z50" s="21">
        <f t="shared" si="11"/>
        <v>0</v>
      </c>
    </row>
    <row r="51" spans="1:26" s="24" customFormat="1" hidden="1" outlineLevel="1" x14ac:dyDescent="0.25">
      <c r="A51" s="46"/>
      <c r="B51" s="11" t="str">
        <f>CONCATENATE("          ", "5504", " - ", "FREIGHT-IN-DIGITAL TEXT")</f>
        <v xml:space="preserve">          5504 - FREIGHT-IN-DIGITAL TEXT</v>
      </c>
      <c r="C51" s="11"/>
      <c r="D51" s="2">
        <v>7.03</v>
      </c>
      <c r="E51" s="2"/>
      <c r="F51" s="21">
        <f t="shared" si="4"/>
        <v>4.8229474053812164E-6</v>
      </c>
      <c r="G51" s="2"/>
      <c r="H51" s="2"/>
      <c r="I51" s="2"/>
      <c r="J51" s="21">
        <f t="shared" si="5"/>
        <v>0</v>
      </c>
      <c r="K51" s="2"/>
      <c r="L51" s="2">
        <f t="shared" si="6"/>
        <v>7.03</v>
      </c>
      <c r="M51" s="2"/>
      <c r="N51" s="21">
        <f t="shared" si="7"/>
        <v>0</v>
      </c>
      <c r="O51" s="11"/>
      <c r="P51" s="2">
        <v>7.03</v>
      </c>
      <c r="Q51" s="2"/>
      <c r="R51" s="21">
        <f t="shared" si="8"/>
        <v>4.5793542620636385E-6</v>
      </c>
      <c r="S51" s="2"/>
      <c r="T51" s="2"/>
      <c r="U51" s="2"/>
      <c r="V51" s="21">
        <f t="shared" si="9"/>
        <v>0</v>
      </c>
      <c r="W51" s="2"/>
      <c r="X51" s="2">
        <f t="shared" si="10"/>
        <v>7.03</v>
      </c>
      <c r="Y51" s="2"/>
      <c r="Z51" s="21">
        <f t="shared" si="11"/>
        <v>0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6</v>
      </c>
      <c r="C53" s="29"/>
      <c r="D53" s="22">
        <f>D12-D37</f>
        <v>417980.94999999972</v>
      </c>
      <c r="E53" s="14"/>
      <c r="F53" s="20">
        <f>IF(D$12=0,0,D53/D$12)</f>
        <v>0.28675677642976882</v>
      </c>
      <c r="G53" s="14"/>
      <c r="H53" s="22">
        <f>H12-H37</f>
        <v>425517</v>
      </c>
      <c r="I53" s="14"/>
      <c r="J53" s="20">
        <f>IF(H$12=0,0,H53/H$12)</f>
        <v>0.28124058162590881</v>
      </c>
      <c r="K53" s="15"/>
      <c r="L53" s="22">
        <f>+D53-H53</f>
        <v>-7536.0500000002794</v>
      </c>
      <c r="M53" s="15"/>
      <c r="N53" s="20">
        <f>IF(H53=0,0,L53/H53)</f>
        <v>-1.7710338247356225E-2</v>
      </c>
      <c r="O53" s="28"/>
      <c r="P53" s="22">
        <f>P12-P37</f>
        <v>432229.5299999998</v>
      </c>
      <c r="Q53" s="14"/>
      <c r="R53" s="20">
        <f>IF(P$12=0,0,P53/P$12)</f>
        <v>0.28155506975750527</v>
      </c>
      <c r="S53" s="14"/>
      <c r="T53" s="22">
        <f>T12-T37</f>
        <v>453478</v>
      </c>
      <c r="U53" s="14"/>
      <c r="V53" s="20">
        <f>IF(T$12=0,0,T53/T$12)</f>
        <v>0.28108268260723501</v>
      </c>
      <c r="W53" s="15"/>
      <c r="X53" s="22">
        <f>+P53-T53</f>
        <v>-21248.470000000205</v>
      </c>
      <c r="Y53" s="15"/>
      <c r="Z53" s="20">
        <f>IF(T53=0,0,X53/T53)</f>
        <v>-4.6856672209016105E-2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8" t="s">
        <v>9</v>
      </c>
      <c r="C55" s="10"/>
      <c r="D55" s="19">
        <f>SUM(OSRRefD22x_0)</f>
        <v>50645.710000000006</v>
      </c>
      <c r="E55" s="19"/>
      <c r="F55" s="34">
        <f t="shared" ref="F55:F66" si="12">IF(D$12=0,0,D55/D$12)</f>
        <v>3.4745603931463663E-2</v>
      </c>
      <c r="G55" s="19"/>
      <c r="H55" s="19">
        <f>SUM(OSRRefH22x_0)</f>
        <v>60659.57836029787</v>
      </c>
      <c r="I55" s="19"/>
      <c r="J55" s="34">
        <f t="shared" ref="J55:J66" si="13">IF(H$12=0,0,H55/H$12)</f>
        <v>4.0092252716654245E-2</v>
      </c>
      <c r="K55" s="4"/>
      <c r="L55" s="19">
        <f t="shared" ref="L55:L66" si="14">+D55-H55</f>
        <v>-10013.868360297864</v>
      </c>
      <c r="M55" s="4"/>
      <c r="N55" s="34">
        <f t="shared" ref="N55:N66" si="15">IF(H55=0,0,L55/H55)</f>
        <v>-0.16508305252006189</v>
      </c>
      <c r="O55" s="10"/>
      <c r="P55" s="19">
        <f>SUM(OSRRefP22x_0)</f>
        <v>93637.060000000027</v>
      </c>
      <c r="Q55" s="19"/>
      <c r="R55" s="34">
        <f t="shared" ref="R55:R66" si="16">IF(P$12=0,0,P55/P$12)</f>
        <v>6.0995344210257284E-2</v>
      </c>
      <c r="S55" s="19"/>
      <c r="T55" s="19">
        <f>SUM(OSRRefT22x_0)</f>
        <v>112887.92305167012</v>
      </c>
      <c r="U55" s="19"/>
      <c r="V55" s="34">
        <f t="shared" ref="V55:V66" si="17">IF(T$12=0,0,T55/T$12)</f>
        <v>6.997217118652406E-2</v>
      </c>
      <c r="W55" s="4"/>
      <c r="X55" s="19">
        <f t="shared" ref="X55:X66" si="18">+P55-T55</f>
        <v>-19250.863051670094</v>
      </c>
      <c r="Y55" s="4"/>
      <c r="Z55" s="34">
        <f t="shared" ref="Z55:Z66" si="19">IF(T55=0,0,X55/T55)</f>
        <v>-0.17053075768661941</v>
      </c>
    </row>
    <row r="56" spans="1:26" s="26" customFormat="1" outlineLevel="1" collapsed="1" x14ac:dyDescent="0.25">
      <c r="A56" s="25"/>
      <c r="B56" s="13" t="str">
        <f>CONCATENATE("     ","*Benefits                                         ")</f>
        <v xml:space="preserve">     *Benefits                                         </v>
      </c>
      <c r="C56" s="13"/>
      <c r="D56" s="1">
        <f>SUM(OSRRefD22_0x_0)</f>
        <v>9693.15</v>
      </c>
      <c r="E56" s="1"/>
      <c r="F56" s="5">
        <f t="shared" si="12"/>
        <v>6.6500074882604463E-3</v>
      </c>
      <c r="G56" s="1"/>
      <c r="H56" s="1">
        <f>SUM(OSRRefH22_0x_0)</f>
        <v>12505.461144574771</v>
      </c>
      <c r="I56" s="1"/>
      <c r="J56" s="5">
        <f t="shared" si="13"/>
        <v>8.265341139837918E-3</v>
      </c>
      <c r="K56" s="1"/>
      <c r="L56" s="1">
        <f t="shared" si="14"/>
        <v>-2812.3111445747709</v>
      </c>
      <c r="M56" s="1"/>
      <c r="N56" s="5">
        <f t="shared" si="15"/>
        <v>-0.2248866404894499</v>
      </c>
      <c r="O56" s="13"/>
      <c r="P56" s="1">
        <f>SUM(OSRRefP22_0x_0)</f>
        <v>20919.760000000002</v>
      </c>
      <c r="Q56" s="1"/>
      <c r="R56" s="5">
        <f t="shared" si="16"/>
        <v>1.3627168153250132E-2</v>
      </c>
      <c r="S56" s="1"/>
      <c r="T56" s="1">
        <f>SUM(OSRRefT22_0x_0)</f>
        <v>26733.461816293224</v>
      </c>
      <c r="U56" s="1"/>
      <c r="V56" s="5">
        <f t="shared" si="17"/>
        <v>1.6570402892095722E-2</v>
      </c>
      <c r="W56" s="1"/>
      <c r="X56" s="1">
        <f t="shared" si="18"/>
        <v>-5813.7018162932218</v>
      </c>
      <c r="Y56" s="1"/>
      <c r="Z56" s="5">
        <f t="shared" si="19"/>
        <v>-0.21746909757680349</v>
      </c>
    </row>
    <row r="57" spans="1:26" s="24" customFormat="1" hidden="1" outlineLevel="2" x14ac:dyDescent="0.25">
      <c r="A57" s="27"/>
      <c r="B57" s="11" t="str">
        <f>CONCATENATE("          ", "6111", " - ", "F.I.C.A.")</f>
        <v xml:space="preserve">          6111 - F.I.C.A.</v>
      </c>
      <c r="C57" s="11"/>
      <c r="D57" s="6">
        <v>1765.5</v>
      </c>
      <c r="E57" s="2"/>
      <c r="F57" s="7">
        <f t="shared" si="12"/>
        <v>1.2112252694453111E-3</v>
      </c>
      <c r="G57" s="2"/>
      <c r="H57" s="6">
        <v>1876.1700046486201</v>
      </c>
      <c r="I57" s="2"/>
      <c r="J57" s="7">
        <f t="shared" si="13"/>
        <v>1.240033049999088E-3</v>
      </c>
      <c r="K57" s="2"/>
      <c r="L57" s="6">
        <f t="shared" si="14"/>
        <v>-110.67000464862008</v>
      </c>
      <c r="M57" s="2"/>
      <c r="N57" s="7">
        <f t="shared" si="15"/>
        <v>-5.8987194323761184E-2</v>
      </c>
      <c r="O57" s="11"/>
      <c r="P57" s="6">
        <v>3386.25</v>
      </c>
      <c r="Q57" s="2"/>
      <c r="R57" s="7">
        <f t="shared" si="16"/>
        <v>2.2058091564598854E-3</v>
      </c>
      <c r="S57" s="2"/>
      <c r="T57" s="6">
        <v>4221.3825104593898</v>
      </c>
      <c r="U57" s="2"/>
      <c r="V57" s="7">
        <f t="shared" si="17"/>
        <v>2.6165713008154518E-3</v>
      </c>
      <c r="W57" s="2"/>
      <c r="X57" s="6">
        <f t="shared" si="18"/>
        <v>-835.13251045938978</v>
      </c>
      <c r="Y57" s="2"/>
      <c r="Z57" s="7">
        <f t="shared" si="19"/>
        <v>-0.19783388697664048</v>
      </c>
    </row>
    <row r="58" spans="1:26" s="24" customFormat="1" hidden="1" outlineLevel="2" x14ac:dyDescent="0.25">
      <c r="A58" s="27"/>
      <c r="B58" s="11" t="str">
        <f>CONCATENATE("          ", "6112", " - ", "COMPENSATION INSURANCE")</f>
        <v xml:space="preserve">          6112 - COMPENSATION INSURANCE</v>
      </c>
      <c r="C58" s="11"/>
      <c r="D58" s="6">
        <v>96.33</v>
      </c>
      <c r="E58" s="2"/>
      <c r="F58" s="7">
        <f t="shared" si="12"/>
        <v>6.6087414446710179E-5</v>
      </c>
      <c r="G58" s="2"/>
      <c r="H58" s="6">
        <v>691.19442950769201</v>
      </c>
      <c r="I58" s="2"/>
      <c r="J58" s="7">
        <f t="shared" si="13"/>
        <v>4.5683703206060279E-4</v>
      </c>
      <c r="K58" s="2"/>
      <c r="L58" s="6">
        <f t="shared" si="14"/>
        <v>-594.86442950769197</v>
      </c>
      <c r="M58" s="2"/>
      <c r="N58" s="7">
        <f t="shared" si="15"/>
        <v>-0.86063255737085187</v>
      </c>
      <c r="O58" s="11"/>
      <c r="P58" s="6">
        <v>181.44</v>
      </c>
      <c r="Q58" s="2"/>
      <c r="R58" s="7">
        <f t="shared" si="16"/>
        <v>1.1819033247636223E-4</v>
      </c>
      <c r="S58" s="2"/>
      <c r="T58" s="6">
        <v>1338.6862188923071</v>
      </c>
      <c r="U58" s="2"/>
      <c r="V58" s="7">
        <f t="shared" si="17"/>
        <v>8.2976795693635831E-4</v>
      </c>
      <c r="W58" s="2"/>
      <c r="X58" s="6">
        <f t="shared" si="18"/>
        <v>-1157.2462188923071</v>
      </c>
      <c r="Y58" s="2"/>
      <c r="Z58" s="7">
        <f t="shared" si="19"/>
        <v>-0.86446413099693209</v>
      </c>
    </row>
    <row r="59" spans="1:26" s="24" customFormat="1" hidden="1" outlineLevel="2" x14ac:dyDescent="0.25">
      <c r="A59" s="27"/>
      <c r="B59" s="11" t="str">
        <f>CONCATENATE("          ", "6113", " - ", "GROUP INSURANCE")</f>
        <v xml:space="preserve">          6113 - GROUP INSURANCE</v>
      </c>
      <c r="C59" s="11"/>
      <c r="D59" s="6">
        <v>4168.57</v>
      </c>
      <c r="E59" s="2"/>
      <c r="F59" s="7">
        <f t="shared" si="12"/>
        <v>2.859856879893311E-3</v>
      </c>
      <c r="G59" s="2"/>
      <c r="H59" s="6">
        <v>5311.7692307692296</v>
      </c>
      <c r="I59" s="2"/>
      <c r="J59" s="7">
        <f t="shared" si="13"/>
        <v>3.51075296151304E-3</v>
      </c>
      <c r="K59" s="2"/>
      <c r="L59" s="6">
        <f t="shared" si="14"/>
        <v>-1143.1992307692299</v>
      </c>
      <c r="M59" s="2"/>
      <c r="N59" s="7">
        <f t="shared" si="15"/>
        <v>-0.21522004836864425</v>
      </c>
      <c r="O59" s="11"/>
      <c r="P59" s="6">
        <v>8337.14</v>
      </c>
      <c r="Q59" s="2"/>
      <c r="R59" s="7">
        <f t="shared" si="16"/>
        <v>5.430827538040005E-3</v>
      </c>
      <c r="S59" s="2"/>
      <c r="T59" s="6">
        <v>11095.23076923077</v>
      </c>
      <c r="U59" s="2"/>
      <c r="V59" s="7">
        <f t="shared" si="17"/>
        <v>6.8772404146655846E-3</v>
      </c>
      <c r="W59" s="2"/>
      <c r="X59" s="6">
        <f t="shared" si="18"/>
        <v>-2758.0907692307701</v>
      </c>
      <c r="Y59" s="2"/>
      <c r="Z59" s="7">
        <f t="shared" si="19"/>
        <v>-0.24858345234958895</v>
      </c>
    </row>
    <row r="60" spans="1:26" s="24" customFormat="1" hidden="1" outlineLevel="2" x14ac:dyDescent="0.25">
      <c r="A60" s="27"/>
      <c r="B60" s="11" t="str">
        <f>CONCATENATE("          ", "6114", " - ", "STATE UNEMPLOYMENT INSURANCE")</f>
        <v xml:space="preserve">          6114 - STATE UNEMPLOYMENT INSURANCE</v>
      </c>
      <c r="C60" s="11"/>
      <c r="D60" s="6">
        <v>58.34</v>
      </c>
      <c r="E60" s="2"/>
      <c r="F60" s="7">
        <f t="shared" si="12"/>
        <v>4.0024288994301595E-5</v>
      </c>
      <c r="G60" s="2"/>
      <c r="H60" s="6">
        <v>94.584500879999993</v>
      </c>
      <c r="I60" s="2"/>
      <c r="J60" s="7">
        <f t="shared" si="13"/>
        <v>6.2514541229345661E-5</v>
      </c>
      <c r="K60" s="2"/>
      <c r="L60" s="6">
        <f t="shared" si="14"/>
        <v>-36.24450087999999</v>
      </c>
      <c r="M60" s="2"/>
      <c r="N60" s="7">
        <f t="shared" si="15"/>
        <v>-0.3831970411937114</v>
      </c>
      <c r="O60" s="11"/>
      <c r="P60" s="6">
        <v>113.43</v>
      </c>
      <c r="Q60" s="2"/>
      <c r="R60" s="7">
        <f t="shared" si="16"/>
        <v>7.3888499850053839E-5</v>
      </c>
      <c r="S60" s="2"/>
      <c r="T60" s="6">
        <v>183.18864048</v>
      </c>
      <c r="U60" s="2"/>
      <c r="V60" s="7">
        <f t="shared" si="17"/>
        <v>1.1354719410708066E-4</v>
      </c>
      <c r="W60" s="2"/>
      <c r="X60" s="6">
        <f t="shared" si="18"/>
        <v>-69.758640479999997</v>
      </c>
      <c r="Y60" s="2"/>
      <c r="Z60" s="7">
        <f t="shared" si="19"/>
        <v>-0.38080221730569608</v>
      </c>
    </row>
    <row r="61" spans="1:26" s="24" customFormat="1" hidden="1" outlineLevel="2" x14ac:dyDescent="0.25">
      <c r="A61" s="27"/>
      <c r="B61" s="11" t="str">
        <f>CONCATENATE("          ", "6115", " - ", "P.E.R.S.")</f>
        <v xml:space="preserve">          6115 - P.E.R.S.</v>
      </c>
      <c r="C61" s="11"/>
      <c r="D61" s="6">
        <v>1325.86</v>
      </c>
      <c r="E61" s="2"/>
      <c r="F61" s="7">
        <f t="shared" si="12"/>
        <v>9.0960925275942236E-4</v>
      </c>
      <c r="G61" s="2"/>
      <c r="H61" s="6">
        <v>1235.9586478769202</v>
      </c>
      <c r="I61" s="2"/>
      <c r="J61" s="7">
        <f t="shared" si="13"/>
        <v>8.1689269522598827E-4</v>
      </c>
      <c r="K61" s="2"/>
      <c r="L61" s="6">
        <f t="shared" si="14"/>
        <v>89.901352123079732</v>
      </c>
      <c r="M61" s="2"/>
      <c r="N61" s="7">
        <f t="shared" si="15"/>
        <v>7.273815533999349E-2</v>
      </c>
      <c r="O61" s="11"/>
      <c r="P61" s="6">
        <v>2651.72</v>
      </c>
      <c r="Q61" s="2"/>
      <c r="R61" s="7">
        <f t="shared" si="16"/>
        <v>1.7273350332573812E-3</v>
      </c>
      <c r="S61" s="2"/>
      <c r="T61" s="6">
        <v>2780.9069577230703</v>
      </c>
      <c r="U61" s="2"/>
      <c r="V61" s="7">
        <f t="shared" si="17"/>
        <v>1.7237104947934083E-3</v>
      </c>
      <c r="W61" s="2"/>
      <c r="X61" s="6">
        <f t="shared" si="18"/>
        <v>-129.18695772307046</v>
      </c>
      <c r="Y61" s="2"/>
      <c r="Z61" s="7">
        <f t="shared" si="19"/>
        <v>-4.6454973031116863E-2</v>
      </c>
    </row>
    <row r="62" spans="1:26" s="24" customFormat="1" hidden="1" outlineLevel="2" x14ac:dyDescent="0.25">
      <c r="A62" s="27"/>
      <c r="B62" s="11" t="str">
        <f>CONCATENATE("          ", "6116", " - ", "EDUCATIONAL BENEFITS")</f>
        <v xml:space="preserve">          6116 - EDUCATIONAL BENEFITS</v>
      </c>
      <c r="C62" s="11"/>
      <c r="D62" s="6"/>
      <c r="E62" s="2"/>
      <c r="F62" s="7">
        <f t="shared" si="12"/>
        <v>0</v>
      </c>
      <c r="G62" s="2"/>
      <c r="H62" s="6">
        <v>0</v>
      </c>
      <c r="I62" s="2"/>
      <c r="J62" s="7">
        <f t="shared" si="13"/>
        <v>0</v>
      </c>
      <c r="K62" s="2"/>
      <c r="L62" s="6">
        <f t="shared" si="14"/>
        <v>0</v>
      </c>
      <c r="M62" s="2"/>
      <c r="N62" s="7">
        <f t="shared" si="15"/>
        <v>0</v>
      </c>
      <c r="O62" s="11"/>
      <c r="P62" s="6"/>
      <c r="Q62" s="2"/>
      <c r="R62" s="7">
        <f t="shared" si="16"/>
        <v>0</v>
      </c>
      <c r="S62" s="2"/>
      <c r="T62" s="6">
        <v>0</v>
      </c>
      <c r="U62" s="2"/>
      <c r="V62" s="7">
        <f t="shared" si="17"/>
        <v>0</v>
      </c>
      <c r="W62" s="2"/>
      <c r="X62" s="6">
        <f t="shared" si="18"/>
        <v>0</v>
      </c>
      <c r="Y62" s="2"/>
      <c r="Z62" s="7">
        <f t="shared" si="19"/>
        <v>0</v>
      </c>
    </row>
    <row r="63" spans="1:26" s="24" customFormat="1" hidden="1" outlineLevel="2" x14ac:dyDescent="0.25">
      <c r="A63" s="27"/>
      <c r="B63" s="11" t="str">
        <f>CONCATENATE("          ", "6117", " - ", "RETIREMENT STAFF HOURLY")</f>
        <v xml:space="preserve">          6117 - RETIREMENT STAFF HOURLY</v>
      </c>
      <c r="C63" s="11"/>
      <c r="D63" s="6">
        <v>94.68</v>
      </c>
      <c r="E63" s="2"/>
      <c r="F63" s="7">
        <f t="shared" si="12"/>
        <v>6.4955428213583737E-5</v>
      </c>
      <c r="G63" s="2"/>
      <c r="H63" s="6"/>
      <c r="I63" s="2"/>
      <c r="J63" s="7">
        <f t="shared" si="13"/>
        <v>0</v>
      </c>
      <c r="K63" s="2"/>
      <c r="L63" s="6">
        <f t="shared" si="14"/>
        <v>94.68</v>
      </c>
      <c r="M63" s="2"/>
      <c r="N63" s="7">
        <f t="shared" si="15"/>
        <v>0</v>
      </c>
      <c r="O63" s="11"/>
      <c r="P63" s="6">
        <v>315.37</v>
      </c>
      <c r="Q63" s="2"/>
      <c r="R63" s="7">
        <f t="shared" si="16"/>
        <v>2.0543256808350064E-4</v>
      </c>
      <c r="S63" s="2"/>
      <c r="T63" s="6"/>
      <c r="U63" s="2"/>
      <c r="V63" s="7">
        <f t="shared" si="17"/>
        <v>0</v>
      </c>
      <c r="W63" s="2"/>
      <c r="X63" s="6">
        <f t="shared" si="18"/>
        <v>315.37</v>
      </c>
      <c r="Y63" s="2"/>
      <c r="Z63" s="7">
        <f t="shared" si="19"/>
        <v>0</v>
      </c>
    </row>
    <row r="64" spans="1:26" s="24" customFormat="1" hidden="1" outlineLevel="2" x14ac:dyDescent="0.25">
      <c r="A64" s="27"/>
      <c r="B64" s="11" t="str">
        <f>CONCATENATE("          ", "6118", " - ", "VACATION")</f>
        <v xml:space="preserve">          6118 - VACATION</v>
      </c>
      <c r="C64" s="11"/>
      <c r="D64" s="6">
        <v>794.54</v>
      </c>
      <c r="E64" s="2"/>
      <c r="F64" s="7">
        <f t="shared" si="12"/>
        <v>5.4509596464745263E-4</v>
      </c>
      <c r="G64" s="2"/>
      <c r="H64" s="6">
        <v>1427.9603583999999</v>
      </c>
      <c r="I64" s="2"/>
      <c r="J64" s="7">
        <f t="shared" si="13"/>
        <v>9.4379402405816255E-4</v>
      </c>
      <c r="K64" s="2"/>
      <c r="L64" s="6">
        <f t="shared" si="14"/>
        <v>-633.42035839999994</v>
      </c>
      <c r="M64" s="2"/>
      <c r="N64" s="7">
        <f t="shared" si="15"/>
        <v>-0.44358399354288403</v>
      </c>
      <c r="O64" s="11"/>
      <c r="P64" s="6">
        <v>2274.46</v>
      </c>
      <c r="Q64" s="2"/>
      <c r="R64" s="7">
        <f t="shared" si="16"/>
        <v>1.4815872112223702E-3</v>
      </c>
      <c r="S64" s="2"/>
      <c r="T64" s="6">
        <v>3212.9108064000002</v>
      </c>
      <c r="U64" s="2"/>
      <c r="V64" s="7">
        <f t="shared" si="17"/>
        <v>1.9914826925246354E-3</v>
      </c>
      <c r="W64" s="2"/>
      <c r="X64" s="6">
        <f t="shared" si="18"/>
        <v>-938.45080640000015</v>
      </c>
      <c r="Y64" s="2"/>
      <c r="Z64" s="7">
        <f t="shared" si="19"/>
        <v>-0.29208741323619714</v>
      </c>
    </row>
    <row r="65" spans="1:26" s="24" customFormat="1" hidden="1" outlineLevel="2" x14ac:dyDescent="0.25">
      <c r="A65" s="27"/>
      <c r="B65" s="11" t="str">
        <f>CONCATENATE("          ", "6119", " - ", "SICK LEAVE")</f>
        <v xml:space="preserve">          6119 - SICK LEAVE</v>
      </c>
      <c r="C65" s="11"/>
      <c r="D65" s="6">
        <v>801.74</v>
      </c>
      <c r="E65" s="2"/>
      <c r="F65" s="7">
        <f t="shared" si="12"/>
        <v>5.5003554093745904E-4</v>
      </c>
      <c r="G65" s="2"/>
      <c r="H65" s="6">
        <v>1117.8239724923101</v>
      </c>
      <c r="I65" s="2"/>
      <c r="J65" s="7">
        <f t="shared" si="13"/>
        <v>7.3881293621434903E-4</v>
      </c>
      <c r="K65" s="2"/>
      <c r="L65" s="6">
        <f t="shared" si="14"/>
        <v>-316.08397249231007</v>
      </c>
      <c r="M65" s="2"/>
      <c r="N65" s="7">
        <f t="shared" si="15"/>
        <v>-0.28276721583235193</v>
      </c>
      <c r="O65" s="11"/>
      <c r="P65" s="6">
        <v>2512.2800000000002</v>
      </c>
      <c r="Q65" s="2"/>
      <c r="R65" s="7">
        <f t="shared" si="16"/>
        <v>1.6365035740394363E-3</v>
      </c>
      <c r="S65" s="2"/>
      <c r="T65" s="6">
        <v>2401.1559131076897</v>
      </c>
      <c r="U65" s="2"/>
      <c r="V65" s="7">
        <f t="shared" si="17"/>
        <v>1.4883265459725372E-3</v>
      </c>
      <c r="W65" s="2"/>
      <c r="X65" s="6">
        <f t="shared" si="18"/>
        <v>111.12408689231052</v>
      </c>
      <c r="Y65" s="2"/>
      <c r="Z65" s="7">
        <f t="shared" si="19"/>
        <v>4.6279413296610325E-2</v>
      </c>
    </row>
    <row r="66" spans="1:26" s="24" customFormat="1" hidden="1" outlineLevel="2" x14ac:dyDescent="0.25">
      <c r="A66" s="27"/>
      <c r="B66" s="11" t="str">
        <f>CONCATENATE("          ", "6156", " - ", "EMPLOYEE MEALS")</f>
        <v xml:space="preserve">          6156 - EMPLOYEE MEALS</v>
      </c>
      <c r="C66" s="11"/>
      <c r="D66" s="6">
        <v>587.59</v>
      </c>
      <c r="E66" s="2"/>
      <c r="F66" s="7">
        <f t="shared" si="12"/>
        <v>4.0311744892289461E-4</v>
      </c>
      <c r="G66" s="2"/>
      <c r="H66" s="6">
        <v>750</v>
      </c>
      <c r="I66" s="2"/>
      <c r="J66" s="7">
        <f t="shared" si="13"/>
        <v>4.9570389953734306E-4</v>
      </c>
      <c r="K66" s="2"/>
      <c r="L66" s="6">
        <f t="shared" si="14"/>
        <v>-162.40999999999997</v>
      </c>
      <c r="M66" s="2"/>
      <c r="N66" s="7">
        <f t="shared" si="15"/>
        <v>-0.21654666666666664</v>
      </c>
      <c r="O66" s="11"/>
      <c r="P66" s="6">
        <v>1147.67</v>
      </c>
      <c r="Q66" s="2"/>
      <c r="R66" s="7">
        <f t="shared" si="16"/>
        <v>7.4759423982113449E-4</v>
      </c>
      <c r="S66" s="2"/>
      <c r="T66" s="6">
        <v>1500</v>
      </c>
      <c r="U66" s="2"/>
      <c r="V66" s="7">
        <f t="shared" si="17"/>
        <v>9.2975629228066734E-4</v>
      </c>
      <c r="W66" s="2"/>
      <c r="X66" s="6">
        <f t="shared" si="18"/>
        <v>-352.32999999999993</v>
      </c>
      <c r="Y66" s="2"/>
      <c r="Z66" s="7">
        <f t="shared" si="19"/>
        <v>-0.2348866666666666</v>
      </c>
    </row>
    <row r="67" spans="1:26" s="26" customFormat="1" outlineLevel="1" collapsed="1" x14ac:dyDescent="0.25">
      <c r="A67" s="25"/>
      <c r="B67" s="13" t="str">
        <f>CONCATENATE("     ","*Payroll                                          ")</f>
        <v xml:space="preserve">     *Payroll                                          </v>
      </c>
      <c r="C67" s="13"/>
      <c r="D67" s="1">
        <f>SUM(OSRRefD22_1x_0)</f>
        <v>24469.840000000004</v>
      </c>
      <c r="E67" s="1"/>
      <c r="F67" s="5">
        <f t="shared" ref="F67:F77" si="20">IF(D$12=0,0,D67/D$12)</f>
        <v>1.6787589095034642E-2</v>
      </c>
      <c r="G67" s="1"/>
      <c r="H67" s="1">
        <f>SUM(OSRRefH22_1x_0)</f>
        <v>34064.117215723098</v>
      </c>
      <c r="I67" s="1"/>
      <c r="J67" s="5">
        <f t="shared" ref="J67:J77" si="21">IF(H$12=0,0,H67/H$12)</f>
        <v>2.2514287650841441E-2</v>
      </c>
      <c r="K67" s="1"/>
      <c r="L67" s="1">
        <f t="shared" ref="L67:L77" si="22">+D67-H67</f>
        <v>-9594.2772157230938</v>
      </c>
      <c r="M67" s="1"/>
      <c r="N67" s="5">
        <f t="shared" ref="N67:N77" si="23">IF(H67=0,0,L67/H67)</f>
        <v>-0.28165348172576826</v>
      </c>
      <c r="O67" s="13"/>
      <c r="P67" s="1">
        <f>SUM(OSRRefP22_1x_0)</f>
        <v>50543.15</v>
      </c>
      <c r="Q67" s="1"/>
      <c r="R67" s="5">
        <f t="shared" ref="R67:R77" si="24">IF(P$12=0,0,P67/P$12)</f>
        <v>3.2923896069789724E-2</v>
      </c>
      <c r="S67" s="1"/>
      <c r="T67" s="1">
        <f>SUM(OSRRefT22_1x_0)</f>
        <v>65249.461235376904</v>
      </c>
      <c r="U67" s="1"/>
      <c r="V67" s="5">
        <f t="shared" ref="V67:V77" si="25">IF(T$12=0,0,T67/T$12)</f>
        <v>4.0444064767676778E-2</v>
      </c>
      <c r="W67" s="1"/>
      <c r="X67" s="1">
        <f t="shared" ref="X67:X77" si="26">+P67-T67</f>
        <v>-14706.311235376903</v>
      </c>
      <c r="Y67" s="1"/>
      <c r="Z67" s="5">
        <f t="shared" ref="Z67:Z77" si="27">IF(T67=0,0,X67/T67)</f>
        <v>-0.22538594123139588</v>
      </c>
    </row>
    <row r="68" spans="1:26" s="24" customFormat="1" hidden="1" outlineLevel="2" x14ac:dyDescent="0.25">
      <c r="A68" s="27"/>
      <c r="B68" s="11" t="str">
        <f>CONCATENATE("          ", "6001", " - ", "ADMINISTRATIVE SALARIES")</f>
        <v xml:space="preserve">          6001 - ADMINISTRATIVE SALARIES</v>
      </c>
      <c r="C68" s="11"/>
      <c r="D68" s="6"/>
      <c r="E68" s="2"/>
      <c r="F68" s="7">
        <f t="shared" si="20"/>
        <v>0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0</v>
      </c>
      <c r="M68" s="2"/>
      <c r="N68" s="7">
        <f t="shared" si="23"/>
        <v>0</v>
      </c>
      <c r="O68" s="11"/>
      <c r="P68" s="6"/>
      <c r="Q68" s="2"/>
      <c r="R68" s="7">
        <f t="shared" si="24"/>
        <v>0</v>
      </c>
      <c r="S68" s="2"/>
      <c r="T68" s="6">
        <v>0</v>
      </c>
      <c r="U68" s="2"/>
      <c r="V68" s="7">
        <f t="shared" si="25"/>
        <v>0</v>
      </c>
      <c r="W68" s="2"/>
      <c r="X68" s="6">
        <f t="shared" si="26"/>
        <v>0</v>
      </c>
      <c r="Y68" s="2"/>
      <c r="Z68" s="7">
        <f t="shared" si="27"/>
        <v>0</v>
      </c>
    </row>
    <row r="69" spans="1:26" s="24" customFormat="1" hidden="1" outlineLevel="2" x14ac:dyDescent="0.25">
      <c r="A69" s="27"/>
      <c r="B69" s="11" t="str">
        <f>CONCATENATE("          ", "6002", " - ", "STAFF SALARIES")</f>
        <v xml:space="preserve">          6002 - STAFF SALARIES</v>
      </c>
      <c r="C69" s="11"/>
      <c r="D69" s="6">
        <v>14272.87</v>
      </c>
      <c r="E69" s="2"/>
      <c r="F69" s="7">
        <f t="shared" si="20"/>
        <v>9.7919347558809971E-3</v>
      </c>
      <c r="G69" s="2"/>
      <c r="H69" s="6">
        <v>12765.0123437231</v>
      </c>
      <c r="I69" s="2"/>
      <c r="J69" s="7">
        <f t="shared" si="21"/>
        <v>8.4368885285678128E-3</v>
      </c>
      <c r="K69" s="2"/>
      <c r="L69" s="6">
        <f t="shared" si="22"/>
        <v>1507.8576562769013</v>
      </c>
      <c r="M69" s="2"/>
      <c r="N69" s="7">
        <f t="shared" si="23"/>
        <v>0.11812426151067182</v>
      </c>
      <c r="O69" s="11"/>
      <c r="P69" s="6">
        <v>31902.230000000003</v>
      </c>
      <c r="Q69" s="2"/>
      <c r="R69" s="7">
        <f t="shared" si="24"/>
        <v>2.0781168267401774E-2</v>
      </c>
      <c r="S69" s="2"/>
      <c r="T69" s="6">
        <v>28721.2777733769</v>
      </c>
      <c r="U69" s="2"/>
      <c r="V69" s="7">
        <f t="shared" si="25"/>
        <v>1.7802525821425365E-2</v>
      </c>
      <c r="W69" s="2"/>
      <c r="X69" s="6">
        <f t="shared" si="26"/>
        <v>3180.9522266231033</v>
      </c>
      <c r="Y69" s="2"/>
      <c r="Z69" s="7">
        <f t="shared" si="27"/>
        <v>0.1107524620499885</v>
      </c>
    </row>
    <row r="70" spans="1:26" s="24" customFormat="1" hidden="1" outlineLevel="2" x14ac:dyDescent="0.25">
      <c r="A70" s="27"/>
      <c r="B70" s="11" t="str">
        <f>CONCATENATE("          ", "6003", " - ", "STAFF HOURLY-9 MONTH")</f>
        <v xml:space="preserve">          6003 - STAFF HOURLY-9 MONTH</v>
      </c>
      <c r="C70" s="11"/>
      <c r="D70" s="6"/>
      <c r="E70" s="2"/>
      <c r="F70" s="7">
        <f t="shared" si="20"/>
        <v>0</v>
      </c>
      <c r="G70" s="2"/>
      <c r="H70" s="6">
        <v>0</v>
      </c>
      <c r="I70" s="2"/>
      <c r="J70" s="7">
        <f t="shared" si="21"/>
        <v>0</v>
      </c>
      <c r="K70" s="2"/>
      <c r="L70" s="6">
        <f t="shared" si="22"/>
        <v>0</v>
      </c>
      <c r="M70" s="2"/>
      <c r="N70" s="7">
        <f t="shared" si="23"/>
        <v>0</v>
      </c>
      <c r="O70" s="11"/>
      <c r="P70" s="6"/>
      <c r="Q70" s="2"/>
      <c r="R70" s="7">
        <f t="shared" si="24"/>
        <v>0</v>
      </c>
      <c r="S70" s="2"/>
      <c r="T70" s="6">
        <v>0</v>
      </c>
      <c r="U70" s="2"/>
      <c r="V70" s="7">
        <f t="shared" si="25"/>
        <v>0</v>
      </c>
      <c r="W70" s="2"/>
      <c r="X70" s="6">
        <f t="shared" si="26"/>
        <v>0</v>
      </c>
      <c r="Y70" s="2"/>
      <c r="Z70" s="7">
        <f t="shared" si="27"/>
        <v>0</v>
      </c>
    </row>
    <row r="71" spans="1:26" s="24" customFormat="1" hidden="1" outlineLevel="2" x14ac:dyDescent="0.25">
      <c r="A71" s="27"/>
      <c r="B71" s="11" t="str">
        <f>CONCATENATE("          ", "6004", " - ", "STAFF HOURLY")</f>
        <v xml:space="preserve">          6004 - STAFF HOURLY</v>
      </c>
      <c r="C71" s="11"/>
      <c r="D71" s="6">
        <v>2830.32</v>
      </c>
      <c r="E71" s="2"/>
      <c r="F71" s="7">
        <f t="shared" si="20"/>
        <v>1.9417474396015029E-3</v>
      </c>
      <c r="G71" s="2"/>
      <c r="H71" s="6">
        <v>5865.9348719999998</v>
      </c>
      <c r="I71" s="2"/>
      <c r="J71" s="7">
        <f t="shared" si="21"/>
        <v>3.87702238730998E-3</v>
      </c>
      <c r="K71" s="2"/>
      <c r="L71" s="6">
        <f t="shared" si="22"/>
        <v>-3035.6148719999997</v>
      </c>
      <c r="M71" s="2"/>
      <c r="N71" s="7">
        <f t="shared" si="23"/>
        <v>-0.51749890481907135</v>
      </c>
      <c r="O71" s="11"/>
      <c r="P71" s="6">
        <v>4836.25</v>
      </c>
      <c r="Q71" s="2"/>
      <c r="R71" s="7">
        <f t="shared" si="24"/>
        <v>3.1503416856195261E-3</v>
      </c>
      <c r="S71" s="2"/>
      <c r="T71" s="6">
        <v>13198.353461999999</v>
      </c>
      <c r="U71" s="2"/>
      <c r="V71" s="7">
        <f t="shared" si="25"/>
        <v>8.1808347860258864E-3</v>
      </c>
      <c r="W71" s="2"/>
      <c r="X71" s="6">
        <f t="shared" si="26"/>
        <v>-8362.1034619999991</v>
      </c>
      <c r="Y71" s="2"/>
      <c r="Z71" s="7">
        <f t="shared" si="27"/>
        <v>-0.63357171681117075</v>
      </c>
    </row>
    <row r="72" spans="1:26" s="24" customFormat="1" hidden="1" outlineLevel="2" x14ac:dyDescent="0.25">
      <c r="A72" s="27"/>
      <c r="B72" s="11" t="str">
        <f>CONCATENATE("          ", "6005", " - ", "TEMPORARY WAGES-HOURLY")</f>
        <v xml:space="preserve">          6005 - TEMPORARY WAGES-HOURLY</v>
      </c>
      <c r="C72" s="11"/>
      <c r="D72" s="6">
        <v>1476.95</v>
      </c>
      <c r="E72" s="2"/>
      <c r="F72" s="7">
        <f t="shared" si="20"/>
        <v>1.0132648891006811E-3</v>
      </c>
      <c r="G72" s="2"/>
      <c r="H72" s="6">
        <v>3517.92</v>
      </c>
      <c r="I72" s="2"/>
      <c r="J72" s="7">
        <f t="shared" si="21"/>
        <v>2.3251288830138796E-3</v>
      </c>
      <c r="K72" s="2"/>
      <c r="L72" s="6">
        <f t="shared" si="22"/>
        <v>-2040.97</v>
      </c>
      <c r="M72" s="2"/>
      <c r="N72" s="7">
        <f t="shared" si="23"/>
        <v>-0.58016384681857458</v>
      </c>
      <c r="O72" s="11"/>
      <c r="P72" s="6">
        <v>2669.35</v>
      </c>
      <c r="Q72" s="2"/>
      <c r="R72" s="7">
        <f t="shared" si="24"/>
        <v>1.738819246008474E-3</v>
      </c>
      <c r="S72" s="2"/>
      <c r="T72" s="6">
        <v>6952.08</v>
      </c>
      <c r="U72" s="2"/>
      <c r="V72" s="7">
        <f t="shared" si="25"/>
        <v>4.3091600829590548E-3</v>
      </c>
      <c r="W72" s="2"/>
      <c r="X72" s="6">
        <f t="shared" si="26"/>
        <v>-4282.7299999999996</v>
      </c>
      <c r="Y72" s="2"/>
      <c r="Z72" s="7">
        <f t="shared" si="27"/>
        <v>-0.61603577634319506</v>
      </c>
    </row>
    <row r="73" spans="1:26" s="24" customFormat="1" hidden="1" outlineLevel="2" x14ac:dyDescent="0.25">
      <c r="A73" s="27"/>
      <c r="B73" s="11" t="str">
        <f>CONCATENATE("          ", "6006", " - ", "TEMPORARY PART TIME")</f>
        <v xml:space="preserve">          6006 - TEMPORARY PART TIME</v>
      </c>
      <c r="C73" s="11"/>
      <c r="D73" s="6"/>
      <c r="E73" s="2"/>
      <c r="F73" s="7">
        <f t="shared" si="20"/>
        <v>0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0</v>
      </c>
      <c r="M73" s="2"/>
      <c r="N73" s="7">
        <f t="shared" si="23"/>
        <v>0</v>
      </c>
      <c r="O73" s="11"/>
      <c r="P73" s="6"/>
      <c r="Q73" s="2"/>
      <c r="R73" s="7">
        <f t="shared" si="24"/>
        <v>0</v>
      </c>
      <c r="S73" s="2"/>
      <c r="T73" s="6">
        <v>0</v>
      </c>
      <c r="U73" s="2"/>
      <c r="V73" s="7">
        <f t="shared" si="25"/>
        <v>0</v>
      </c>
      <c r="W73" s="2"/>
      <c r="X73" s="6">
        <f t="shared" si="26"/>
        <v>0</v>
      </c>
      <c r="Y73" s="2"/>
      <c r="Z73" s="7">
        <f t="shared" si="27"/>
        <v>0</v>
      </c>
    </row>
    <row r="74" spans="1:26" s="24" customFormat="1" hidden="1" outlineLevel="2" x14ac:dyDescent="0.25">
      <c r="A74" s="27"/>
      <c r="B74" s="11" t="str">
        <f>CONCATENATE("          ", "6007", " - ", "STUDENT HOURLY")</f>
        <v xml:space="preserve">          6007 - STUDENT HOURLY</v>
      </c>
      <c r="C74" s="11"/>
      <c r="D74" s="6">
        <v>5889.7</v>
      </c>
      <c r="E74" s="2"/>
      <c r="F74" s="7">
        <f t="shared" si="20"/>
        <v>4.0406420104514579E-3</v>
      </c>
      <c r="G74" s="2"/>
      <c r="H74" s="6">
        <v>3570</v>
      </c>
      <c r="I74" s="2"/>
      <c r="J74" s="7">
        <f t="shared" si="21"/>
        <v>2.3595505617977526E-3</v>
      </c>
      <c r="K74" s="2"/>
      <c r="L74" s="6">
        <f t="shared" si="22"/>
        <v>2319.6999999999998</v>
      </c>
      <c r="M74" s="2"/>
      <c r="N74" s="7">
        <f t="shared" si="23"/>
        <v>0.64977591036414561</v>
      </c>
      <c r="O74" s="11"/>
      <c r="P74" s="6">
        <v>11135.32</v>
      </c>
      <c r="Q74" s="2"/>
      <c r="R74" s="7">
        <f t="shared" si="24"/>
        <v>7.2535668707599532E-3</v>
      </c>
      <c r="S74" s="2"/>
      <c r="T74" s="6">
        <v>8032.5</v>
      </c>
      <c r="U74" s="2"/>
      <c r="V74" s="7">
        <f t="shared" si="25"/>
        <v>4.9788449451629736E-3</v>
      </c>
      <c r="W74" s="2"/>
      <c r="X74" s="6">
        <f t="shared" si="26"/>
        <v>3102.8199999999997</v>
      </c>
      <c r="Y74" s="2"/>
      <c r="Z74" s="7">
        <f t="shared" si="27"/>
        <v>0.38628322440087143</v>
      </c>
    </row>
    <row r="75" spans="1:26" s="24" customFormat="1" hidden="1" outlineLevel="2" x14ac:dyDescent="0.25">
      <c r="A75" s="27"/>
      <c r="B75" s="11" t="str">
        <f>CONCATENATE("          ", "6008", " - ", "STUDENT HOURLY-FICA EXEMPT")</f>
        <v xml:space="preserve">          6008 - STUDENT HOURLY-FICA EXEMPT</v>
      </c>
      <c r="C75" s="11"/>
      <c r="D75" s="6"/>
      <c r="E75" s="2"/>
      <c r="F75" s="7">
        <f t="shared" si="20"/>
        <v>0</v>
      </c>
      <c r="G75" s="2"/>
      <c r="H75" s="6">
        <v>8345.25</v>
      </c>
      <c r="I75" s="2"/>
      <c r="J75" s="7">
        <f t="shared" si="21"/>
        <v>5.5156972901520161E-3</v>
      </c>
      <c r="K75" s="2"/>
      <c r="L75" s="6">
        <f t="shared" si="22"/>
        <v>-8345.25</v>
      </c>
      <c r="M75" s="2"/>
      <c r="N75" s="7">
        <f t="shared" si="23"/>
        <v>-1</v>
      </c>
      <c r="O75" s="11"/>
      <c r="P75" s="6"/>
      <c r="Q75" s="2"/>
      <c r="R75" s="7">
        <f t="shared" si="24"/>
        <v>0</v>
      </c>
      <c r="S75" s="2"/>
      <c r="T75" s="6">
        <v>8345.25</v>
      </c>
      <c r="U75" s="2"/>
      <c r="V75" s="7">
        <f t="shared" si="25"/>
        <v>5.1726991321034933E-3</v>
      </c>
      <c r="W75" s="2"/>
      <c r="X75" s="6">
        <f t="shared" si="26"/>
        <v>-8345.25</v>
      </c>
      <c r="Y75" s="2"/>
      <c r="Z75" s="7">
        <f t="shared" si="27"/>
        <v>-1</v>
      </c>
    </row>
    <row r="76" spans="1:26" s="24" customFormat="1" hidden="1" outlineLevel="2" x14ac:dyDescent="0.25">
      <c r="A76" s="27"/>
      <c r="B76" s="11" t="str">
        <f>CONCATENATE("          ", "6009", " - ", "TEMPORARY-SEASONAL")</f>
        <v xml:space="preserve">          6009 - TEMPORARY-SEASONAL</v>
      </c>
      <c r="C76" s="11"/>
      <c r="D76" s="6"/>
      <c r="E76" s="2"/>
      <c r="F76" s="7">
        <f t="shared" si="20"/>
        <v>0</v>
      </c>
      <c r="G76" s="2"/>
      <c r="H76" s="6">
        <v>0</v>
      </c>
      <c r="I76" s="2"/>
      <c r="J76" s="7">
        <f t="shared" si="21"/>
        <v>0</v>
      </c>
      <c r="K76" s="2"/>
      <c r="L76" s="6">
        <f t="shared" si="22"/>
        <v>0</v>
      </c>
      <c r="M76" s="2"/>
      <c r="N76" s="7">
        <f t="shared" si="23"/>
        <v>0</v>
      </c>
      <c r="O76" s="11"/>
      <c r="P76" s="6"/>
      <c r="Q76" s="2"/>
      <c r="R76" s="7">
        <f t="shared" si="24"/>
        <v>0</v>
      </c>
      <c r="S76" s="2"/>
      <c r="T76" s="6">
        <v>0</v>
      </c>
      <c r="U76" s="2"/>
      <c r="V76" s="7">
        <f t="shared" si="25"/>
        <v>0</v>
      </c>
      <c r="W76" s="2"/>
      <c r="X76" s="6">
        <f t="shared" si="26"/>
        <v>0</v>
      </c>
      <c r="Y76" s="2"/>
      <c r="Z76" s="7">
        <f t="shared" si="27"/>
        <v>0</v>
      </c>
    </row>
    <row r="77" spans="1:26" s="24" customFormat="1" hidden="1" outlineLevel="2" x14ac:dyDescent="0.25">
      <c r="A77" s="27"/>
      <c r="B77" s="11" t="str">
        <f>CONCATENATE("          ", "6010", " - ", "GRATUITY")</f>
        <v xml:space="preserve">          6010 - GRATUITY</v>
      </c>
      <c r="C77" s="11"/>
      <c r="D77" s="6"/>
      <c r="E77" s="2"/>
      <c r="F77" s="7">
        <f t="shared" si="20"/>
        <v>0</v>
      </c>
      <c r="G77" s="2"/>
      <c r="H77" s="6">
        <v>0</v>
      </c>
      <c r="I77" s="2"/>
      <c r="J77" s="7">
        <f t="shared" si="21"/>
        <v>0</v>
      </c>
      <c r="K77" s="2"/>
      <c r="L77" s="6">
        <f t="shared" si="22"/>
        <v>0</v>
      </c>
      <c r="M77" s="2"/>
      <c r="N77" s="7">
        <f t="shared" si="23"/>
        <v>0</v>
      </c>
      <c r="O77" s="11"/>
      <c r="P77" s="6"/>
      <c r="Q77" s="2"/>
      <c r="R77" s="7">
        <f t="shared" si="24"/>
        <v>0</v>
      </c>
      <c r="S77" s="2"/>
      <c r="T77" s="6">
        <v>0</v>
      </c>
      <c r="U77" s="2"/>
      <c r="V77" s="7">
        <f t="shared" si="25"/>
        <v>0</v>
      </c>
      <c r="W77" s="2"/>
      <c r="X77" s="6">
        <f t="shared" si="26"/>
        <v>0</v>
      </c>
      <c r="Y77" s="2"/>
      <c r="Z77" s="7">
        <f t="shared" si="27"/>
        <v>0</v>
      </c>
    </row>
    <row r="78" spans="1:26" s="26" customFormat="1" outlineLevel="1" collapsed="1" x14ac:dyDescent="0.25">
      <c r="A78" s="25"/>
      <c r="B78" s="13" t="str">
        <f>CONCATENATE("     ","Advertising/Promo                                 ")</f>
        <v xml:space="preserve">     Advertising/Promo                                 </v>
      </c>
      <c r="C78" s="13"/>
      <c r="D78" s="1">
        <f>SUM(OSRRefD22_2x_0)</f>
        <v>2905.19</v>
      </c>
      <c r="E78" s="1"/>
      <c r="F78" s="5">
        <f t="shared" ref="F78:F82" si="28">IF(D$12=0,0,D78/D$12)</f>
        <v>1.9931121724949441E-3</v>
      </c>
      <c r="G78" s="1"/>
      <c r="H78" s="1">
        <f>SUM(OSRRefH22_2x_0)</f>
        <v>1500</v>
      </c>
      <c r="I78" s="1"/>
      <c r="J78" s="5">
        <f t="shared" ref="J78:J82" si="29">IF(H$12=0,0,H78/H$12)</f>
        <v>9.9140779907468612E-4</v>
      </c>
      <c r="K78" s="1"/>
      <c r="L78" s="1">
        <f t="shared" ref="L78:L82" si="30">+D78-H78</f>
        <v>1405.19</v>
      </c>
      <c r="M78" s="1"/>
      <c r="N78" s="5">
        <f t="shared" ref="N78:N82" si="31">IF(H78=0,0,L78/H78)</f>
        <v>0.93679333333333337</v>
      </c>
      <c r="O78" s="13"/>
      <c r="P78" s="1">
        <f>SUM(OSRRefP22_2x_0)</f>
        <v>2996.19</v>
      </c>
      <c r="Q78" s="1"/>
      <c r="R78" s="5">
        <f t="shared" ref="R78:R82" si="32">IF(P$12=0,0,P78/P$12)</f>
        <v>1.9517233920984995E-3</v>
      </c>
      <c r="S78" s="1"/>
      <c r="T78" s="1">
        <f>SUM(OSRRefT22_2x_0)</f>
        <v>1800</v>
      </c>
      <c r="U78" s="1"/>
      <c r="V78" s="5">
        <f t="shared" ref="V78:V82" si="33">IF(T$12=0,0,T78/T$12)</f>
        <v>1.1157075507368009E-3</v>
      </c>
      <c r="W78" s="1"/>
      <c r="X78" s="1">
        <f t="shared" ref="X78:X82" si="34">+P78-T78</f>
        <v>1196.19</v>
      </c>
      <c r="Y78" s="1"/>
      <c r="Z78" s="5">
        <f t="shared" ref="Z78:Z82" si="35">IF(T78=0,0,X78/T78)</f>
        <v>0.66455000000000009</v>
      </c>
    </row>
    <row r="79" spans="1:26" s="24" customFormat="1" hidden="1" outlineLevel="2" x14ac:dyDescent="0.25">
      <c r="A79" s="27"/>
      <c r="B79" s="11" t="str">
        <f>CONCATENATE("          ", "6362", " - ", "ADVERTISING EXPENSE")</f>
        <v xml:space="preserve">          6362 - ADVERTISING EXPENSE</v>
      </c>
      <c r="C79" s="11"/>
      <c r="D79" s="6">
        <v>2905.19</v>
      </c>
      <c r="E79" s="2"/>
      <c r="F79" s="7">
        <f t="shared" si="28"/>
        <v>1.9931121724949441E-3</v>
      </c>
      <c r="G79" s="2"/>
      <c r="H79" s="6">
        <v>1500</v>
      </c>
      <c r="I79" s="2"/>
      <c r="J79" s="7">
        <f t="shared" si="29"/>
        <v>9.9140779907468612E-4</v>
      </c>
      <c r="K79" s="2"/>
      <c r="L79" s="6">
        <f t="shared" si="30"/>
        <v>1405.19</v>
      </c>
      <c r="M79" s="2"/>
      <c r="N79" s="7">
        <f t="shared" si="31"/>
        <v>0.93679333333333337</v>
      </c>
      <c r="O79" s="11"/>
      <c r="P79" s="6">
        <v>2996.19</v>
      </c>
      <c r="Q79" s="2"/>
      <c r="R79" s="7">
        <f t="shared" si="32"/>
        <v>1.9517233920984995E-3</v>
      </c>
      <c r="S79" s="2"/>
      <c r="T79" s="6">
        <v>1800</v>
      </c>
      <c r="U79" s="2"/>
      <c r="V79" s="7">
        <f t="shared" si="33"/>
        <v>1.1157075507368009E-3</v>
      </c>
      <c r="W79" s="2"/>
      <c r="X79" s="6">
        <f t="shared" si="34"/>
        <v>1196.19</v>
      </c>
      <c r="Y79" s="2"/>
      <c r="Z79" s="7">
        <f t="shared" si="35"/>
        <v>0.66455000000000009</v>
      </c>
    </row>
    <row r="80" spans="1:26" s="26" customFormat="1" outlineLevel="1" collapsed="1" x14ac:dyDescent="0.25">
      <c r="A80" s="25"/>
      <c r="B80" s="13" t="str">
        <f>CONCATENATE("     ","Discounts and Markdowns                           ")</f>
        <v xml:space="preserve">     Discounts and Markdowns                           </v>
      </c>
      <c r="C80" s="13"/>
      <c r="D80" s="1">
        <f>SUM(OSRRefD22_3x_0)</f>
        <v>4124.57</v>
      </c>
      <c r="E80" s="1"/>
      <c r="F80" s="5">
        <f t="shared" si="28"/>
        <v>2.829670580343272E-3</v>
      </c>
      <c r="G80" s="1"/>
      <c r="H80" s="1">
        <f>SUM(OSRRefH22_3x_0)</f>
        <v>6425</v>
      </c>
      <c r="I80" s="1"/>
      <c r="J80" s="5">
        <f t="shared" si="29"/>
        <v>4.2465300727032385E-3</v>
      </c>
      <c r="K80" s="1"/>
      <c r="L80" s="1">
        <f t="shared" si="30"/>
        <v>-2300.4300000000003</v>
      </c>
      <c r="M80" s="1"/>
      <c r="N80" s="5">
        <f t="shared" si="31"/>
        <v>-0.358043579766537</v>
      </c>
      <c r="O80" s="13"/>
      <c r="P80" s="1">
        <f>SUM(OSRRefP22_3x_0)</f>
        <v>6633.48</v>
      </c>
      <c r="Q80" s="1"/>
      <c r="R80" s="5">
        <f t="shared" si="32"/>
        <v>4.3210604424344093E-3</v>
      </c>
      <c r="S80" s="1"/>
      <c r="T80" s="1">
        <f>SUM(OSRRefT22_3x_0)</f>
        <v>7850</v>
      </c>
      <c r="U80" s="1"/>
      <c r="V80" s="5">
        <f t="shared" si="33"/>
        <v>4.8657245962688261E-3</v>
      </c>
      <c r="W80" s="1"/>
      <c r="X80" s="1">
        <f t="shared" si="34"/>
        <v>-1216.5200000000004</v>
      </c>
      <c r="Y80" s="1"/>
      <c r="Z80" s="5">
        <f t="shared" si="35"/>
        <v>-0.15497070063694274</v>
      </c>
    </row>
    <row r="81" spans="1:26" s="24" customFormat="1" hidden="1" outlineLevel="2" x14ac:dyDescent="0.25">
      <c r="A81" s="27"/>
      <c r="B81" s="11" t="str">
        <f>CONCATENATE("          ", "6382", " - ", "DISCOUNTS/MARK DOWNS")</f>
        <v xml:space="preserve">          6382 - DISCOUNTS/MARK DOWNS</v>
      </c>
      <c r="C81" s="11"/>
      <c r="D81" s="6">
        <v>4547.3</v>
      </c>
      <c r="E81" s="2"/>
      <c r="F81" s="7">
        <f t="shared" si="28"/>
        <v>3.1196854532702712E-3</v>
      </c>
      <c r="G81" s="2"/>
      <c r="H81" s="6">
        <v>6425</v>
      </c>
      <c r="I81" s="2"/>
      <c r="J81" s="7">
        <f t="shared" si="29"/>
        <v>4.2465300727032385E-3</v>
      </c>
      <c r="K81" s="2"/>
      <c r="L81" s="6">
        <f t="shared" si="30"/>
        <v>-1877.6999999999998</v>
      </c>
      <c r="M81" s="2"/>
      <c r="N81" s="7">
        <f t="shared" si="31"/>
        <v>-0.29224902723735408</v>
      </c>
      <c r="O81" s="11"/>
      <c r="P81" s="6">
        <v>7056.21</v>
      </c>
      <c r="Q81" s="2"/>
      <c r="R81" s="7">
        <f t="shared" si="32"/>
        <v>4.5964275017803787E-3</v>
      </c>
      <c r="S81" s="2"/>
      <c r="T81" s="6">
        <v>7850</v>
      </c>
      <c r="U81" s="2"/>
      <c r="V81" s="7">
        <f t="shared" si="33"/>
        <v>4.8657245962688261E-3</v>
      </c>
      <c r="W81" s="2"/>
      <c r="X81" s="6">
        <f t="shared" si="34"/>
        <v>-793.79</v>
      </c>
      <c r="Y81" s="2"/>
      <c r="Z81" s="7">
        <f t="shared" si="35"/>
        <v>-0.10111974522292994</v>
      </c>
    </row>
    <row r="82" spans="1:26" s="24" customFormat="1" hidden="1" outlineLevel="2" x14ac:dyDescent="0.25">
      <c r="A82" s="27"/>
      <c r="B82" s="11" t="str">
        <f>CONCATENATE("          ", "9175", " - ", "EARNED DISCOUNTS")</f>
        <v xml:space="preserve">          9175 - EARNED DISCOUNTS</v>
      </c>
      <c r="C82" s="11"/>
      <c r="D82" s="6">
        <v>-422.73</v>
      </c>
      <c r="E82" s="2"/>
      <c r="F82" s="7">
        <f t="shared" si="28"/>
        <v>-2.9001487292699881E-4</v>
      </c>
      <c r="G82" s="2"/>
      <c r="H82" s="6"/>
      <c r="I82" s="2"/>
      <c r="J82" s="7">
        <f t="shared" si="29"/>
        <v>0</v>
      </c>
      <c r="K82" s="2"/>
      <c r="L82" s="6">
        <f t="shared" si="30"/>
        <v>-422.73</v>
      </c>
      <c r="M82" s="2"/>
      <c r="N82" s="7">
        <f t="shared" si="31"/>
        <v>0</v>
      </c>
      <c r="O82" s="11"/>
      <c r="P82" s="6">
        <v>-422.73</v>
      </c>
      <c r="Q82" s="2"/>
      <c r="R82" s="7">
        <f t="shared" si="32"/>
        <v>-2.7536705934596894E-4</v>
      </c>
      <c r="S82" s="2"/>
      <c r="T82" s="6"/>
      <c r="U82" s="2"/>
      <c r="V82" s="7">
        <f t="shared" si="33"/>
        <v>0</v>
      </c>
      <c r="W82" s="2"/>
      <c r="X82" s="6">
        <f t="shared" si="34"/>
        <v>-422.73</v>
      </c>
      <c r="Y82" s="2"/>
      <c r="Z82" s="7">
        <f t="shared" si="35"/>
        <v>0</v>
      </c>
    </row>
    <row r="83" spans="1:26" s="26" customFormat="1" outlineLevel="1" collapsed="1" x14ac:dyDescent="0.25">
      <c r="A83" s="25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SUM(OSRRefD22_4x_0)</f>
        <v>0</v>
      </c>
      <c r="E83" s="1"/>
      <c r="F83" s="5">
        <f t="shared" ref="F83:F95" si="36">IF(D$12=0,0,D83/D$12)</f>
        <v>0</v>
      </c>
      <c r="G83" s="1"/>
      <c r="H83" s="1">
        <f>SUM(OSRRefH22_4x_0)</f>
        <v>100</v>
      </c>
      <c r="I83" s="1"/>
      <c r="J83" s="5">
        <f t="shared" ref="J83:J95" si="37">IF(H$12=0,0,H83/H$12)</f>
        <v>6.6093853271645742E-5</v>
      </c>
      <c r="K83" s="1"/>
      <c r="L83" s="1">
        <f t="shared" ref="L83:L95" si="38">+D83-H83</f>
        <v>-100</v>
      </c>
      <c r="M83" s="1"/>
      <c r="N83" s="5">
        <f t="shared" ref="N83:N95" si="39">IF(H83=0,0,L83/H83)</f>
        <v>-1</v>
      </c>
      <c r="O83" s="13"/>
      <c r="P83" s="1">
        <f>SUM(OSRRefP22_4x_0)</f>
        <v>0</v>
      </c>
      <c r="Q83" s="1"/>
      <c r="R83" s="5">
        <f t="shared" ref="R83:R95" si="40">IF(P$12=0,0,P83/P$12)</f>
        <v>0</v>
      </c>
      <c r="S83" s="1"/>
      <c r="T83" s="1">
        <f>SUM(OSRRefT22_4x_0)</f>
        <v>200</v>
      </c>
      <c r="U83" s="1"/>
      <c r="V83" s="5">
        <f t="shared" ref="V83:V95" si="41">IF(T$12=0,0,T83/T$12)</f>
        <v>1.2396750563742231E-4</v>
      </c>
      <c r="W83" s="1"/>
      <c r="X83" s="1">
        <f t="shared" ref="X83:X95" si="42">+P83-T83</f>
        <v>-200</v>
      </c>
      <c r="Y83" s="1"/>
      <c r="Z83" s="5">
        <f t="shared" ref="Z83:Z95" si="43">IF(T83=0,0,X83/T83)</f>
        <v>-1</v>
      </c>
    </row>
    <row r="84" spans="1:26" s="24" customFormat="1" hidden="1" outlineLevel="2" x14ac:dyDescent="0.25">
      <c r="A84" s="27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36"/>
        <v>0</v>
      </c>
      <c r="G84" s="2"/>
      <c r="H84" s="6">
        <v>100</v>
      </c>
      <c r="I84" s="2"/>
      <c r="J84" s="7">
        <f t="shared" si="37"/>
        <v>6.6093853271645742E-5</v>
      </c>
      <c r="K84" s="2"/>
      <c r="L84" s="6">
        <f t="shared" si="38"/>
        <v>-100</v>
      </c>
      <c r="M84" s="2"/>
      <c r="N84" s="7">
        <f t="shared" si="39"/>
        <v>-1</v>
      </c>
      <c r="O84" s="11"/>
      <c r="P84" s="6"/>
      <c r="Q84" s="2"/>
      <c r="R84" s="7">
        <f t="shared" si="40"/>
        <v>0</v>
      </c>
      <c r="S84" s="2"/>
      <c r="T84" s="6">
        <v>200</v>
      </c>
      <c r="U84" s="2"/>
      <c r="V84" s="7">
        <f t="shared" si="41"/>
        <v>1.2396750563742231E-4</v>
      </c>
      <c r="W84" s="2"/>
      <c r="X84" s="6">
        <f t="shared" si="42"/>
        <v>-200</v>
      </c>
      <c r="Y84" s="2"/>
      <c r="Z84" s="7">
        <f t="shared" si="43"/>
        <v>-1</v>
      </c>
    </row>
    <row r="85" spans="1:26" s="26" customFormat="1" outlineLevel="1" collapsed="1" x14ac:dyDescent="0.25">
      <c r="A85" s="25"/>
      <c r="B85" s="13" t="str">
        <f>CONCATENATE("     ","Equipment Rental                                  ")</f>
        <v xml:space="preserve">     Equipment Rental                                  </v>
      </c>
      <c r="C85" s="13"/>
      <c r="D85" s="1">
        <f>SUM(OSRRefD22_5x_0)</f>
        <v>91.26</v>
      </c>
      <c r="E85" s="1"/>
      <c r="F85" s="5">
        <f t="shared" si="36"/>
        <v>6.2609129475830702E-5</v>
      </c>
      <c r="G85" s="1"/>
      <c r="H85" s="1">
        <f>SUM(OSRRefH22_5x_0)</f>
        <v>100</v>
      </c>
      <c r="I85" s="1"/>
      <c r="J85" s="5">
        <f t="shared" si="37"/>
        <v>6.6093853271645742E-5</v>
      </c>
      <c r="K85" s="1"/>
      <c r="L85" s="1">
        <f t="shared" si="38"/>
        <v>-8.7399999999999949</v>
      </c>
      <c r="M85" s="1"/>
      <c r="N85" s="5">
        <f t="shared" si="39"/>
        <v>-8.739999999999995E-2</v>
      </c>
      <c r="O85" s="13"/>
      <c r="P85" s="1">
        <f>SUM(OSRRefP22_5x_0)</f>
        <v>182.52</v>
      </c>
      <c r="Q85" s="1"/>
      <c r="R85" s="5">
        <f t="shared" si="40"/>
        <v>1.1889384636015011E-4</v>
      </c>
      <c r="S85" s="1"/>
      <c r="T85" s="1">
        <f>SUM(OSRRefT22_5x_0)</f>
        <v>200</v>
      </c>
      <c r="U85" s="1"/>
      <c r="V85" s="5">
        <f t="shared" si="41"/>
        <v>1.2396750563742231E-4</v>
      </c>
      <c r="W85" s="1"/>
      <c r="X85" s="1">
        <f t="shared" si="42"/>
        <v>-17.47999999999999</v>
      </c>
      <c r="Y85" s="1"/>
      <c r="Z85" s="5">
        <f t="shared" si="43"/>
        <v>-8.739999999999995E-2</v>
      </c>
    </row>
    <row r="86" spans="1:26" s="24" customFormat="1" hidden="1" outlineLevel="2" x14ac:dyDescent="0.25">
      <c r="A86" s="27"/>
      <c r="B86" s="11" t="str">
        <f>CONCATENATE("          ", "6351", " - ", "EQUIPMENT RENTAL")</f>
        <v xml:space="preserve">          6351 - EQUIPMENT RENTAL</v>
      </c>
      <c r="C86" s="11"/>
      <c r="D86" s="6">
        <v>91.26</v>
      </c>
      <c r="E86" s="2"/>
      <c r="F86" s="7">
        <f t="shared" si="36"/>
        <v>6.2609129475830702E-5</v>
      </c>
      <c r="G86" s="2"/>
      <c r="H86" s="6">
        <v>100</v>
      </c>
      <c r="I86" s="2"/>
      <c r="J86" s="7">
        <f t="shared" si="37"/>
        <v>6.6093853271645742E-5</v>
      </c>
      <c r="K86" s="2"/>
      <c r="L86" s="6">
        <f t="shared" si="38"/>
        <v>-8.7399999999999949</v>
      </c>
      <c r="M86" s="2"/>
      <c r="N86" s="7">
        <f t="shared" si="39"/>
        <v>-8.739999999999995E-2</v>
      </c>
      <c r="O86" s="11"/>
      <c r="P86" s="6">
        <v>182.52</v>
      </c>
      <c r="Q86" s="2"/>
      <c r="R86" s="7">
        <f t="shared" si="40"/>
        <v>1.1889384636015011E-4</v>
      </c>
      <c r="S86" s="2"/>
      <c r="T86" s="6">
        <v>200</v>
      </c>
      <c r="U86" s="2"/>
      <c r="V86" s="7">
        <f t="shared" si="41"/>
        <v>1.2396750563742231E-4</v>
      </c>
      <c r="W86" s="2"/>
      <c r="X86" s="6">
        <f t="shared" si="42"/>
        <v>-17.47999999999999</v>
      </c>
      <c r="Y86" s="2"/>
      <c r="Z86" s="7">
        <f t="shared" si="43"/>
        <v>-8.739999999999995E-2</v>
      </c>
    </row>
    <row r="87" spans="1:26" s="26" customFormat="1" outlineLevel="1" collapsed="1" x14ac:dyDescent="0.25">
      <c r="A87" s="25"/>
      <c r="B87" s="13" t="str">
        <f>CONCATENATE("     ","Freight out/Postage                               ")</f>
        <v xml:space="preserve">     Freight out/Postage                               </v>
      </c>
      <c r="C87" s="13"/>
      <c r="D87" s="1">
        <f>SUM(OSRRefD22_6x_0)</f>
        <v>299.74</v>
      </c>
      <c r="E87" s="1"/>
      <c r="F87" s="5">
        <f t="shared" si="36"/>
        <v>2.0563730516201507E-4</v>
      </c>
      <c r="G87" s="1"/>
      <c r="H87" s="1">
        <f>SUM(OSRRefH22_6x_0)</f>
        <v>1000</v>
      </c>
      <c r="I87" s="1"/>
      <c r="J87" s="5">
        <f t="shared" si="37"/>
        <v>6.6093853271645734E-4</v>
      </c>
      <c r="K87" s="1"/>
      <c r="L87" s="1">
        <f t="shared" si="38"/>
        <v>-700.26</v>
      </c>
      <c r="M87" s="1"/>
      <c r="N87" s="5">
        <f t="shared" si="39"/>
        <v>-0.70025999999999999</v>
      </c>
      <c r="O87" s="13"/>
      <c r="P87" s="1">
        <f>SUM(OSRRefP22_6x_0)</f>
        <v>664.33</v>
      </c>
      <c r="Q87" s="1"/>
      <c r="R87" s="5">
        <f t="shared" si="40"/>
        <v>4.327457207562926E-4</v>
      </c>
      <c r="S87" s="1"/>
      <c r="T87" s="1">
        <f>SUM(OSRRefT22_6x_0)</f>
        <v>1500</v>
      </c>
      <c r="U87" s="1"/>
      <c r="V87" s="5">
        <f t="shared" si="41"/>
        <v>9.2975629228066734E-4</v>
      </c>
      <c r="W87" s="1"/>
      <c r="X87" s="1">
        <f t="shared" si="42"/>
        <v>-835.67</v>
      </c>
      <c r="Y87" s="1"/>
      <c r="Z87" s="5">
        <f t="shared" si="43"/>
        <v>-0.55711333333333335</v>
      </c>
    </row>
    <row r="88" spans="1:26" s="24" customFormat="1" hidden="1" outlineLevel="2" x14ac:dyDescent="0.25">
      <c r="A88" s="27"/>
      <c r="B88" s="11" t="str">
        <f>CONCATENATE("          ", "6305", " - ", "FREIGHT OUT")</f>
        <v xml:space="preserve">          6305 - FREIGHT OUT</v>
      </c>
      <c r="C88" s="11"/>
      <c r="D88" s="6">
        <v>299.74</v>
      </c>
      <c r="E88" s="2"/>
      <c r="F88" s="7">
        <f t="shared" si="36"/>
        <v>2.0563730516201507E-4</v>
      </c>
      <c r="G88" s="2"/>
      <c r="H88" s="6">
        <v>1000</v>
      </c>
      <c r="I88" s="2"/>
      <c r="J88" s="7">
        <f t="shared" si="37"/>
        <v>6.6093853271645734E-4</v>
      </c>
      <c r="K88" s="2"/>
      <c r="L88" s="6">
        <f t="shared" si="38"/>
        <v>-700.26</v>
      </c>
      <c r="M88" s="2"/>
      <c r="N88" s="7">
        <f t="shared" si="39"/>
        <v>-0.70025999999999999</v>
      </c>
      <c r="O88" s="11"/>
      <c r="P88" s="6">
        <v>664.33</v>
      </c>
      <c r="Q88" s="2"/>
      <c r="R88" s="7">
        <f t="shared" si="40"/>
        <v>4.327457207562926E-4</v>
      </c>
      <c r="S88" s="2"/>
      <c r="T88" s="6">
        <v>1500</v>
      </c>
      <c r="U88" s="2"/>
      <c r="V88" s="7">
        <f t="shared" si="41"/>
        <v>9.2975629228066734E-4</v>
      </c>
      <c r="W88" s="2"/>
      <c r="X88" s="6">
        <f t="shared" si="42"/>
        <v>-835.67</v>
      </c>
      <c r="Y88" s="2"/>
      <c r="Z88" s="7">
        <f t="shared" si="43"/>
        <v>-0.55711333333333335</v>
      </c>
    </row>
    <row r="89" spans="1:26" s="26" customFormat="1" outlineLevel="1" collapsed="1" x14ac:dyDescent="0.25">
      <c r="A89" s="25"/>
      <c r="B89" s="13" t="str">
        <f>CONCATENATE("     ","General                                           ")</f>
        <v xml:space="preserve">     General                                           </v>
      </c>
      <c r="C89" s="13"/>
      <c r="D89" s="1">
        <f>SUM(OSRRefD22_7x_0)</f>
        <v>0</v>
      </c>
      <c r="E89" s="1"/>
      <c r="F89" s="5">
        <f t="shared" si="36"/>
        <v>0</v>
      </c>
      <c r="G89" s="1"/>
      <c r="H89" s="1">
        <f>SUM(OSRRefH22_7x_0)</f>
        <v>0</v>
      </c>
      <c r="I89" s="1"/>
      <c r="J89" s="5">
        <f t="shared" si="37"/>
        <v>0</v>
      </c>
      <c r="K89" s="1"/>
      <c r="L89" s="1">
        <f t="shared" si="38"/>
        <v>0</v>
      </c>
      <c r="M89" s="1"/>
      <c r="N89" s="5">
        <f t="shared" si="39"/>
        <v>0</v>
      </c>
      <c r="O89" s="13"/>
      <c r="P89" s="1">
        <f>SUM(OSRRefP22_7x_0)</f>
        <v>7.84</v>
      </c>
      <c r="Q89" s="1"/>
      <c r="R89" s="5">
        <f t="shared" si="40"/>
        <v>5.1069896749045406E-6</v>
      </c>
      <c r="S89" s="1"/>
      <c r="T89" s="1">
        <f>SUM(OSRRefT22_7x_0)</f>
        <v>0</v>
      </c>
      <c r="U89" s="1"/>
      <c r="V89" s="5">
        <f t="shared" si="41"/>
        <v>0</v>
      </c>
      <c r="W89" s="1"/>
      <c r="X89" s="1">
        <f t="shared" si="42"/>
        <v>7.84</v>
      </c>
      <c r="Y89" s="1"/>
      <c r="Z89" s="5">
        <f t="shared" si="43"/>
        <v>0</v>
      </c>
    </row>
    <row r="90" spans="1:26" s="24" customFormat="1" hidden="1" outlineLevel="2" x14ac:dyDescent="0.25">
      <c r="A90" s="27"/>
      <c r="B90" s="11" t="str">
        <f>CONCATENATE("          ", "6279", " - ", "GENERAL EXPENSE")</f>
        <v xml:space="preserve">          6279 - GENERAL EXPENSE</v>
      </c>
      <c r="C90" s="11"/>
      <c r="D90" s="6"/>
      <c r="E90" s="2"/>
      <c r="F90" s="7">
        <f t="shared" si="36"/>
        <v>0</v>
      </c>
      <c r="G90" s="2"/>
      <c r="H90" s="6"/>
      <c r="I90" s="2"/>
      <c r="J90" s="7">
        <f t="shared" si="37"/>
        <v>0</v>
      </c>
      <c r="K90" s="2"/>
      <c r="L90" s="6">
        <f t="shared" si="38"/>
        <v>0</v>
      </c>
      <c r="M90" s="2"/>
      <c r="N90" s="7">
        <f t="shared" si="39"/>
        <v>0</v>
      </c>
      <c r="O90" s="11"/>
      <c r="P90" s="6">
        <v>7.84</v>
      </c>
      <c r="Q90" s="2"/>
      <c r="R90" s="7">
        <f t="shared" si="40"/>
        <v>5.1069896749045406E-6</v>
      </c>
      <c r="S90" s="2"/>
      <c r="T90" s="6"/>
      <c r="U90" s="2"/>
      <c r="V90" s="7">
        <f t="shared" si="41"/>
        <v>0</v>
      </c>
      <c r="W90" s="2"/>
      <c r="X90" s="6">
        <f t="shared" si="42"/>
        <v>7.84</v>
      </c>
      <c r="Y90" s="2"/>
      <c r="Z90" s="7">
        <f t="shared" si="43"/>
        <v>0</v>
      </c>
    </row>
    <row r="91" spans="1:26" s="26" customFormat="1" outlineLevel="1" collapsed="1" x14ac:dyDescent="0.25">
      <c r="A91" s="25"/>
      <c r="B91" s="13" t="str">
        <f>CONCATENATE("     ","Inventory Adjustment                              ")</f>
        <v xml:space="preserve">     Inventory Adjustment                              </v>
      </c>
      <c r="C91" s="13"/>
      <c r="D91" s="1">
        <f>SUM(OSRRefD22_8x_0)</f>
        <v>1000</v>
      </c>
      <c r="E91" s="1"/>
      <c r="F91" s="5">
        <f t="shared" si="36"/>
        <v>6.8605226250088435E-4</v>
      </c>
      <c r="G91" s="1"/>
      <c r="H91" s="1">
        <f>SUM(OSRRefH22_8x_0)</f>
        <v>1000</v>
      </c>
      <c r="I91" s="1"/>
      <c r="J91" s="5">
        <f t="shared" si="37"/>
        <v>6.6093853271645734E-4</v>
      </c>
      <c r="K91" s="1"/>
      <c r="L91" s="1">
        <f t="shared" si="38"/>
        <v>0</v>
      </c>
      <c r="M91" s="1"/>
      <c r="N91" s="5">
        <f t="shared" si="39"/>
        <v>0</v>
      </c>
      <c r="O91" s="13"/>
      <c r="P91" s="1">
        <f>SUM(OSRRefP22_8x_0)</f>
        <v>2000</v>
      </c>
      <c r="Q91" s="1"/>
      <c r="R91" s="5">
        <f t="shared" si="40"/>
        <v>1.3028034884960563E-3</v>
      </c>
      <c r="S91" s="1"/>
      <c r="T91" s="1">
        <f>SUM(OSRRefT22_8x_0)</f>
        <v>2000</v>
      </c>
      <c r="U91" s="1"/>
      <c r="V91" s="5">
        <f t="shared" si="41"/>
        <v>1.2396750563742232E-3</v>
      </c>
      <c r="W91" s="1"/>
      <c r="X91" s="1">
        <f t="shared" si="42"/>
        <v>0</v>
      </c>
      <c r="Y91" s="1"/>
      <c r="Z91" s="5">
        <f t="shared" si="43"/>
        <v>0</v>
      </c>
    </row>
    <row r="92" spans="1:26" s="24" customFormat="1" hidden="1" outlineLevel="2" x14ac:dyDescent="0.25">
      <c r="A92" s="27"/>
      <c r="B92" s="11" t="str">
        <f>CONCATENATE("          ", "6408", " - ", "INVENTORY ADJUSTMENT")</f>
        <v xml:space="preserve">          6408 - INVENTORY ADJUSTMENT</v>
      </c>
      <c r="C92" s="11"/>
      <c r="D92" s="6">
        <v>1000</v>
      </c>
      <c r="E92" s="2"/>
      <c r="F92" s="7">
        <f t="shared" si="36"/>
        <v>6.8605226250088435E-4</v>
      </c>
      <c r="G92" s="2"/>
      <c r="H92" s="6">
        <v>1000</v>
      </c>
      <c r="I92" s="2"/>
      <c r="J92" s="7">
        <f t="shared" si="37"/>
        <v>6.6093853271645734E-4</v>
      </c>
      <c r="K92" s="2"/>
      <c r="L92" s="6">
        <f t="shared" si="38"/>
        <v>0</v>
      </c>
      <c r="M92" s="2"/>
      <c r="N92" s="7">
        <f t="shared" si="39"/>
        <v>0</v>
      </c>
      <c r="O92" s="11"/>
      <c r="P92" s="6">
        <v>2000</v>
      </c>
      <c r="Q92" s="2"/>
      <c r="R92" s="7">
        <f t="shared" si="40"/>
        <v>1.3028034884960563E-3</v>
      </c>
      <c r="S92" s="2"/>
      <c r="T92" s="6">
        <v>2000</v>
      </c>
      <c r="U92" s="2"/>
      <c r="V92" s="7">
        <f t="shared" si="41"/>
        <v>1.2396750563742232E-3</v>
      </c>
      <c r="W92" s="2"/>
      <c r="X92" s="6">
        <f t="shared" si="42"/>
        <v>0</v>
      </c>
      <c r="Y92" s="2"/>
      <c r="Z92" s="7">
        <f t="shared" si="43"/>
        <v>0</v>
      </c>
    </row>
    <row r="93" spans="1:26" s="26" customFormat="1" outlineLevel="1" collapsed="1" x14ac:dyDescent="0.25">
      <c r="A93" s="25"/>
      <c r="B93" s="13" t="str">
        <f>CONCATENATE("     ","Repair and Maintenance                            ")</f>
        <v xml:space="preserve">     Repair and Maintenance                            </v>
      </c>
      <c r="C93" s="13"/>
      <c r="D93" s="1">
        <f>SUM(OSRRefD22_9x_0)</f>
        <v>28.96</v>
      </c>
      <c r="E93" s="1"/>
      <c r="F93" s="5">
        <f t="shared" si="36"/>
        <v>1.9868073522025609E-5</v>
      </c>
      <c r="G93" s="1"/>
      <c r="H93" s="1">
        <f>SUM(OSRRefH22_9x_0)</f>
        <v>140</v>
      </c>
      <c r="I93" s="1"/>
      <c r="J93" s="5">
        <f t="shared" si="37"/>
        <v>9.2531394580304031E-5</v>
      </c>
      <c r="K93" s="1"/>
      <c r="L93" s="1">
        <f t="shared" si="38"/>
        <v>-111.03999999999999</v>
      </c>
      <c r="M93" s="1"/>
      <c r="N93" s="5">
        <f t="shared" si="39"/>
        <v>-0.79314285714285704</v>
      </c>
      <c r="O93" s="13"/>
      <c r="P93" s="1">
        <f>SUM(OSRRefP22_9x_0)</f>
        <v>49.42</v>
      </c>
      <c r="Q93" s="1"/>
      <c r="R93" s="5">
        <f t="shared" si="40"/>
        <v>3.2192274200737554E-5</v>
      </c>
      <c r="S93" s="1"/>
      <c r="T93" s="1">
        <f>SUM(OSRRefT22_9x_0)</f>
        <v>280</v>
      </c>
      <c r="U93" s="1"/>
      <c r="V93" s="5">
        <f t="shared" si="41"/>
        <v>1.7355450789239126E-4</v>
      </c>
      <c r="W93" s="1"/>
      <c r="X93" s="1">
        <f t="shared" si="42"/>
        <v>-230.57999999999998</v>
      </c>
      <c r="Y93" s="1"/>
      <c r="Z93" s="5">
        <f t="shared" si="43"/>
        <v>-0.8234999999999999</v>
      </c>
    </row>
    <row r="94" spans="1:26" s="24" customFormat="1" hidden="1" outlineLevel="2" x14ac:dyDescent="0.25">
      <c r="A94" s="27"/>
      <c r="B94" s="11" t="str">
        <f>CONCATENATE("          ", "6373", " - ", "MAINTENANCE CONTRACTS")</f>
        <v xml:space="preserve">          6373 - MAINTENANCE CONTRACTS</v>
      </c>
      <c r="C94" s="11"/>
      <c r="D94" s="6">
        <v>28.96</v>
      </c>
      <c r="E94" s="2"/>
      <c r="F94" s="7">
        <f t="shared" si="36"/>
        <v>1.9868073522025609E-5</v>
      </c>
      <c r="G94" s="2"/>
      <c r="H94" s="6">
        <v>40</v>
      </c>
      <c r="I94" s="2"/>
      <c r="J94" s="7">
        <f t="shared" si="37"/>
        <v>2.6437541308658295E-5</v>
      </c>
      <c r="K94" s="2"/>
      <c r="L94" s="6">
        <f t="shared" si="38"/>
        <v>-11.04</v>
      </c>
      <c r="M94" s="2"/>
      <c r="N94" s="7">
        <f t="shared" si="39"/>
        <v>-0.27599999999999997</v>
      </c>
      <c r="O94" s="11"/>
      <c r="P94" s="6">
        <v>49.42</v>
      </c>
      <c r="Q94" s="2"/>
      <c r="R94" s="7">
        <f t="shared" si="40"/>
        <v>3.2192274200737554E-5</v>
      </c>
      <c r="S94" s="2"/>
      <c r="T94" s="6">
        <v>80</v>
      </c>
      <c r="U94" s="2"/>
      <c r="V94" s="7">
        <f t="shared" si="41"/>
        <v>4.9587002254968928E-5</v>
      </c>
      <c r="W94" s="2"/>
      <c r="X94" s="6">
        <f t="shared" si="42"/>
        <v>-30.58</v>
      </c>
      <c r="Y94" s="2"/>
      <c r="Z94" s="7">
        <f t="shared" si="43"/>
        <v>-0.38224999999999998</v>
      </c>
    </row>
    <row r="95" spans="1:26" s="24" customFormat="1" hidden="1" outlineLevel="2" x14ac:dyDescent="0.25">
      <c r="A95" s="27"/>
      <c r="B95" s="11" t="str">
        <f>CONCATENATE("          ", "6375", " - ", "OUTSIDE REPAIRS &amp; MAINTENANCE")</f>
        <v xml:space="preserve">          6375 - OUTSIDE REPAIRS &amp; MAINTENANCE</v>
      </c>
      <c r="C95" s="11"/>
      <c r="D95" s="6"/>
      <c r="E95" s="2"/>
      <c r="F95" s="7">
        <f t="shared" si="36"/>
        <v>0</v>
      </c>
      <c r="G95" s="2"/>
      <c r="H95" s="6">
        <v>100</v>
      </c>
      <c r="I95" s="2"/>
      <c r="J95" s="7">
        <f t="shared" si="37"/>
        <v>6.6093853271645742E-5</v>
      </c>
      <c r="K95" s="2"/>
      <c r="L95" s="6">
        <f t="shared" si="38"/>
        <v>-100</v>
      </c>
      <c r="M95" s="2"/>
      <c r="N95" s="7">
        <f t="shared" si="39"/>
        <v>-1</v>
      </c>
      <c r="O95" s="11"/>
      <c r="P95" s="6"/>
      <c r="Q95" s="2"/>
      <c r="R95" s="7">
        <f t="shared" si="40"/>
        <v>0</v>
      </c>
      <c r="S95" s="2"/>
      <c r="T95" s="6">
        <v>200</v>
      </c>
      <c r="U95" s="2"/>
      <c r="V95" s="7">
        <f t="shared" si="41"/>
        <v>1.2396750563742231E-4</v>
      </c>
      <c r="W95" s="2"/>
      <c r="X95" s="6">
        <f t="shared" si="42"/>
        <v>-200</v>
      </c>
      <c r="Y95" s="2"/>
      <c r="Z95" s="7">
        <f t="shared" si="43"/>
        <v>-1</v>
      </c>
    </row>
    <row r="96" spans="1:26" s="26" customFormat="1" outlineLevel="1" collapsed="1" x14ac:dyDescent="0.25">
      <c r="A96" s="25"/>
      <c r="B96" s="13" t="str">
        <f>CONCATENATE("     ","Subscriptions &amp; Dues                              ")</f>
        <v xml:space="preserve">     Subscriptions &amp; Dues                              </v>
      </c>
      <c r="C96" s="13"/>
      <c r="D96" s="1">
        <f>SUM(OSRRefD22_10x_0)</f>
        <v>250</v>
      </c>
      <c r="E96" s="1"/>
      <c r="F96" s="5">
        <f t="shared" ref="F96:F101" si="44">IF(D$12=0,0,D96/D$12)</f>
        <v>1.7151306562522109E-4</v>
      </c>
      <c r="G96" s="1"/>
      <c r="H96" s="1">
        <f>SUM(OSRRefH22_10x_0)</f>
        <v>300</v>
      </c>
      <c r="I96" s="1"/>
      <c r="J96" s="5">
        <f t="shared" ref="J96:J101" si="45">IF(H$12=0,0,H96/H$12)</f>
        <v>1.9828155981493721E-4</v>
      </c>
      <c r="K96" s="1"/>
      <c r="L96" s="1">
        <f t="shared" ref="L96:L101" si="46">+D96-H96</f>
        <v>-50</v>
      </c>
      <c r="M96" s="1"/>
      <c r="N96" s="5">
        <f t="shared" ref="N96:N101" si="47">IF(H96=0,0,L96/H96)</f>
        <v>-0.16666666666666666</v>
      </c>
      <c r="O96" s="13"/>
      <c r="P96" s="1">
        <f>SUM(OSRRefP22_10x_0)</f>
        <v>538.85</v>
      </c>
      <c r="Q96" s="1"/>
      <c r="R96" s="5">
        <f t="shared" ref="R96:R101" si="48">IF(P$12=0,0,P96/P$12)</f>
        <v>3.5100782988805001E-4</v>
      </c>
      <c r="S96" s="1"/>
      <c r="T96" s="1">
        <f>SUM(OSRRefT22_10x_0)</f>
        <v>600</v>
      </c>
      <c r="U96" s="1"/>
      <c r="V96" s="5">
        <f t="shared" ref="V96:V101" si="49">IF(T$12=0,0,T96/T$12)</f>
        <v>3.7190251691226697E-4</v>
      </c>
      <c r="W96" s="1"/>
      <c r="X96" s="1">
        <f t="shared" ref="X96:X101" si="50">+P96-T96</f>
        <v>-61.149999999999977</v>
      </c>
      <c r="Y96" s="1"/>
      <c r="Z96" s="5">
        <f t="shared" ref="Z96:Z101" si="51">IF(T96=0,0,X96/T96)</f>
        <v>-0.10191666666666663</v>
      </c>
    </row>
    <row r="97" spans="1:26" s="24" customFormat="1" hidden="1" outlineLevel="2" x14ac:dyDescent="0.25">
      <c r="A97" s="27"/>
      <c r="B97" s="11" t="str">
        <f>CONCATENATE("          ", "6258", " - ", "MEMBERSHIP DUES")</f>
        <v xml:space="preserve">          6258 - MEMBERSHIP DUES</v>
      </c>
      <c r="C97" s="11"/>
      <c r="D97" s="6">
        <v>250</v>
      </c>
      <c r="E97" s="2"/>
      <c r="F97" s="7">
        <f t="shared" si="44"/>
        <v>1.7151306562522109E-4</v>
      </c>
      <c r="G97" s="2"/>
      <c r="H97" s="6">
        <v>300</v>
      </c>
      <c r="I97" s="2"/>
      <c r="J97" s="7">
        <f t="shared" si="45"/>
        <v>1.9828155981493721E-4</v>
      </c>
      <c r="K97" s="2"/>
      <c r="L97" s="6">
        <f t="shared" si="46"/>
        <v>-50</v>
      </c>
      <c r="M97" s="2"/>
      <c r="N97" s="7">
        <f t="shared" si="47"/>
        <v>-0.16666666666666666</v>
      </c>
      <c r="O97" s="11"/>
      <c r="P97" s="6">
        <v>538.85</v>
      </c>
      <c r="Q97" s="2"/>
      <c r="R97" s="7">
        <f t="shared" si="48"/>
        <v>3.5100782988805001E-4</v>
      </c>
      <c r="S97" s="2"/>
      <c r="T97" s="6">
        <v>600</v>
      </c>
      <c r="U97" s="2"/>
      <c r="V97" s="7">
        <f t="shared" si="49"/>
        <v>3.7190251691226697E-4</v>
      </c>
      <c r="W97" s="2"/>
      <c r="X97" s="6">
        <f t="shared" si="50"/>
        <v>-61.149999999999977</v>
      </c>
      <c r="Y97" s="2"/>
      <c r="Z97" s="7">
        <f t="shared" si="51"/>
        <v>-0.10191666666666663</v>
      </c>
    </row>
    <row r="98" spans="1:26" s="26" customFormat="1" outlineLevel="1" collapsed="1" x14ac:dyDescent="0.25">
      <c r="A98" s="25"/>
      <c r="B98" s="13" t="str">
        <f>CONCATENATE("     ","Supplies                                          ")</f>
        <v xml:space="preserve">     Supplies                                          </v>
      </c>
      <c r="C98" s="13"/>
      <c r="D98" s="1">
        <f>SUM(OSRRefD22_11x_0)</f>
        <v>6921.99</v>
      </c>
      <c r="E98" s="1"/>
      <c r="F98" s="5">
        <f t="shared" si="44"/>
        <v>4.748846900508496E-3</v>
      </c>
      <c r="G98" s="1"/>
      <c r="H98" s="1">
        <f>SUM(OSRRefH22_11x_0)</f>
        <v>2525</v>
      </c>
      <c r="I98" s="1"/>
      <c r="J98" s="5">
        <f t="shared" si="45"/>
        <v>1.6688697951090549E-3</v>
      </c>
      <c r="K98" s="1"/>
      <c r="L98" s="1">
        <f t="shared" si="46"/>
        <v>4396.99</v>
      </c>
      <c r="M98" s="1"/>
      <c r="N98" s="5">
        <f t="shared" si="47"/>
        <v>1.7413821782178216</v>
      </c>
      <c r="O98" s="13"/>
      <c r="P98" s="1">
        <f>SUM(OSRRefP22_11x_0)</f>
        <v>7199.55</v>
      </c>
      <c r="Q98" s="1"/>
      <c r="R98" s="5">
        <f t="shared" si="48"/>
        <v>4.6897994278008916E-3</v>
      </c>
      <c r="S98" s="1"/>
      <c r="T98" s="1">
        <f>SUM(OSRRefT22_11x_0)</f>
        <v>4125</v>
      </c>
      <c r="U98" s="1"/>
      <c r="V98" s="5">
        <f t="shared" si="49"/>
        <v>2.5568298037718352E-3</v>
      </c>
      <c r="W98" s="1"/>
      <c r="X98" s="1">
        <f t="shared" si="50"/>
        <v>3074.55</v>
      </c>
      <c r="Y98" s="1"/>
      <c r="Z98" s="5">
        <f t="shared" si="51"/>
        <v>0.74534545454545464</v>
      </c>
    </row>
    <row r="99" spans="1:26" s="24" customFormat="1" hidden="1" outlineLevel="2" x14ac:dyDescent="0.25">
      <c r="A99" s="27"/>
      <c r="B99" s="11" t="str">
        <f>CONCATENATE("          ", "6241", " - ", "OFFICE EXPENSE")</f>
        <v xml:space="preserve">          6241 - OFFICE EXPENSE</v>
      </c>
      <c r="C99" s="11"/>
      <c r="D99" s="6">
        <v>1943.91</v>
      </c>
      <c r="E99" s="2"/>
      <c r="F99" s="7">
        <f t="shared" si="44"/>
        <v>1.333623853598094E-3</v>
      </c>
      <c r="G99" s="2"/>
      <c r="H99" s="6">
        <v>125</v>
      </c>
      <c r="I99" s="2"/>
      <c r="J99" s="7">
        <f t="shared" si="45"/>
        <v>8.2617316589557167E-5</v>
      </c>
      <c r="K99" s="2"/>
      <c r="L99" s="6">
        <f t="shared" si="46"/>
        <v>1818.91</v>
      </c>
      <c r="M99" s="2"/>
      <c r="N99" s="7">
        <f t="shared" si="47"/>
        <v>14.55128</v>
      </c>
      <c r="O99" s="11"/>
      <c r="P99" s="6">
        <v>2205.08</v>
      </c>
      <c r="Q99" s="2"/>
      <c r="R99" s="7">
        <f t="shared" si="48"/>
        <v>1.4363929582064418E-3</v>
      </c>
      <c r="S99" s="2"/>
      <c r="T99" s="6">
        <v>425</v>
      </c>
      <c r="U99" s="2"/>
      <c r="V99" s="7">
        <f t="shared" si="49"/>
        <v>2.6343094947952245E-4</v>
      </c>
      <c r="W99" s="2"/>
      <c r="X99" s="6">
        <f t="shared" si="50"/>
        <v>1780.08</v>
      </c>
      <c r="Y99" s="2"/>
      <c r="Z99" s="7">
        <f t="shared" si="51"/>
        <v>4.1884235294117644</v>
      </c>
    </row>
    <row r="100" spans="1:26" s="24" customFormat="1" hidden="1" outlineLevel="2" x14ac:dyDescent="0.25">
      <c r="A100" s="27"/>
      <c r="B100" s="11" t="str">
        <f>CONCATENATE("          ", "6245", " - ", "PRINTING")</f>
        <v xml:space="preserve">          6245 - PRINTING</v>
      </c>
      <c r="C100" s="11"/>
      <c r="D100" s="6">
        <v>4978.08</v>
      </c>
      <c r="E100" s="2"/>
      <c r="F100" s="7">
        <f t="shared" si="44"/>
        <v>3.415223046910402E-3</v>
      </c>
      <c r="G100" s="2"/>
      <c r="H100" s="6">
        <v>500</v>
      </c>
      <c r="I100" s="2"/>
      <c r="J100" s="7">
        <f t="shared" si="45"/>
        <v>3.3046926635822867E-4</v>
      </c>
      <c r="K100" s="2"/>
      <c r="L100" s="6">
        <f t="shared" si="46"/>
        <v>4478.08</v>
      </c>
      <c r="M100" s="2"/>
      <c r="N100" s="7">
        <f t="shared" si="47"/>
        <v>8.9561600000000006</v>
      </c>
      <c r="O100" s="11"/>
      <c r="P100" s="6">
        <v>4978.08</v>
      </c>
      <c r="Q100" s="2"/>
      <c r="R100" s="7">
        <f t="shared" si="48"/>
        <v>3.2427299950062239E-3</v>
      </c>
      <c r="S100" s="2"/>
      <c r="T100" s="6">
        <v>600</v>
      </c>
      <c r="U100" s="2"/>
      <c r="V100" s="7">
        <f t="shared" si="49"/>
        <v>3.7190251691226697E-4</v>
      </c>
      <c r="W100" s="2"/>
      <c r="X100" s="6">
        <f t="shared" si="50"/>
        <v>4378.08</v>
      </c>
      <c r="Y100" s="2"/>
      <c r="Z100" s="7">
        <f t="shared" si="51"/>
        <v>7.2968000000000002</v>
      </c>
    </row>
    <row r="101" spans="1:26" s="24" customFormat="1" hidden="1" outlineLevel="2" x14ac:dyDescent="0.25">
      <c r="A101" s="27"/>
      <c r="B101" s="11" t="str">
        <f>CONCATENATE("          ", "6247", " - ", "STORE SUPPLIES")</f>
        <v xml:space="preserve">          6247 - STORE SUPPLIES</v>
      </c>
      <c r="C101" s="11"/>
      <c r="D101" s="6"/>
      <c r="E101" s="2"/>
      <c r="F101" s="7">
        <f t="shared" si="44"/>
        <v>0</v>
      </c>
      <c r="G101" s="2"/>
      <c r="H101" s="6">
        <v>1900</v>
      </c>
      <c r="I101" s="2"/>
      <c r="J101" s="7">
        <f t="shared" si="45"/>
        <v>1.2557832121612689E-3</v>
      </c>
      <c r="K101" s="2"/>
      <c r="L101" s="6">
        <f t="shared" si="46"/>
        <v>-1900</v>
      </c>
      <c r="M101" s="2"/>
      <c r="N101" s="7">
        <f t="shared" si="47"/>
        <v>-1</v>
      </c>
      <c r="O101" s="11"/>
      <c r="P101" s="6">
        <v>16.39</v>
      </c>
      <c r="Q101" s="2"/>
      <c r="R101" s="7">
        <f t="shared" si="48"/>
        <v>1.0676474588225182E-5</v>
      </c>
      <c r="S101" s="2"/>
      <c r="T101" s="6">
        <v>3100</v>
      </c>
      <c r="U101" s="2"/>
      <c r="V101" s="7">
        <f t="shared" si="49"/>
        <v>1.921496337380046E-3</v>
      </c>
      <c r="W101" s="2"/>
      <c r="X101" s="6">
        <f t="shared" si="50"/>
        <v>-3083.61</v>
      </c>
      <c r="Y101" s="2"/>
      <c r="Z101" s="7">
        <f t="shared" si="51"/>
        <v>-0.99471290322580652</v>
      </c>
    </row>
    <row r="102" spans="1:26" s="26" customFormat="1" outlineLevel="1" collapsed="1" x14ac:dyDescent="0.25">
      <c r="A102" s="25"/>
      <c r="B102" s="13" t="str">
        <f>CONCATENATE("     ","Telephone/Data Lines                              ")</f>
        <v xml:space="preserve">     Telephone/Data Lines                              </v>
      </c>
      <c r="C102" s="13"/>
      <c r="D102" s="1">
        <f>SUM(OSRRefD22_12x_0)</f>
        <v>830.15</v>
      </c>
      <c r="E102" s="1"/>
      <c r="F102" s="5">
        <f t="shared" ref="F102:F104" si="52">IF(D$12=0,0,D102/D$12)</f>
        <v>5.6952628571510912E-4</v>
      </c>
      <c r="G102" s="1"/>
      <c r="H102" s="1">
        <f>SUM(OSRRefH22_12x_0)</f>
        <v>1000</v>
      </c>
      <c r="I102" s="1"/>
      <c r="J102" s="5">
        <f t="shared" ref="J102:J104" si="53">IF(H$12=0,0,H102/H$12)</f>
        <v>6.6093853271645734E-4</v>
      </c>
      <c r="K102" s="1"/>
      <c r="L102" s="1">
        <f t="shared" ref="L102:L104" si="54">+D102-H102</f>
        <v>-169.85000000000002</v>
      </c>
      <c r="M102" s="1"/>
      <c r="N102" s="5">
        <f t="shared" ref="N102:N104" si="55">IF(H102=0,0,L102/H102)</f>
        <v>-0.16985000000000003</v>
      </c>
      <c r="O102" s="13"/>
      <c r="P102" s="1">
        <f>SUM(OSRRefP22_12x_0)</f>
        <v>1354.5</v>
      </c>
      <c r="Q102" s="1"/>
      <c r="R102" s="5">
        <f t="shared" ref="R102:R104" si="56">IF(P$12=0,0,P102/P$12)</f>
        <v>8.8232366258395414E-4</v>
      </c>
      <c r="S102" s="1"/>
      <c r="T102" s="1">
        <f>SUM(OSRRefT22_12x_0)</f>
        <v>1600</v>
      </c>
      <c r="U102" s="1"/>
      <c r="V102" s="5">
        <f t="shared" ref="V102:V104" si="57">IF(T$12=0,0,T102/T$12)</f>
        <v>9.9174004509937851E-4</v>
      </c>
      <c r="W102" s="1"/>
      <c r="X102" s="1">
        <f t="shared" ref="X102:X104" si="58">+P102-T102</f>
        <v>-245.5</v>
      </c>
      <c r="Y102" s="1"/>
      <c r="Z102" s="5">
        <f t="shared" ref="Z102:Z104" si="59">IF(T102=0,0,X102/T102)</f>
        <v>-0.1534375</v>
      </c>
    </row>
    <row r="103" spans="1:26" s="24" customFormat="1" hidden="1" outlineLevel="2" x14ac:dyDescent="0.25">
      <c r="A103" s="27"/>
      <c r="B103" s="11" t="str">
        <f>CONCATENATE("          ", "6303", " - ", "DATA PHONE LINES")</f>
        <v xml:space="preserve">          6303 - DATA PHONE LINES</v>
      </c>
      <c r="C103" s="11"/>
      <c r="D103" s="6">
        <v>295</v>
      </c>
      <c r="E103" s="2"/>
      <c r="F103" s="7">
        <f t="shared" si="52"/>
        <v>2.0238541743776087E-4</v>
      </c>
      <c r="G103" s="2"/>
      <c r="H103" s="6">
        <v>300</v>
      </c>
      <c r="I103" s="2"/>
      <c r="J103" s="7">
        <f t="shared" si="53"/>
        <v>1.9828155981493721E-4</v>
      </c>
      <c r="K103" s="2"/>
      <c r="L103" s="6">
        <f t="shared" si="54"/>
        <v>-5</v>
      </c>
      <c r="M103" s="2"/>
      <c r="N103" s="7">
        <f t="shared" si="55"/>
        <v>-1.6666666666666666E-2</v>
      </c>
      <c r="O103" s="11"/>
      <c r="P103" s="6">
        <v>590</v>
      </c>
      <c r="Q103" s="2"/>
      <c r="R103" s="7">
        <f t="shared" si="56"/>
        <v>3.843270291063366E-4</v>
      </c>
      <c r="S103" s="2"/>
      <c r="T103" s="6">
        <v>600</v>
      </c>
      <c r="U103" s="2"/>
      <c r="V103" s="7">
        <f t="shared" si="57"/>
        <v>3.7190251691226697E-4</v>
      </c>
      <c r="W103" s="2"/>
      <c r="X103" s="6">
        <f t="shared" si="58"/>
        <v>-10</v>
      </c>
      <c r="Y103" s="2"/>
      <c r="Z103" s="7">
        <f t="shared" si="59"/>
        <v>-1.6666666666666666E-2</v>
      </c>
    </row>
    <row r="104" spans="1:26" s="24" customFormat="1" hidden="1" outlineLevel="2" x14ac:dyDescent="0.25">
      <c r="A104" s="27"/>
      <c r="B104" s="11" t="str">
        <f>CONCATENATE("          ", "6309", " - ", "TELEPHONE")</f>
        <v xml:space="preserve">          6309 - TELEPHONE</v>
      </c>
      <c r="C104" s="11"/>
      <c r="D104" s="6">
        <v>535.15</v>
      </c>
      <c r="E104" s="2"/>
      <c r="F104" s="7">
        <f t="shared" si="52"/>
        <v>3.671408682773482E-4</v>
      </c>
      <c r="G104" s="2"/>
      <c r="H104" s="6">
        <v>700</v>
      </c>
      <c r="I104" s="2"/>
      <c r="J104" s="7">
        <f t="shared" si="53"/>
        <v>4.6265697290152018E-4</v>
      </c>
      <c r="K104" s="2"/>
      <c r="L104" s="6">
        <f t="shared" si="54"/>
        <v>-164.85000000000002</v>
      </c>
      <c r="M104" s="2"/>
      <c r="N104" s="7">
        <f t="shared" si="55"/>
        <v>-0.23550000000000004</v>
      </c>
      <c r="O104" s="11"/>
      <c r="P104" s="6">
        <v>764.5</v>
      </c>
      <c r="Q104" s="2"/>
      <c r="R104" s="7">
        <f t="shared" si="56"/>
        <v>4.9799663347761748E-4</v>
      </c>
      <c r="S104" s="2"/>
      <c r="T104" s="6">
        <v>1000</v>
      </c>
      <c r="U104" s="2"/>
      <c r="V104" s="7">
        <f t="shared" si="57"/>
        <v>6.198375281871116E-4</v>
      </c>
      <c r="W104" s="2"/>
      <c r="X104" s="6">
        <f t="shared" si="58"/>
        <v>-235.5</v>
      </c>
      <c r="Y104" s="2"/>
      <c r="Z104" s="7">
        <f t="shared" si="59"/>
        <v>-0.23549999999999999</v>
      </c>
    </row>
    <row r="105" spans="1:26" s="26" customFormat="1" outlineLevel="1" collapsed="1" x14ac:dyDescent="0.25">
      <c r="A105" s="25"/>
      <c r="B105" s="13" t="str">
        <f>CONCATENATE("     ","Training                                          ")</f>
        <v xml:space="preserve">     Training                                          </v>
      </c>
      <c r="C105" s="13"/>
      <c r="D105" s="1">
        <f>SUM(OSRRefD22_13x_0)</f>
        <v>30.86</v>
      </c>
      <c r="E105" s="1"/>
      <c r="F105" s="5">
        <f t="shared" ref="F105:F108" si="60">IF(D$12=0,0,D105/D$12)</f>
        <v>2.117157282077729E-5</v>
      </c>
      <c r="G105" s="1"/>
      <c r="H105" s="1">
        <f>SUM(OSRRefH22_13x_0)</f>
        <v>0</v>
      </c>
      <c r="I105" s="1"/>
      <c r="J105" s="5">
        <f t="shared" ref="J105:J108" si="61">IF(H$12=0,0,H105/H$12)</f>
        <v>0</v>
      </c>
      <c r="K105" s="1"/>
      <c r="L105" s="1">
        <f t="shared" ref="L105:L108" si="62">+D105-H105</f>
        <v>30.86</v>
      </c>
      <c r="M105" s="1"/>
      <c r="N105" s="5">
        <f t="shared" ref="N105:N108" si="63">IF(H105=0,0,L105/H105)</f>
        <v>0</v>
      </c>
      <c r="O105" s="13"/>
      <c r="P105" s="1">
        <f>SUM(OSRRefP22_13x_0)</f>
        <v>547.47</v>
      </c>
      <c r="Q105" s="1"/>
      <c r="R105" s="5">
        <f t="shared" ref="R105:R108" si="64">IF(P$12=0,0,P105/P$12)</f>
        <v>3.5662291292346801E-4</v>
      </c>
      <c r="S105" s="1"/>
      <c r="T105" s="1">
        <f>SUM(OSRRefT22_13x_0)</f>
        <v>300</v>
      </c>
      <c r="U105" s="1"/>
      <c r="V105" s="5">
        <f t="shared" ref="V105:V108" si="65">IF(T$12=0,0,T105/T$12)</f>
        <v>1.8595125845613348E-4</v>
      </c>
      <c r="W105" s="1"/>
      <c r="X105" s="1">
        <f t="shared" ref="X105:X108" si="66">+P105-T105</f>
        <v>247.47000000000003</v>
      </c>
      <c r="Y105" s="1"/>
      <c r="Z105" s="5">
        <f t="shared" ref="Z105:Z108" si="67">IF(T105=0,0,X105/T105)</f>
        <v>0.82490000000000008</v>
      </c>
    </row>
    <row r="106" spans="1:26" s="24" customFormat="1" hidden="1" outlineLevel="2" x14ac:dyDescent="0.25">
      <c r="A106" s="27"/>
      <c r="B106" s="11" t="str">
        <f>CONCATENATE("          ", "6376", " - ", "TRAINING")</f>
        <v xml:space="preserve">          6376 - TRAINING</v>
      </c>
      <c r="C106" s="11"/>
      <c r="D106" s="6">
        <v>30.86</v>
      </c>
      <c r="E106" s="2"/>
      <c r="F106" s="7">
        <f t="shared" si="60"/>
        <v>2.117157282077729E-5</v>
      </c>
      <c r="G106" s="2"/>
      <c r="H106" s="6"/>
      <c r="I106" s="2"/>
      <c r="J106" s="7">
        <f t="shared" si="61"/>
        <v>0</v>
      </c>
      <c r="K106" s="2"/>
      <c r="L106" s="6">
        <f t="shared" si="62"/>
        <v>30.86</v>
      </c>
      <c r="M106" s="2"/>
      <c r="N106" s="7">
        <f t="shared" si="63"/>
        <v>0</v>
      </c>
      <c r="O106" s="11"/>
      <c r="P106" s="6">
        <v>547.47</v>
      </c>
      <c r="Q106" s="2"/>
      <c r="R106" s="7">
        <f t="shared" si="64"/>
        <v>3.5662291292346801E-4</v>
      </c>
      <c r="S106" s="2"/>
      <c r="T106" s="6">
        <v>300</v>
      </c>
      <c r="U106" s="2"/>
      <c r="V106" s="7">
        <f t="shared" si="65"/>
        <v>1.8595125845613348E-4</v>
      </c>
      <c r="W106" s="2"/>
      <c r="X106" s="6">
        <f t="shared" si="66"/>
        <v>247.47000000000003</v>
      </c>
      <c r="Y106" s="2"/>
      <c r="Z106" s="7">
        <f t="shared" si="67"/>
        <v>0.82490000000000008</v>
      </c>
    </row>
    <row r="107" spans="1:26" s="26" customFormat="1" outlineLevel="1" collapsed="1" x14ac:dyDescent="0.25">
      <c r="A107" s="25"/>
      <c r="B107" s="13" t="str">
        <f>CONCATENATE("     ","Travel                                            ")</f>
        <v xml:space="preserve">     Travel                                            </v>
      </c>
      <c r="C107" s="13"/>
      <c r="D107" s="1">
        <f>SUM(OSRRefD22_14x_0)</f>
        <v>0</v>
      </c>
      <c r="E107" s="1"/>
      <c r="F107" s="5">
        <f t="shared" si="60"/>
        <v>0</v>
      </c>
      <c r="G107" s="1"/>
      <c r="H107" s="1">
        <f>SUM(OSRRefH22_14x_0)</f>
        <v>0</v>
      </c>
      <c r="I107" s="1"/>
      <c r="J107" s="5">
        <f t="shared" si="61"/>
        <v>0</v>
      </c>
      <c r="K107" s="1"/>
      <c r="L107" s="1">
        <f t="shared" si="62"/>
        <v>0</v>
      </c>
      <c r="M107" s="1"/>
      <c r="N107" s="5">
        <f t="shared" si="63"/>
        <v>0</v>
      </c>
      <c r="O107" s="13"/>
      <c r="P107" s="1">
        <f>SUM(OSRRefP22_14x_0)</f>
        <v>0</v>
      </c>
      <c r="Q107" s="1"/>
      <c r="R107" s="5">
        <f t="shared" si="64"/>
        <v>0</v>
      </c>
      <c r="S107" s="1"/>
      <c r="T107" s="1">
        <f>SUM(OSRRefT22_14x_0)</f>
        <v>450</v>
      </c>
      <c r="U107" s="1"/>
      <c r="V107" s="5">
        <f t="shared" si="65"/>
        <v>2.7892688768420021E-4</v>
      </c>
      <c r="W107" s="1"/>
      <c r="X107" s="1">
        <f t="shared" si="66"/>
        <v>-450</v>
      </c>
      <c r="Y107" s="1"/>
      <c r="Z107" s="5">
        <f t="shared" si="67"/>
        <v>-1</v>
      </c>
    </row>
    <row r="108" spans="1:26" s="24" customFormat="1" hidden="1" outlineLevel="2" x14ac:dyDescent="0.25">
      <c r="A108" s="27"/>
      <c r="B108" s="11" t="str">
        <f>CONCATENATE("          ", "6298", " - ", "VEHICLE MILEAGE")</f>
        <v xml:space="preserve">          6298 - VEHICLE MILEAGE</v>
      </c>
      <c r="C108" s="11"/>
      <c r="D108" s="6"/>
      <c r="E108" s="2"/>
      <c r="F108" s="7">
        <f t="shared" si="60"/>
        <v>0</v>
      </c>
      <c r="G108" s="2"/>
      <c r="H108" s="6"/>
      <c r="I108" s="2"/>
      <c r="J108" s="7">
        <f t="shared" si="61"/>
        <v>0</v>
      </c>
      <c r="K108" s="2"/>
      <c r="L108" s="6">
        <f t="shared" si="62"/>
        <v>0</v>
      </c>
      <c r="M108" s="2"/>
      <c r="N108" s="7">
        <f t="shared" si="63"/>
        <v>0</v>
      </c>
      <c r="O108" s="11"/>
      <c r="P108" s="6"/>
      <c r="Q108" s="2"/>
      <c r="R108" s="7">
        <f t="shared" si="64"/>
        <v>0</v>
      </c>
      <c r="S108" s="2"/>
      <c r="T108" s="6">
        <v>450</v>
      </c>
      <c r="U108" s="2"/>
      <c r="V108" s="7">
        <f t="shared" si="65"/>
        <v>2.7892688768420021E-4</v>
      </c>
      <c r="W108" s="2"/>
      <c r="X108" s="6">
        <f t="shared" si="66"/>
        <v>-450</v>
      </c>
      <c r="Y108" s="2"/>
      <c r="Z108" s="7">
        <f t="shared" si="67"/>
        <v>-1</v>
      </c>
    </row>
    <row r="109" spans="1:26" s="63" customFormat="1" x14ac:dyDescent="0.25">
      <c r="A109" s="36"/>
      <c r="B109" s="36"/>
      <c r="C109" s="36"/>
      <c r="D109" s="1"/>
      <c r="E109" s="1"/>
      <c r="F109" s="5"/>
      <c r="G109" s="1"/>
      <c r="H109" s="1"/>
      <c r="I109" s="1"/>
      <c r="J109" s="5"/>
      <c r="K109" s="1"/>
      <c r="L109" s="1"/>
      <c r="M109" s="1"/>
      <c r="N109" s="5"/>
      <c r="O109" s="36"/>
      <c r="P109" s="1"/>
      <c r="Q109" s="1"/>
      <c r="R109" s="5"/>
      <c r="S109" s="1"/>
      <c r="T109" s="1"/>
      <c r="U109" s="1"/>
      <c r="V109" s="5"/>
      <c r="W109" s="1"/>
      <c r="X109" s="1"/>
      <c r="Y109" s="1"/>
      <c r="Z109" s="5"/>
    </row>
    <row r="110" spans="1:26" s="23" customFormat="1" collapsed="1" x14ac:dyDescent="0.25">
      <c r="A110" s="10"/>
      <c r="B110" s="28" t="s">
        <v>0</v>
      </c>
      <c r="C110" s="10"/>
      <c r="D110" s="4">
        <f>SUM(OSRRefD25x_0)</f>
        <v>1899.3400000000001</v>
      </c>
      <c r="E110" s="4"/>
      <c r="F110" s="12">
        <f t="shared" ref="F110:F113" si="68">IF(D$12=0,0,D110/D$12)</f>
        <v>1.3030465042584297E-3</v>
      </c>
      <c r="G110" s="4"/>
      <c r="H110" s="4">
        <f>SUM(OSRRefH25x_0)</f>
        <v>6000</v>
      </c>
      <c r="I110" s="4"/>
      <c r="J110" s="12">
        <f t="shared" ref="J110:J113" si="69">IF(H$12=0,0,H110/H$12)</f>
        <v>3.9656311962987445E-3</v>
      </c>
      <c r="K110" s="4"/>
      <c r="L110" s="4">
        <f t="shared" ref="L110:L113" si="70">+D110-H110</f>
        <v>-4100.66</v>
      </c>
      <c r="M110" s="4"/>
      <c r="N110" s="12">
        <f t="shared" ref="N110:N113" si="71">IF(H110=0,0,L110/H110)</f>
        <v>-0.68344333333333329</v>
      </c>
      <c r="O110" s="10"/>
      <c r="P110" s="4">
        <f>SUM(OSRRefP25x_0)</f>
        <v>2326.1</v>
      </c>
      <c r="Q110" s="4"/>
      <c r="R110" s="12">
        <f t="shared" ref="R110:R113" si="72">IF(P$12=0,0,P110/P$12)</f>
        <v>1.5152255972953382E-3</v>
      </c>
      <c r="S110" s="4"/>
      <c r="T110" s="4">
        <f>SUM(OSRRefT25x_0)</f>
        <v>7300</v>
      </c>
      <c r="U110" s="4"/>
      <c r="V110" s="12">
        <f t="shared" ref="V110:V113" si="73">IF(T$12=0,0,T110/T$12)</f>
        <v>4.5248139557659143E-3</v>
      </c>
      <c r="W110" s="4"/>
      <c r="X110" s="4">
        <f t="shared" ref="X110:X113" si="74">+P110-T110</f>
        <v>-4973.8999999999996</v>
      </c>
      <c r="Y110" s="4"/>
      <c r="Z110" s="12">
        <f t="shared" ref="Z110:Z113" si="75">IF(T110=0,0,X110/T110)</f>
        <v>-0.68135616438356161</v>
      </c>
    </row>
    <row r="111" spans="1:26" s="24" customFormat="1" hidden="1" outlineLevel="1" x14ac:dyDescent="0.25">
      <c r="A111" s="46"/>
      <c r="B111" s="11" t="str">
        <f>CONCATENATE("          ", "9150", " - ", "MISC. INCOME")</f>
        <v xml:space="preserve">          9150 - MISC. INCOME</v>
      </c>
      <c r="C111" s="11"/>
      <c r="D111" s="2">
        <f>--1891.91</f>
        <v>1891.91</v>
      </c>
      <c r="E111" s="2"/>
      <c r="F111" s="21">
        <f t="shared" si="68"/>
        <v>1.297949135948048E-3</v>
      </c>
      <c r="G111" s="2"/>
      <c r="H111" s="2"/>
      <c r="I111" s="2"/>
      <c r="J111" s="21">
        <f t="shared" si="69"/>
        <v>0</v>
      </c>
      <c r="K111" s="2"/>
      <c r="L111" s="2">
        <f t="shared" si="70"/>
        <v>1891.91</v>
      </c>
      <c r="M111" s="2"/>
      <c r="N111" s="21">
        <f t="shared" si="71"/>
        <v>0</v>
      </c>
      <c r="O111" s="11"/>
      <c r="P111" s="2">
        <f>--2318.67</f>
        <v>2318.67</v>
      </c>
      <c r="Q111" s="2"/>
      <c r="R111" s="21">
        <f t="shared" si="72"/>
        <v>1.5103856823355756E-3</v>
      </c>
      <c r="S111" s="2"/>
      <c r="T111" s="2"/>
      <c r="U111" s="2"/>
      <c r="V111" s="21">
        <f t="shared" si="73"/>
        <v>0</v>
      </c>
      <c r="W111" s="2"/>
      <c r="X111" s="2">
        <f t="shared" si="74"/>
        <v>2318.67</v>
      </c>
      <c r="Y111" s="2"/>
      <c r="Z111" s="21">
        <f t="shared" si="75"/>
        <v>0</v>
      </c>
    </row>
    <row r="112" spans="1:26" s="24" customFormat="1" hidden="1" outlineLevel="1" x14ac:dyDescent="0.25">
      <c r="A112" s="46"/>
      <c r="B112" s="11" t="str">
        <f>CONCATENATE("          ", "9152", " - ", "MISC. INCOME")</f>
        <v xml:space="preserve">          9152 - MISC. INCOME</v>
      </c>
      <c r="C112" s="11"/>
      <c r="D112" s="2">
        <f>--7.43</f>
        <v>7.43</v>
      </c>
      <c r="E112" s="2"/>
      <c r="F112" s="21">
        <f t="shared" si="68"/>
        <v>5.0973683103815698E-6</v>
      </c>
      <c r="G112" s="2"/>
      <c r="H112" s="2"/>
      <c r="I112" s="2"/>
      <c r="J112" s="21">
        <f t="shared" si="69"/>
        <v>0</v>
      </c>
      <c r="K112" s="2"/>
      <c r="L112" s="2">
        <f t="shared" si="70"/>
        <v>7.43</v>
      </c>
      <c r="M112" s="2"/>
      <c r="N112" s="21">
        <f t="shared" si="71"/>
        <v>0</v>
      </c>
      <c r="O112" s="11"/>
      <c r="P112" s="2">
        <f>--7.43</f>
        <v>7.43</v>
      </c>
      <c r="Q112" s="2"/>
      <c r="R112" s="21">
        <f t="shared" si="72"/>
        <v>4.8399149597628495E-6</v>
      </c>
      <c r="S112" s="2"/>
      <c r="T112" s="2"/>
      <c r="U112" s="2"/>
      <c r="V112" s="21">
        <f t="shared" si="73"/>
        <v>0</v>
      </c>
      <c r="W112" s="2"/>
      <c r="X112" s="2">
        <f t="shared" si="74"/>
        <v>7.43</v>
      </c>
      <c r="Y112" s="2"/>
      <c r="Z112" s="21">
        <f t="shared" si="75"/>
        <v>0</v>
      </c>
    </row>
    <row r="113" spans="1:26" s="24" customFormat="1" hidden="1" outlineLevel="1" x14ac:dyDescent="0.25">
      <c r="A113" s="46"/>
      <c r="B113" s="11" t="str">
        <f>CONCATENATE("          ", "9160", " - ", "MISC. INCOME")</f>
        <v xml:space="preserve">          9160 - MISC. INCOME</v>
      </c>
      <c r="C113" s="11"/>
      <c r="D113" s="2">
        <f>0</f>
        <v>0</v>
      </c>
      <c r="E113" s="2"/>
      <c r="F113" s="21">
        <f t="shared" si="68"/>
        <v>0</v>
      </c>
      <c r="G113" s="2"/>
      <c r="H113" s="2">
        <v>6000</v>
      </c>
      <c r="I113" s="2"/>
      <c r="J113" s="21">
        <f t="shared" si="69"/>
        <v>3.9656311962987445E-3</v>
      </c>
      <c r="K113" s="2"/>
      <c r="L113" s="2">
        <f t="shared" si="70"/>
        <v>-6000</v>
      </c>
      <c r="M113" s="2"/>
      <c r="N113" s="21">
        <f t="shared" si="71"/>
        <v>-1</v>
      </c>
      <c r="O113" s="11"/>
      <c r="P113" s="2">
        <f>0</f>
        <v>0</v>
      </c>
      <c r="Q113" s="2"/>
      <c r="R113" s="21">
        <f t="shared" si="72"/>
        <v>0</v>
      </c>
      <c r="S113" s="2"/>
      <c r="T113" s="2">
        <v>7300</v>
      </c>
      <c r="U113" s="2"/>
      <c r="V113" s="21">
        <f t="shared" si="73"/>
        <v>4.5248139557659143E-3</v>
      </c>
      <c r="W113" s="2"/>
      <c r="X113" s="2">
        <f t="shared" si="74"/>
        <v>-7300</v>
      </c>
      <c r="Y113" s="2"/>
      <c r="Z113" s="21">
        <f t="shared" si="75"/>
        <v>-1</v>
      </c>
    </row>
    <row r="114" spans="1:26" x14ac:dyDescent="0.25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10"/>
      <c r="B115" s="29" t="s">
        <v>3</v>
      </c>
      <c r="C115" s="29"/>
      <c r="D115" s="22">
        <f>+D53-D55+D110</f>
        <v>369234.57999999973</v>
      </c>
      <c r="E115" s="14"/>
      <c r="F115" s="20">
        <f>IF(D$12=0,0,D115/D$12)</f>
        <v>0.25331421900256357</v>
      </c>
      <c r="G115" s="14"/>
      <c r="H115" s="22">
        <f>+H53-H55+H110</f>
        <v>370857.42163970211</v>
      </c>
      <c r="I115" s="14"/>
      <c r="J115" s="20">
        <f>IF(H$12=0,0,H115/H$12)</f>
        <v>0.24511396010555328</v>
      </c>
      <c r="K115" s="15"/>
      <c r="L115" s="22">
        <f>+D115-H115</f>
        <v>-1622.841639702383</v>
      </c>
      <c r="M115" s="15"/>
      <c r="N115" s="20">
        <f>IF(H115=0,0,L115/H115)</f>
        <v>-4.3759179269682166E-3</v>
      </c>
      <c r="O115" s="28"/>
      <c r="P115" s="22">
        <f>+P53-P55+P110</f>
        <v>340918.56999999972</v>
      </c>
      <c r="Q115" s="14"/>
      <c r="R115" s="20">
        <f>IF(P$12=0,0,P115/P$12)</f>
        <v>0.22207495114454331</v>
      </c>
      <c r="S115" s="14"/>
      <c r="T115" s="22">
        <f>+T53-T55+T110</f>
        <v>347890.07694832986</v>
      </c>
      <c r="U115" s="14"/>
      <c r="V115" s="20">
        <f>IF(T$12=0,0,T115/T$12)</f>
        <v>0.21563532537647684</v>
      </c>
      <c r="W115" s="15"/>
      <c r="X115" s="22">
        <f>+P115-T115</f>
        <v>-6971.5069483301486</v>
      </c>
      <c r="Y115" s="15"/>
      <c r="Z115" s="20">
        <f>IF(T115=0,0,X115/T115)</f>
        <v>-2.0039395804225788E-2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52"/>
      <c r="B117" s="10" t="s">
        <v>14</v>
      </c>
      <c r="C117" s="10"/>
      <c r="D117" s="4">
        <v>175283.29</v>
      </c>
      <c r="E117" s="4"/>
      <c r="F117" s="12">
        <f>IF(D$12=0,0,D117/D$12)</f>
        <v>0.12025349768309863</v>
      </c>
      <c r="G117" s="4"/>
      <c r="H117" s="4">
        <v>237559</v>
      </c>
      <c r="I117" s="4"/>
      <c r="J117" s="12">
        <f>IF(H$12=0,0,H117/H$12)</f>
        <v>0.15701189689358891</v>
      </c>
      <c r="K117" s="4"/>
      <c r="L117" s="4">
        <f>+D117-H117</f>
        <v>-62275.709999999992</v>
      </c>
      <c r="M117" s="4"/>
      <c r="N117" s="12">
        <f>IF(H117=0,0,L117/H117)</f>
        <v>-0.26214839260983586</v>
      </c>
      <c r="O117" s="10"/>
      <c r="P117" s="4">
        <v>191405.32</v>
      </c>
      <c r="Q117" s="4"/>
      <c r="R117" s="12">
        <f>IF(P$12=0,0,P117/P$12)</f>
        <v>0.124681759306352</v>
      </c>
      <c r="S117" s="4"/>
      <c r="T117" s="4">
        <v>262009</v>
      </c>
      <c r="U117" s="4"/>
      <c r="V117" s="12">
        <f>IF(T$12=0,0,T117/T$12)</f>
        <v>0.16240301092277692</v>
      </c>
      <c r="W117" s="4"/>
      <c r="X117" s="4">
        <f>+P117-T117</f>
        <v>-70603.679999999993</v>
      </c>
      <c r="Y117" s="4"/>
      <c r="Z117" s="12">
        <f>IF(T117=0,0,X117/T117)</f>
        <v>-0.26947043803838799</v>
      </c>
    </row>
    <row r="118" spans="1:26" x14ac:dyDescent="0.25">
      <c r="A118" s="9"/>
      <c r="B118" s="10"/>
      <c r="C118" s="10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O118" s="10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9" t="s">
        <v>4</v>
      </c>
      <c r="C119" s="29"/>
      <c r="D119" s="31">
        <f>+D115-D117</f>
        <v>193951.28999999972</v>
      </c>
      <c r="E119" s="14"/>
      <c r="F119" s="32">
        <f>IF(D$12=0,0,D119/D$12)</f>
        <v>0.13306072131946495</v>
      </c>
      <c r="G119" s="14"/>
      <c r="H119" s="31">
        <f>+H115-H117</f>
        <v>133298.42163970211</v>
      </c>
      <c r="I119" s="14"/>
      <c r="J119" s="32">
        <f>IF(H$12=0,0,H119/H$12)</f>
        <v>8.8102063211964385E-2</v>
      </c>
      <c r="K119" s="15"/>
      <c r="L119" s="31">
        <f>D119-H119</f>
        <v>60652.868360297609</v>
      </c>
      <c r="M119" s="15"/>
      <c r="N119" s="32">
        <f>IF(H119=0,0,L119/H119)</f>
        <v>0.45501565295528246</v>
      </c>
      <c r="O119" s="28"/>
      <c r="P119" s="31">
        <f>+P115-P117</f>
        <v>149513.24999999971</v>
      </c>
      <c r="Q119" s="14"/>
      <c r="R119" s="32">
        <f>IF(P$12=0,0,P119/P$12)</f>
        <v>9.7393191838191312E-2</v>
      </c>
      <c r="S119" s="14"/>
      <c r="T119" s="31">
        <f>+T115-T117</f>
        <v>85881.076948329865</v>
      </c>
      <c r="U119" s="14"/>
      <c r="V119" s="32">
        <f>IF(T$12=0,0,T119/T$12)</f>
        <v>5.3232314453699914E-2</v>
      </c>
      <c r="W119" s="15"/>
      <c r="X119" s="31">
        <f>P119-T119</f>
        <v>63632.173051669844</v>
      </c>
      <c r="Y119" s="15"/>
      <c r="Z119" s="32">
        <f>IF(T119=0,0,X119/T119)</f>
        <v>0.74093357131459803</v>
      </c>
    </row>
    <row r="120" spans="1:26" ht="15.75" thickTop="1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x14ac:dyDescent="0.25">
      <c r="A121" s="9"/>
      <c r="B121" s="9"/>
      <c r="C121" s="9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9" t="s">
        <v>5</v>
      </c>
      <c r="C122" s="29"/>
      <c r="D122" s="33">
        <f>SUM(D119:D121)</f>
        <v>193951.28999999972</v>
      </c>
      <c r="E122" s="14"/>
      <c r="F122" s="35">
        <f>IF(D$12=0,0,D122/D$12)</f>
        <v>0.13306072131946495</v>
      </c>
      <c r="G122" s="14"/>
      <c r="H122" s="33">
        <f>SUM(H119:H121)</f>
        <v>133298.42163970211</v>
      </c>
      <c r="I122" s="14"/>
      <c r="J122" s="35">
        <f>IF(H$12=0,0,H122/H$12)</f>
        <v>8.8102063211964385E-2</v>
      </c>
      <c r="K122" s="15"/>
      <c r="L122" s="33">
        <f>+D122-H122</f>
        <v>60652.868360297609</v>
      </c>
      <c r="M122" s="15"/>
      <c r="N122" s="35">
        <f>IF(H122=0,0,L122/H122)</f>
        <v>0.45501565295528246</v>
      </c>
      <c r="O122" s="28"/>
      <c r="P122" s="33">
        <f>SUM(P119:P121)</f>
        <v>149513.24999999971</v>
      </c>
      <c r="Q122" s="14"/>
      <c r="R122" s="35">
        <f>IF(P$12=0,0,P122/P$12)</f>
        <v>9.7393191838191312E-2</v>
      </c>
      <c r="S122" s="14"/>
      <c r="T122" s="33">
        <f>SUM(T119:T121)</f>
        <v>85881.076948329865</v>
      </c>
      <c r="U122" s="14"/>
      <c r="V122" s="35">
        <f>IF(T$12=0,0,T122/T$12)</f>
        <v>5.3232314453699914E-2</v>
      </c>
      <c r="W122" s="15"/>
      <c r="X122" s="33">
        <f>+P122-T122</f>
        <v>63632.173051669844</v>
      </c>
      <c r="Y122" s="15"/>
      <c r="Z122" s="35">
        <f>IF(T122=0,0,X122/T122)</f>
        <v>0.74093357131459803</v>
      </c>
    </row>
    <row r="123" spans="1:26" ht="15.75" thickTop="1" x14ac:dyDescent="0.25">
      <c r="A123" s="9"/>
      <c r="C123" s="9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A124" s="9"/>
      <c r="B124" s="61">
        <v>43732.705977662037</v>
      </c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25">
      <c r="A125" s="9"/>
      <c r="B125" s="62" t="s">
        <v>314</v>
      </c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25">
      <c r="A126" s="9"/>
      <c r="B126" s="58"/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  <row r="127" spans="1:26" x14ac:dyDescent="0.25">
      <c r="D127" s="17"/>
      <c r="E127" s="17"/>
      <c r="G127" s="17"/>
      <c r="H127" s="17"/>
      <c r="I127" s="17"/>
      <c r="J127" s="42"/>
      <c r="K127" s="17"/>
      <c r="L127" s="17"/>
      <c r="M127" s="17"/>
      <c r="P127" s="17"/>
      <c r="Q127" s="17"/>
      <c r="R127" s="42"/>
      <c r="S127" s="17"/>
      <c r="T127" s="17"/>
      <c r="U127" s="17"/>
      <c r="V127" s="42"/>
      <c r="W127" s="17"/>
      <c r="X127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","312", " - ", "General Books")</f>
        <v>Department 312 - General Books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SUM(0)</f>
        <v>0</v>
      </c>
      <c r="E18" s="19"/>
      <c r="F18" s="34">
        <f>IF(D$12=0,0,D18/D$12)</f>
        <v>0</v>
      </c>
      <c r="G18" s="19"/>
      <c r="H18" s="19">
        <f>SUM(0)</f>
        <v>0</v>
      </c>
      <c r="I18" s="19"/>
      <c r="J18" s="34">
        <f>IF(H$12=0,0,H18/H$12)</f>
        <v>0</v>
      </c>
      <c r="K18" s="4"/>
      <c r="L18" s="19">
        <f>+D18-H18</f>
        <v>0</v>
      </c>
      <c r="M18" s="4"/>
      <c r="N18" s="34">
        <f>IF(H18=0,0,L18/H18)</f>
        <v>0</v>
      </c>
      <c r="O18" s="10"/>
      <c r="P18" s="19">
        <f>SUM(0)</f>
        <v>0</v>
      </c>
      <c r="Q18" s="19"/>
      <c r="R18" s="34">
        <f>IF(P$12=0,0,P18/P$12)</f>
        <v>0</v>
      </c>
      <c r="S18" s="19"/>
      <c r="T18" s="19">
        <f>SUM(0)</f>
        <v>0</v>
      </c>
      <c r="U18" s="19"/>
      <c r="V18" s="34">
        <f>IF(T$12=0,0,T18/T$12)</f>
        <v>0</v>
      </c>
      <c r="W18" s="4"/>
      <c r="X18" s="19">
        <f>+P18-T18</f>
        <v>0</v>
      </c>
      <c r="Y18" s="4"/>
      <c r="Z18" s="34">
        <f>IF(T18=0,0,X18/T18)</f>
        <v>0</v>
      </c>
    </row>
    <row r="19" spans="1:26" s="6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5"/>
      <c r="L26" s="31">
        <f>D26-H26</f>
        <v>0</v>
      </c>
      <c r="M26" s="15"/>
      <c r="N26" s="32">
        <f>IF(H26=0,0,L26/H26)</f>
        <v>0</v>
      </c>
      <c r="O26" s="28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5"/>
      <c r="X26" s="31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3">
        <f>SUM(D26:D28)</f>
        <v>0</v>
      </c>
      <c r="E29" s="14"/>
      <c r="F29" s="35">
        <f>IF(D$12=0,0,D29/D$12)</f>
        <v>0</v>
      </c>
      <c r="G29" s="14"/>
      <c r="H29" s="33">
        <f>SUM(H26:H28)</f>
        <v>0</v>
      </c>
      <c r="I29" s="14"/>
      <c r="J29" s="35">
        <f>IF(H$12=0,0,H29/H$12)</f>
        <v>0</v>
      </c>
      <c r="K29" s="15"/>
      <c r="L29" s="33">
        <f>+D29-H29</f>
        <v>0</v>
      </c>
      <c r="M29" s="15"/>
      <c r="N29" s="35">
        <f>IF(H29=0,0,L29/H29)</f>
        <v>0</v>
      </c>
      <c r="O29" s="28"/>
      <c r="P29" s="33">
        <f>SUM(P26:P28)</f>
        <v>0</v>
      </c>
      <c r="Q29" s="14"/>
      <c r="R29" s="35">
        <f>IF(P$12=0,0,P29/P$12)</f>
        <v>0</v>
      </c>
      <c r="S29" s="14"/>
      <c r="T29" s="33">
        <f>SUM(T26:T28)</f>
        <v>0</v>
      </c>
      <c r="U29" s="14"/>
      <c r="V29" s="35">
        <f>IF(T$12=0,0,T29/T$12)</f>
        <v>0</v>
      </c>
      <c r="W29" s="15"/>
      <c r="X29" s="33">
        <f>+P29-T29</f>
        <v>0</v>
      </c>
      <c r="Y29" s="15"/>
      <c r="Z29" s="35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2"/>
      <c r="K30" s="17"/>
      <c r="L30" s="17"/>
      <c r="M30" s="17"/>
      <c r="P30" s="17"/>
      <c r="Q30" s="17"/>
      <c r="R30" s="42"/>
      <c r="S30" s="17"/>
      <c r="T30" s="17"/>
      <c r="U30" s="17"/>
      <c r="V30" s="42"/>
      <c r="W30" s="17"/>
      <c r="X30" s="17"/>
    </row>
    <row r="31" spans="1:26" x14ac:dyDescent="0.25">
      <c r="A31" s="9"/>
      <c r="B31" s="61">
        <v>43732.705996145836</v>
      </c>
      <c r="D31" s="17"/>
      <c r="E31" s="17"/>
      <c r="G31" s="17"/>
      <c r="H31" s="17"/>
      <c r="I31" s="17"/>
      <c r="J31" s="42"/>
      <c r="K31" s="17"/>
      <c r="L31" s="17"/>
      <c r="M31" s="17"/>
      <c r="P31" s="17"/>
      <c r="Q31" s="17"/>
      <c r="R31" s="42"/>
      <c r="S31" s="17"/>
      <c r="T31" s="17"/>
      <c r="U31" s="17"/>
      <c r="V31" s="42"/>
      <c r="W31" s="17"/>
      <c r="X31" s="17"/>
    </row>
    <row r="32" spans="1:26" x14ac:dyDescent="0.25">
      <c r="A32" s="9"/>
      <c r="B32" s="62" t="s">
        <v>314</v>
      </c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8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304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322624.52999999991</v>
      </c>
      <c r="E12" s="4"/>
      <c r="F12" s="12"/>
      <c r="G12" s="4"/>
      <c r="H12" s="4">
        <f>SUM(OSRRefH13x_0)</f>
        <v>300874.02064</v>
      </c>
      <c r="I12" s="4"/>
      <c r="J12" s="12"/>
      <c r="K12" s="4"/>
      <c r="L12" s="4">
        <f t="shared" ref="L12:L37" si="0">+D12-H12</f>
        <v>21750.509359999909</v>
      </c>
      <c r="M12" s="4"/>
      <c r="N12" s="12">
        <f t="shared" ref="N12:N37" si="1">IF(H12=0,0,L12/H12)</f>
        <v>7.229108486579737E-2</v>
      </c>
      <c r="O12" s="10"/>
      <c r="P12" s="4">
        <f>SUM(OSRRefP13x_0)</f>
        <v>554751.84</v>
      </c>
      <c r="Q12" s="4"/>
      <c r="R12" s="12"/>
      <c r="S12" s="4"/>
      <c r="T12" s="4">
        <f>SUM(OSRRefT13x_0)</f>
        <v>531024.43645000004</v>
      </c>
      <c r="U12" s="4"/>
      <c r="V12" s="12"/>
      <c r="W12" s="4"/>
      <c r="X12" s="4">
        <f t="shared" ref="X12:X37" si="2">+P12-T12</f>
        <v>23727.40354999993</v>
      </c>
      <c r="Y12" s="4"/>
      <c r="Z12" s="12">
        <f t="shared" ref="Z12:Z37" si="3">IF(T12=0,0,X12/T12)</f>
        <v>4.4682319534336615E-2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300874.02064</v>
      </c>
      <c r="I13" s="2"/>
      <c r="J13" s="21"/>
      <c r="K13" s="2"/>
      <c r="L13" s="2">
        <f t="shared" si="0"/>
        <v>-300874.02064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531024.43645000004</v>
      </c>
      <c r="U13" s="2"/>
      <c r="V13" s="21"/>
      <c r="W13" s="2"/>
      <c r="X13" s="2">
        <f t="shared" si="2"/>
        <v>-531024.43645000004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--26</f>
        <v>26</v>
      </c>
      <c r="E14" s="2"/>
      <c r="F14" s="21"/>
      <c r="G14" s="2"/>
      <c r="H14" s="2"/>
      <c r="I14" s="2"/>
      <c r="J14" s="21"/>
      <c r="K14" s="2"/>
      <c r="L14" s="2">
        <f t="shared" si="0"/>
        <v>26</v>
      </c>
      <c r="M14" s="2"/>
      <c r="N14" s="21">
        <f t="shared" si="1"/>
        <v>0</v>
      </c>
      <c r="O14" s="11"/>
      <c r="P14" s="2">
        <f>--64.56</f>
        <v>64.56</v>
      </c>
      <c r="Q14" s="2"/>
      <c r="R14" s="21"/>
      <c r="S14" s="2"/>
      <c r="T14" s="2"/>
      <c r="U14" s="2"/>
      <c r="V14" s="21"/>
      <c r="W14" s="2"/>
      <c r="X14" s="2">
        <f t="shared" si="2"/>
        <v>64.56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--40.43</f>
        <v>40.43</v>
      </c>
      <c r="E15" s="2"/>
      <c r="F15" s="21"/>
      <c r="G15" s="2"/>
      <c r="H15" s="2"/>
      <c r="I15" s="2"/>
      <c r="J15" s="21"/>
      <c r="K15" s="2"/>
      <c r="L15" s="2">
        <f t="shared" si="0"/>
        <v>40.43</v>
      </c>
      <c r="M15" s="2"/>
      <c r="N15" s="21">
        <f t="shared" si="1"/>
        <v>0</v>
      </c>
      <c r="O15" s="11"/>
      <c r="P15" s="2">
        <f>--40.43</f>
        <v>40.43</v>
      </c>
      <c r="Q15" s="2"/>
      <c r="R15" s="21"/>
      <c r="S15" s="2"/>
      <c r="T15" s="2"/>
      <c r="U15" s="2"/>
      <c r="V15" s="21"/>
      <c r="W15" s="2"/>
      <c r="X15" s="2">
        <f t="shared" si="2"/>
        <v>40.43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"4040", " - ", "TAXABLE SALES-LOGO CLOTHING")</f>
        <v xml:space="preserve">          4040 - TAXABLE SALES-LOGO CLOTHING</v>
      </c>
      <c r="C16" s="11"/>
      <c r="D16" s="2">
        <f>--219441.66</f>
        <v>219441.66</v>
      </c>
      <c r="E16" s="2"/>
      <c r="F16" s="21"/>
      <c r="G16" s="2"/>
      <c r="H16" s="2"/>
      <c r="I16" s="2"/>
      <c r="J16" s="21"/>
      <c r="K16" s="2"/>
      <c r="L16" s="2">
        <f t="shared" si="0"/>
        <v>219441.66</v>
      </c>
      <c r="M16" s="2"/>
      <c r="N16" s="21">
        <f t="shared" si="1"/>
        <v>0</v>
      </c>
      <c r="O16" s="11"/>
      <c r="P16" s="2">
        <f>--389753.68</f>
        <v>389753.68</v>
      </c>
      <c r="Q16" s="2"/>
      <c r="R16" s="21"/>
      <c r="S16" s="2"/>
      <c r="T16" s="2"/>
      <c r="U16" s="2"/>
      <c r="V16" s="21"/>
      <c r="W16" s="2"/>
      <c r="X16" s="2">
        <f t="shared" si="2"/>
        <v>389753.68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"4041", " - ", "TAXABLE SALES-LOGO GIFTS")</f>
        <v xml:space="preserve">          4041 - TAXABLE SALES-LOGO GIFTS</v>
      </c>
      <c r="C17" s="11"/>
      <c r="D17" s="2">
        <f>--46746.72</f>
        <v>46746.720000000001</v>
      </c>
      <c r="E17" s="2"/>
      <c r="F17" s="21"/>
      <c r="G17" s="2"/>
      <c r="H17" s="2"/>
      <c r="I17" s="2"/>
      <c r="J17" s="21"/>
      <c r="K17" s="2"/>
      <c r="L17" s="2">
        <f t="shared" si="0"/>
        <v>46746.720000000001</v>
      </c>
      <c r="M17" s="2"/>
      <c r="N17" s="21">
        <f t="shared" si="1"/>
        <v>0</v>
      </c>
      <c r="O17" s="11"/>
      <c r="P17" s="2">
        <f>--77324.61</f>
        <v>77324.61</v>
      </c>
      <c r="Q17" s="2"/>
      <c r="R17" s="21"/>
      <c r="S17" s="2"/>
      <c r="T17" s="2"/>
      <c r="U17" s="2"/>
      <c r="V17" s="21"/>
      <c r="W17" s="2"/>
      <c r="X17" s="2">
        <f t="shared" si="2"/>
        <v>77324.61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--36428.85</f>
        <v>36428.85</v>
      </c>
      <c r="E18" s="2"/>
      <c r="F18" s="21"/>
      <c r="G18" s="2"/>
      <c r="H18" s="2"/>
      <c r="I18" s="2"/>
      <c r="J18" s="21"/>
      <c r="K18" s="2"/>
      <c r="L18" s="2">
        <f t="shared" si="0"/>
        <v>36428.85</v>
      </c>
      <c r="M18" s="2"/>
      <c r="N18" s="21">
        <f t="shared" si="1"/>
        <v>0</v>
      </c>
      <c r="O18" s="11"/>
      <c r="P18" s="2">
        <f>--47961.98</f>
        <v>47961.98</v>
      </c>
      <c r="Q18" s="2"/>
      <c r="R18" s="21"/>
      <c r="S18" s="2"/>
      <c r="T18" s="2"/>
      <c r="U18" s="2"/>
      <c r="V18" s="21"/>
      <c r="W18" s="2"/>
      <c r="X18" s="2">
        <f t="shared" si="2"/>
        <v>47961.98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"4043", " - ", "TAXABLE SALES-CARDS")</f>
        <v xml:space="preserve">          4043 - TAXABLE SALES-CARDS</v>
      </c>
      <c r="C19" s="11"/>
      <c r="D19" s="2">
        <f>--67.34</f>
        <v>67.34</v>
      </c>
      <c r="E19" s="2"/>
      <c r="F19" s="21"/>
      <c r="G19" s="2"/>
      <c r="H19" s="2"/>
      <c r="I19" s="2"/>
      <c r="J19" s="21"/>
      <c r="K19" s="2"/>
      <c r="L19" s="2">
        <f t="shared" si="0"/>
        <v>67.34</v>
      </c>
      <c r="M19" s="2"/>
      <c r="N19" s="21">
        <f t="shared" si="1"/>
        <v>0</v>
      </c>
      <c r="O19" s="11"/>
      <c r="P19" s="2">
        <f>--108.19</f>
        <v>108.19</v>
      </c>
      <c r="Q19" s="2"/>
      <c r="R19" s="21"/>
      <c r="S19" s="2"/>
      <c r="T19" s="2"/>
      <c r="U19" s="2"/>
      <c r="V19" s="21"/>
      <c r="W19" s="2"/>
      <c r="X19" s="2">
        <f t="shared" si="2"/>
        <v>108.19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"4044", " - ", "TAXABLE SALES-ACCESSORIES")</f>
        <v xml:space="preserve">          4044 - TAXABLE SALES-ACCESSORIES</v>
      </c>
      <c r="C20" s="11"/>
      <c r="D20" s="2">
        <f>--19434.42</f>
        <v>19434.419999999998</v>
      </c>
      <c r="E20" s="2"/>
      <c r="F20" s="21"/>
      <c r="G20" s="2"/>
      <c r="H20" s="2"/>
      <c r="I20" s="2"/>
      <c r="J20" s="21"/>
      <c r="K20" s="2"/>
      <c r="L20" s="2">
        <f t="shared" si="0"/>
        <v>19434.419999999998</v>
      </c>
      <c r="M20" s="2"/>
      <c r="N20" s="21">
        <f t="shared" si="1"/>
        <v>0</v>
      </c>
      <c r="O20" s="11"/>
      <c r="P20" s="2">
        <f>--21777.07</f>
        <v>21777.07</v>
      </c>
      <c r="Q20" s="2"/>
      <c r="R20" s="21"/>
      <c r="S20" s="2"/>
      <c r="T20" s="2"/>
      <c r="U20" s="2"/>
      <c r="V20" s="21"/>
      <c r="W20" s="2"/>
      <c r="X20" s="2">
        <f t="shared" si="2"/>
        <v>21777.07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--6103.32</f>
        <v>6103.32</v>
      </c>
      <c r="E21" s="2"/>
      <c r="F21" s="21"/>
      <c r="G21" s="2"/>
      <c r="H21" s="2"/>
      <c r="I21" s="2"/>
      <c r="J21" s="21"/>
      <c r="K21" s="2"/>
      <c r="L21" s="2">
        <f t="shared" si="0"/>
        <v>6103.32</v>
      </c>
      <c r="M21" s="2"/>
      <c r="N21" s="21">
        <f t="shared" si="1"/>
        <v>0</v>
      </c>
      <c r="O21" s="11"/>
      <c r="P21" s="2">
        <f>--25524.04</f>
        <v>25524.04</v>
      </c>
      <c r="Q21" s="2"/>
      <c r="R21" s="21"/>
      <c r="S21" s="2"/>
      <c r="T21" s="2"/>
      <c r="U21" s="2"/>
      <c r="V21" s="21"/>
      <c r="W21" s="2"/>
      <c r="X21" s="2">
        <f t="shared" si="2"/>
        <v>25524.04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"4092", " - ", "TAXABLE SALES-GRAD MERCH")</f>
        <v xml:space="preserve">          4092 - TAXABLE SALES-GRAD MERCH</v>
      </c>
      <c r="C22" s="11"/>
      <c r="D22" s="2">
        <f>-39.95</f>
        <v>-39.950000000000003</v>
      </c>
      <c r="E22" s="2"/>
      <c r="F22" s="21"/>
      <c r="G22" s="2"/>
      <c r="H22" s="2"/>
      <c r="I22" s="2"/>
      <c r="J22" s="21"/>
      <c r="K22" s="2"/>
      <c r="L22" s="2">
        <f t="shared" si="0"/>
        <v>-39.950000000000003</v>
      </c>
      <c r="M22" s="2"/>
      <c r="N22" s="21">
        <f t="shared" si="1"/>
        <v>0</v>
      </c>
      <c r="O22" s="11"/>
      <c r="P22" s="2">
        <f>-39.95</f>
        <v>-39.950000000000003</v>
      </c>
      <c r="Q22" s="2"/>
      <c r="R22" s="21"/>
      <c r="S22" s="2"/>
      <c r="T22" s="2"/>
      <c r="U22" s="2"/>
      <c r="V22" s="21"/>
      <c r="W22" s="2"/>
      <c r="X22" s="2">
        <f t="shared" si="2"/>
        <v>-39.950000000000003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"4095", " - ", "TAXABLE SALES-CUSTOMER SERVICE")</f>
        <v xml:space="preserve">          4095 - TAXABLE SALES-CUSTOMER SERVICE</v>
      </c>
      <c r="C23" s="11"/>
      <c r="D23" s="2">
        <f>--5.94</f>
        <v>5.94</v>
      </c>
      <c r="E23" s="2"/>
      <c r="F23" s="21"/>
      <c r="G23" s="2"/>
      <c r="H23" s="2"/>
      <c r="I23" s="2"/>
      <c r="J23" s="21"/>
      <c r="K23" s="2"/>
      <c r="L23" s="2">
        <f t="shared" si="0"/>
        <v>5.94</v>
      </c>
      <c r="M23" s="2"/>
      <c r="N23" s="21">
        <f t="shared" si="1"/>
        <v>0</v>
      </c>
      <c r="O23" s="11"/>
      <c r="P23" s="2">
        <f>--16.83</f>
        <v>16.829999999999998</v>
      </c>
      <c r="Q23" s="2"/>
      <c r="R23" s="21"/>
      <c r="S23" s="2"/>
      <c r="T23" s="2"/>
      <c r="U23" s="2"/>
      <c r="V23" s="21"/>
      <c r="W23" s="2"/>
      <c r="X23" s="2">
        <f t="shared" si="2"/>
        <v>16.829999999999998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"4137", " - ", "NON-TAXABLE SALES-WATER")</f>
        <v xml:space="preserve">          4137 - NON-TAXABLE SALES-WATER</v>
      </c>
      <c r="C24" s="11"/>
      <c r="D24" s="2">
        <f>--31.5</f>
        <v>31.5</v>
      </c>
      <c r="E24" s="2"/>
      <c r="F24" s="21"/>
      <c r="G24" s="2"/>
      <c r="H24" s="2"/>
      <c r="I24" s="2"/>
      <c r="J24" s="21"/>
      <c r="K24" s="2"/>
      <c r="L24" s="2">
        <f t="shared" si="0"/>
        <v>31.5</v>
      </c>
      <c r="M24" s="2"/>
      <c r="N24" s="21">
        <f t="shared" si="1"/>
        <v>0</v>
      </c>
      <c r="O24" s="11"/>
      <c r="P24" s="2">
        <f>--54</f>
        <v>54</v>
      </c>
      <c r="Q24" s="2"/>
      <c r="R24" s="21"/>
      <c r="S24" s="2"/>
      <c r="T24" s="2"/>
      <c r="U24" s="2"/>
      <c r="V24" s="21"/>
      <c r="W24" s="2"/>
      <c r="X24" s="2">
        <f t="shared" si="2"/>
        <v>54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>--1979.29</f>
        <v>1979.29</v>
      </c>
      <c r="E25" s="2"/>
      <c r="F25" s="21"/>
      <c r="G25" s="2"/>
      <c r="H25" s="2"/>
      <c r="I25" s="2"/>
      <c r="J25" s="21"/>
      <c r="K25" s="2"/>
      <c r="L25" s="2">
        <f t="shared" si="0"/>
        <v>1979.29</v>
      </c>
      <c r="M25" s="2"/>
      <c r="N25" s="21">
        <f t="shared" si="1"/>
        <v>0</v>
      </c>
      <c r="O25" s="11"/>
      <c r="P25" s="2">
        <f>--5142.96</f>
        <v>5142.96</v>
      </c>
      <c r="Q25" s="2"/>
      <c r="R25" s="21"/>
      <c r="S25" s="2"/>
      <c r="T25" s="2"/>
      <c r="U25" s="2"/>
      <c r="V25" s="21"/>
      <c r="W25" s="2"/>
      <c r="X25" s="2">
        <f t="shared" si="2"/>
        <v>5142.96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"4141", " - ", "NON-TAXABLE SALES-LOGO GIFTS")</f>
        <v xml:space="preserve">          4141 - NON-TAXABLE SALES-LOGO GIFTS</v>
      </c>
      <c r="C26" s="11"/>
      <c r="D26" s="2">
        <f>--262.7</f>
        <v>262.7</v>
      </c>
      <c r="E26" s="2"/>
      <c r="F26" s="21"/>
      <c r="G26" s="2"/>
      <c r="H26" s="2"/>
      <c r="I26" s="2"/>
      <c r="J26" s="21"/>
      <c r="K26" s="2"/>
      <c r="L26" s="2">
        <f t="shared" si="0"/>
        <v>262.7</v>
      </c>
      <c r="M26" s="2"/>
      <c r="N26" s="21">
        <f t="shared" si="1"/>
        <v>0</v>
      </c>
      <c r="O26" s="11"/>
      <c r="P26" s="2">
        <f>--516.9</f>
        <v>516.9</v>
      </c>
      <c r="Q26" s="2"/>
      <c r="R26" s="21"/>
      <c r="S26" s="2"/>
      <c r="T26" s="2"/>
      <c r="U26" s="2"/>
      <c r="V26" s="21"/>
      <c r="W26" s="2"/>
      <c r="X26" s="2">
        <f t="shared" si="2"/>
        <v>516.9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"4142", " - ", "NON-TAXABLE SALES-EVERYDAY GIF")</f>
        <v xml:space="preserve">          4142 - NON-TAXABLE SALES-EVERYDAY GIF</v>
      </c>
      <c r="C27" s="11"/>
      <c r="D27" s="2">
        <f>--176.66</f>
        <v>176.66</v>
      </c>
      <c r="E27" s="2"/>
      <c r="F27" s="21"/>
      <c r="G27" s="2"/>
      <c r="H27" s="2"/>
      <c r="I27" s="2"/>
      <c r="J27" s="21"/>
      <c r="K27" s="2"/>
      <c r="L27" s="2">
        <f t="shared" si="0"/>
        <v>176.66</v>
      </c>
      <c r="M27" s="2"/>
      <c r="N27" s="21">
        <f t="shared" si="1"/>
        <v>0</v>
      </c>
      <c r="O27" s="11"/>
      <c r="P27" s="2">
        <f>--408.1</f>
        <v>408.1</v>
      </c>
      <c r="Q27" s="2"/>
      <c r="R27" s="21"/>
      <c r="S27" s="2"/>
      <c r="T27" s="2"/>
      <c r="U27" s="2"/>
      <c r="V27" s="21"/>
      <c r="W27" s="2"/>
      <c r="X27" s="2">
        <f t="shared" si="2"/>
        <v>408.1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"4144", " - ", "NON-TAXABLE SALES-ACCESSORIES")</f>
        <v xml:space="preserve">          4144 - NON-TAXABLE SALES-ACCESSORIES</v>
      </c>
      <c r="C28" s="11"/>
      <c r="D28" s="2">
        <f>--117.86</f>
        <v>117.86</v>
      </c>
      <c r="E28" s="2"/>
      <c r="F28" s="21"/>
      <c r="G28" s="2"/>
      <c r="H28" s="2"/>
      <c r="I28" s="2"/>
      <c r="J28" s="21"/>
      <c r="K28" s="2"/>
      <c r="L28" s="2">
        <f t="shared" si="0"/>
        <v>117.86</v>
      </c>
      <c r="M28" s="2"/>
      <c r="N28" s="21">
        <f t="shared" si="1"/>
        <v>0</v>
      </c>
      <c r="O28" s="11"/>
      <c r="P28" s="2">
        <f>--139.76</f>
        <v>139.76</v>
      </c>
      <c r="Q28" s="2"/>
      <c r="R28" s="21"/>
      <c r="S28" s="2"/>
      <c r="T28" s="2"/>
      <c r="U28" s="2"/>
      <c r="V28" s="21"/>
      <c r="W28" s="2"/>
      <c r="X28" s="2">
        <f t="shared" si="2"/>
        <v>139.76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"4145", " - ", "NON-TAXABLE SALES-SPECIAL ORDE")</f>
        <v xml:space="preserve">          4145 - NON-TAXABLE SALES-SPECIAL ORDE</v>
      </c>
      <c r="C29" s="11"/>
      <c r="D29" s="2">
        <f>--90</f>
        <v>90</v>
      </c>
      <c r="E29" s="2"/>
      <c r="F29" s="21"/>
      <c r="G29" s="2"/>
      <c r="H29" s="2"/>
      <c r="I29" s="2"/>
      <c r="J29" s="21"/>
      <c r="K29" s="2"/>
      <c r="L29" s="2">
        <f t="shared" si="0"/>
        <v>90</v>
      </c>
      <c r="M29" s="2"/>
      <c r="N29" s="21">
        <f t="shared" si="1"/>
        <v>0</v>
      </c>
      <c r="O29" s="11"/>
      <c r="P29" s="2">
        <f>--90</f>
        <v>90</v>
      </c>
      <c r="Q29" s="2"/>
      <c r="R29" s="21"/>
      <c r="S29" s="2"/>
      <c r="T29" s="2"/>
      <c r="U29" s="2"/>
      <c r="V29" s="21"/>
      <c r="W29" s="2"/>
      <c r="X29" s="2">
        <f t="shared" si="2"/>
        <v>90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"4240", " - ", "SALES RETURN TAXABLE-LOGO CLOT")</f>
        <v xml:space="preserve">          4240 - SALES RETURN TAXABLE-LOGO CLOT</v>
      </c>
      <c r="C30" s="11"/>
      <c r="D30" s="2">
        <f>-6807.65</f>
        <v>-6807.65</v>
      </c>
      <c r="E30" s="2"/>
      <c r="F30" s="21"/>
      <c r="G30" s="2"/>
      <c r="H30" s="2"/>
      <c r="I30" s="2"/>
      <c r="J30" s="21"/>
      <c r="K30" s="2"/>
      <c r="L30" s="2">
        <f t="shared" si="0"/>
        <v>-6807.65</v>
      </c>
      <c r="M30" s="2"/>
      <c r="N30" s="21">
        <f t="shared" si="1"/>
        <v>0</v>
      </c>
      <c r="O30" s="11"/>
      <c r="P30" s="2">
        <f>-11254.49</f>
        <v>-11254.49</v>
      </c>
      <c r="Q30" s="2"/>
      <c r="R30" s="21"/>
      <c r="S30" s="2"/>
      <c r="T30" s="2"/>
      <c r="U30" s="2"/>
      <c r="V30" s="21"/>
      <c r="W30" s="2"/>
      <c r="X30" s="2">
        <f t="shared" si="2"/>
        <v>-11254.49</v>
      </c>
      <c r="Y30" s="2"/>
      <c r="Z30" s="21">
        <f t="shared" si="3"/>
        <v>0</v>
      </c>
    </row>
    <row r="31" spans="1:26" s="24" customFormat="1" hidden="1" outlineLevel="1" x14ac:dyDescent="0.25">
      <c r="A31" s="46"/>
      <c r="B31" s="11" t="str">
        <f>CONCATENATE("          ", "4241", " - ", "SALES RETURN TAXABLE-LOGO GIFT")</f>
        <v xml:space="preserve">          4241 - SALES RETURN TAXABLE-LOGO GIFT</v>
      </c>
      <c r="C31" s="11"/>
      <c r="D31" s="2">
        <f>-518.16</f>
        <v>-518.16</v>
      </c>
      <c r="E31" s="2"/>
      <c r="F31" s="21"/>
      <c r="G31" s="2"/>
      <c r="H31" s="2"/>
      <c r="I31" s="2"/>
      <c r="J31" s="21"/>
      <c r="K31" s="2"/>
      <c r="L31" s="2">
        <f t="shared" si="0"/>
        <v>-518.16</v>
      </c>
      <c r="M31" s="2"/>
      <c r="N31" s="21">
        <f t="shared" si="1"/>
        <v>0</v>
      </c>
      <c r="O31" s="11"/>
      <c r="P31" s="2">
        <f>-1226.31</f>
        <v>-1226.31</v>
      </c>
      <c r="Q31" s="2"/>
      <c r="R31" s="21"/>
      <c r="S31" s="2"/>
      <c r="T31" s="2"/>
      <c r="U31" s="2"/>
      <c r="V31" s="21"/>
      <c r="W31" s="2"/>
      <c r="X31" s="2">
        <f t="shared" si="2"/>
        <v>-1226.31</v>
      </c>
      <c r="Y31" s="2"/>
      <c r="Z31" s="21">
        <f t="shared" si="3"/>
        <v>0</v>
      </c>
    </row>
    <row r="32" spans="1:26" s="24" customFormat="1" hidden="1" outlineLevel="1" x14ac:dyDescent="0.25">
      <c r="A32" s="46"/>
      <c r="B32" s="11" t="str">
        <f>CONCATENATE("          ", "4242", " - ", "SALES RETURN TAXABLE-EVERYDAY")</f>
        <v xml:space="preserve">          4242 - SALES RETURN TAXABLE-EVERYDAY</v>
      </c>
      <c r="C32" s="11"/>
      <c r="D32" s="2">
        <f>-450.83</f>
        <v>-450.83</v>
      </c>
      <c r="E32" s="2"/>
      <c r="F32" s="21"/>
      <c r="G32" s="2"/>
      <c r="H32" s="2"/>
      <c r="I32" s="2"/>
      <c r="J32" s="21"/>
      <c r="K32" s="2"/>
      <c r="L32" s="2">
        <f t="shared" si="0"/>
        <v>-450.83</v>
      </c>
      <c r="M32" s="2"/>
      <c r="N32" s="21">
        <f t="shared" si="1"/>
        <v>0</v>
      </c>
      <c r="O32" s="11"/>
      <c r="P32" s="2">
        <f>-808.61</f>
        <v>-808.61</v>
      </c>
      <c r="Q32" s="2"/>
      <c r="R32" s="21"/>
      <c r="S32" s="2"/>
      <c r="T32" s="2"/>
      <c r="U32" s="2"/>
      <c r="V32" s="21"/>
      <c r="W32" s="2"/>
      <c r="X32" s="2">
        <f t="shared" si="2"/>
        <v>-808.61</v>
      </c>
      <c r="Y32" s="2"/>
      <c r="Z32" s="21">
        <f t="shared" si="3"/>
        <v>0</v>
      </c>
    </row>
    <row r="33" spans="1:26" s="24" customFormat="1" hidden="1" outlineLevel="1" x14ac:dyDescent="0.25">
      <c r="A33" s="46"/>
      <c r="B33" s="11" t="str">
        <f>CONCATENATE("          ", "4244", " - ", "SALES RETURN TAXABLE-ACCESSORI")</f>
        <v xml:space="preserve">          4244 - SALES RETURN TAXABLE-ACCESSORI</v>
      </c>
      <c r="C33" s="11"/>
      <c r="D33" s="2">
        <f>-443.68</f>
        <v>-443.68</v>
      </c>
      <c r="E33" s="2"/>
      <c r="F33" s="21"/>
      <c r="G33" s="2"/>
      <c r="H33" s="2"/>
      <c r="I33" s="2"/>
      <c r="J33" s="21"/>
      <c r="K33" s="2"/>
      <c r="L33" s="2">
        <f t="shared" si="0"/>
        <v>-443.68</v>
      </c>
      <c r="M33" s="2"/>
      <c r="N33" s="21">
        <f t="shared" si="1"/>
        <v>0</v>
      </c>
      <c r="O33" s="11"/>
      <c r="P33" s="2">
        <f>-550.47</f>
        <v>-550.47</v>
      </c>
      <c r="Q33" s="2"/>
      <c r="R33" s="21"/>
      <c r="S33" s="2"/>
      <c r="T33" s="2"/>
      <c r="U33" s="2"/>
      <c r="V33" s="21"/>
      <c r="W33" s="2"/>
      <c r="X33" s="2">
        <f t="shared" si="2"/>
        <v>-550.47</v>
      </c>
      <c r="Y33" s="2"/>
      <c r="Z33" s="21">
        <f t="shared" si="3"/>
        <v>0</v>
      </c>
    </row>
    <row r="34" spans="1:26" s="24" customFormat="1" hidden="1" outlineLevel="1" x14ac:dyDescent="0.25">
      <c r="A34" s="46"/>
      <c r="B34" s="11" t="str">
        <f>CONCATENATE("          ", "4245", " - ", "SALES RETURN TAXABLE-SPECIAL O")</f>
        <v xml:space="preserve">          4245 - SALES RETURN TAXABLE-SPECIAL O</v>
      </c>
      <c r="C34" s="11"/>
      <c r="D34" s="2">
        <f>-19.98</f>
        <v>-19.98</v>
      </c>
      <c r="E34" s="2"/>
      <c r="F34" s="21"/>
      <c r="G34" s="2"/>
      <c r="H34" s="2"/>
      <c r="I34" s="2"/>
      <c r="J34" s="21"/>
      <c r="K34" s="2"/>
      <c r="L34" s="2">
        <f t="shared" si="0"/>
        <v>-19.98</v>
      </c>
      <c r="M34" s="2"/>
      <c r="N34" s="21">
        <f t="shared" si="1"/>
        <v>0</v>
      </c>
      <c r="O34" s="11"/>
      <c r="P34" s="2">
        <f>-19.98</f>
        <v>-19.98</v>
      </c>
      <c r="Q34" s="2"/>
      <c r="R34" s="21"/>
      <c r="S34" s="2"/>
      <c r="T34" s="2"/>
      <c r="U34" s="2"/>
      <c r="V34" s="21"/>
      <c r="W34" s="2"/>
      <c r="X34" s="2">
        <f t="shared" si="2"/>
        <v>-19.98</v>
      </c>
      <c r="Y34" s="2"/>
      <c r="Z34" s="21">
        <f t="shared" si="3"/>
        <v>0</v>
      </c>
    </row>
    <row r="35" spans="1:26" s="24" customFormat="1" hidden="1" outlineLevel="1" x14ac:dyDescent="0.25">
      <c r="A35" s="46"/>
      <c r="B35" s="11" t="str">
        <f>CONCATENATE("          ", "4295", " - ", "SALES RETURN TAXABLE-CUSTOMER")</f>
        <v xml:space="preserve">          4295 - SALES RETURN TAXABLE-CUSTOMER</v>
      </c>
      <c r="C35" s="11"/>
      <c r="D35" s="2">
        <f>--0.99</f>
        <v>0.99</v>
      </c>
      <c r="E35" s="2"/>
      <c r="F35" s="21"/>
      <c r="G35" s="2"/>
      <c r="H35" s="2"/>
      <c r="I35" s="2"/>
      <c r="J35" s="21"/>
      <c r="K35" s="2"/>
      <c r="L35" s="2">
        <f t="shared" si="0"/>
        <v>0.99</v>
      </c>
      <c r="M35" s="2"/>
      <c r="N35" s="21">
        <f t="shared" si="1"/>
        <v>0</v>
      </c>
      <c r="O35" s="11"/>
      <c r="P35" s="2">
        <f>--0.99</f>
        <v>0.99</v>
      </c>
      <c r="Q35" s="2"/>
      <c r="R35" s="21"/>
      <c r="S35" s="2"/>
      <c r="T35" s="2"/>
      <c r="U35" s="2"/>
      <c r="V35" s="21"/>
      <c r="W35" s="2"/>
      <c r="X35" s="2">
        <f t="shared" si="2"/>
        <v>0.99</v>
      </c>
      <c r="Y35" s="2"/>
      <c r="Z35" s="21">
        <f t="shared" si="3"/>
        <v>0</v>
      </c>
    </row>
    <row r="36" spans="1:26" s="24" customFormat="1" hidden="1" outlineLevel="1" x14ac:dyDescent="0.25">
      <c r="A36" s="46"/>
      <c r="B36" s="11" t="str">
        <f>CONCATENATE("          ", "4340", " - ", "SALES RETURN NON TAXABLE-LOGO")</f>
        <v xml:space="preserve">          4340 - SALES RETURN NON TAXABLE-LOGO</v>
      </c>
      <c r="C36" s="11"/>
      <c r="D36" s="2">
        <f>-44.95</f>
        <v>-44.95</v>
      </c>
      <c r="E36" s="2"/>
      <c r="F36" s="21"/>
      <c r="G36" s="2"/>
      <c r="H36" s="2"/>
      <c r="I36" s="2"/>
      <c r="J36" s="21"/>
      <c r="K36" s="2"/>
      <c r="L36" s="2">
        <f t="shared" si="0"/>
        <v>-44.95</v>
      </c>
      <c r="M36" s="2"/>
      <c r="N36" s="21">
        <f t="shared" si="1"/>
        <v>0</v>
      </c>
      <c r="O36" s="11"/>
      <c r="P36" s="2">
        <f>-268.5</f>
        <v>-268.5</v>
      </c>
      <c r="Q36" s="2"/>
      <c r="R36" s="21"/>
      <c r="S36" s="2"/>
      <c r="T36" s="2"/>
      <c r="U36" s="2"/>
      <c r="V36" s="21"/>
      <c r="W36" s="2"/>
      <c r="X36" s="2">
        <f t="shared" si="2"/>
        <v>-268.5</v>
      </c>
      <c r="Y36" s="2"/>
      <c r="Z36" s="21">
        <f t="shared" si="3"/>
        <v>0</v>
      </c>
    </row>
    <row r="37" spans="1:26" s="24" customFormat="1" hidden="1" outlineLevel="1" x14ac:dyDescent="0.25">
      <c r="A37" s="46"/>
      <c r="B37" s="11" t="str">
        <f>CONCATENATE("          ", "4341", " - ", "SALES RETURN NON TAXABLE-LOGO")</f>
        <v xml:space="preserve">          4341 - SALES RETURN NON TAXABLE-LOGO</v>
      </c>
      <c r="C37" s="11"/>
      <c r="D37" s="2">
        <f>-3.95</f>
        <v>-3.95</v>
      </c>
      <c r="E37" s="2"/>
      <c r="F37" s="21"/>
      <c r="G37" s="2"/>
      <c r="H37" s="2"/>
      <c r="I37" s="2"/>
      <c r="J37" s="21"/>
      <c r="K37" s="2"/>
      <c r="L37" s="2">
        <f t="shared" si="0"/>
        <v>-3.95</v>
      </c>
      <c r="M37" s="2"/>
      <c r="N37" s="21">
        <f t="shared" si="1"/>
        <v>0</v>
      </c>
      <c r="O37" s="11"/>
      <c r="P37" s="2">
        <f>-3.95</f>
        <v>-3.95</v>
      </c>
      <c r="Q37" s="2"/>
      <c r="R37" s="21"/>
      <c r="S37" s="2"/>
      <c r="T37" s="2"/>
      <c r="U37" s="2"/>
      <c r="V37" s="21"/>
      <c r="W37" s="2"/>
      <c r="X37" s="2">
        <f t="shared" si="2"/>
        <v>-3.95</v>
      </c>
      <c r="Y37" s="2"/>
      <c r="Z37" s="21">
        <f t="shared" si="3"/>
        <v>0</v>
      </c>
    </row>
    <row r="38" spans="1:26" x14ac:dyDescent="0.25">
      <c r="A38" s="9"/>
      <c r="B38" s="10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collapsed="1" x14ac:dyDescent="0.25">
      <c r="A39" s="10"/>
      <c r="B39" s="28" t="s">
        <v>8</v>
      </c>
      <c r="C39" s="10"/>
      <c r="D39" s="4">
        <f>SUM(OSRRefD16x_0)</f>
        <v>145243.32999999996</v>
      </c>
      <c r="E39" s="4"/>
      <c r="F39" s="12">
        <f t="shared" ref="F39:F59" si="4">IF(D$12=0,0,D39/D$12)</f>
        <v>0.45019307738317355</v>
      </c>
      <c r="G39" s="4"/>
      <c r="H39" s="4">
        <f>SUM(OSRRefH16x_0)</f>
        <v>138055.93664</v>
      </c>
      <c r="I39" s="4"/>
      <c r="J39" s="12">
        <f t="shared" ref="J39:J59" si="5">IF(H$12=0,0,H39/H$12)</f>
        <v>0.45884964194095662</v>
      </c>
      <c r="K39" s="4"/>
      <c r="L39" s="4">
        <f t="shared" ref="L39:L59" si="6">+D39-H39</f>
        <v>7187.3933599999582</v>
      </c>
      <c r="M39" s="4"/>
      <c r="N39" s="12">
        <f t="shared" ref="N39:N59" si="7">IF(H39=0,0,L39/H39)</f>
        <v>5.2061458093917996E-2</v>
      </c>
      <c r="O39" s="10"/>
      <c r="P39" s="4">
        <f>SUM(OSRRefP16x_0)</f>
        <v>252616.67000000004</v>
      </c>
      <c r="Q39" s="4"/>
      <c r="R39" s="12">
        <f t="shared" ref="R39:R59" si="8">IF(P$12=0,0,P39/P$12)</f>
        <v>0.45536878255329455</v>
      </c>
      <c r="S39" s="4"/>
      <c r="T39" s="4">
        <f>SUM(OSRRefT16x_0)</f>
        <v>246441.15096</v>
      </c>
      <c r="U39" s="4"/>
      <c r="V39" s="12">
        <f t="shared" ref="V39:V59" si="9">IF(T$12=0,0,T39/T$12)</f>
        <v>0.46408627182490181</v>
      </c>
      <c r="W39" s="4"/>
      <c r="X39" s="4">
        <f t="shared" ref="X39:X59" si="10">+P39-T39</f>
        <v>6175.5190400000429</v>
      </c>
      <c r="Y39" s="4"/>
      <c r="Z39" s="12">
        <f t="shared" ref="Z39:Z59" si="11">IF(T39=0,0,X39/T39)</f>
        <v>2.5058798077932994E-2</v>
      </c>
    </row>
    <row r="40" spans="1:26" s="24" customFormat="1" hidden="1" outlineLevel="1" x14ac:dyDescent="0.25">
      <c r="A40" s="46"/>
      <c r="B40" s="11" t="str">
        <f>CONCATENATE("          ", "5000", " - ", "PURCHASES @ COST")</f>
        <v xml:space="preserve">          5000 - PURCHASES @ COST</v>
      </c>
      <c r="C40" s="11"/>
      <c r="D40" s="2"/>
      <c r="E40" s="2"/>
      <c r="F40" s="21">
        <f t="shared" si="4"/>
        <v>0</v>
      </c>
      <c r="G40" s="2"/>
      <c r="H40" s="2">
        <v>138055.93664</v>
      </c>
      <c r="I40" s="2"/>
      <c r="J40" s="21">
        <f t="shared" si="5"/>
        <v>0.45884964194095662</v>
      </c>
      <c r="K40" s="2"/>
      <c r="L40" s="2">
        <f t="shared" si="6"/>
        <v>-138055.93664</v>
      </c>
      <c r="M40" s="2"/>
      <c r="N40" s="21">
        <f t="shared" si="7"/>
        <v>-1</v>
      </c>
      <c r="O40" s="11"/>
      <c r="P40" s="2"/>
      <c r="Q40" s="2"/>
      <c r="R40" s="21">
        <f t="shared" si="8"/>
        <v>0</v>
      </c>
      <c r="S40" s="2"/>
      <c r="T40" s="2">
        <v>246441.15096</v>
      </c>
      <c r="U40" s="2"/>
      <c r="V40" s="21">
        <f t="shared" si="9"/>
        <v>0.46408627182490181</v>
      </c>
      <c r="W40" s="2"/>
      <c r="X40" s="2">
        <f t="shared" si="10"/>
        <v>-246441.15096</v>
      </c>
      <c r="Y40" s="2"/>
      <c r="Z40" s="21">
        <f t="shared" si="11"/>
        <v>-1</v>
      </c>
    </row>
    <row r="41" spans="1:26" s="24" customFormat="1" hidden="1" outlineLevel="1" x14ac:dyDescent="0.25">
      <c r="A41" s="46"/>
      <c r="B41" s="11" t="str">
        <f>CONCATENATE("          ", "5026", " - ", "PURCHASES @ COST-WRITING INSTR")</f>
        <v xml:space="preserve">          5026 - PURCHASES @ COST-WRITING INSTR</v>
      </c>
      <c r="C41" s="11"/>
      <c r="D41" s="2">
        <v>21.1</v>
      </c>
      <c r="E41" s="2"/>
      <c r="F41" s="21">
        <f t="shared" si="4"/>
        <v>6.5401102637793873E-5</v>
      </c>
      <c r="G41" s="2"/>
      <c r="H41" s="2"/>
      <c r="I41" s="2"/>
      <c r="J41" s="21">
        <f t="shared" si="5"/>
        <v>0</v>
      </c>
      <c r="K41" s="2"/>
      <c r="L41" s="2">
        <f t="shared" si="6"/>
        <v>21.1</v>
      </c>
      <c r="M41" s="2"/>
      <c r="N41" s="21">
        <f t="shared" si="7"/>
        <v>0</v>
      </c>
      <c r="O41" s="11"/>
      <c r="P41" s="2">
        <v>-53.62</v>
      </c>
      <c r="Q41" s="2"/>
      <c r="R41" s="21">
        <f t="shared" si="8"/>
        <v>-9.6655830830592654E-5</v>
      </c>
      <c r="S41" s="2"/>
      <c r="T41" s="2"/>
      <c r="U41" s="2"/>
      <c r="V41" s="21">
        <f t="shared" si="9"/>
        <v>0</v>
      </c>
      <c r="W41" s="2"/>
      <c r="X41" s="2">
        <f t="shared" si="10"/>
        <v>-53.62</v>
      </c>
      <c r="Y41" s="2"/>
      <c r="Z41" s="21">
        <f t="shared" si="11"/>
        <v>0</v>
      </c>
    </row>
    <row r="42" spans="1:26" s="24" customFormat="1" hidden="1" outlineLevel="1" x14ac:dyDescent="0.25">
      <c r="A42" s="46"/>
      <c r="B42" s="11" t="str">
        <f>CONCATENATE("          ", "5027", " - ", "PURCHASES @ COST-SCHOOL SUPPLI")</f>
        <v xml:space="preserve">          5027 - PURCHASES @ COST-SCHOOL SUPPLI</v>
      </c>
      <c r="C42" s="11"/>
      <c r="D42" s="2">
        <v>62.2</v>
      </c>
      <c r="E42" s="2"/>
      <c r="F42" s="21">
        <f t="shared" si="4"/>
        <v>1.9279377175690894E-4</v>
      </c>
      <c r="G42" s="2"/>
      <c r="H42" s="2"/>
      <c r="I42" s="2"/>
      <c r="J42" s="21">
        <f t="shared" si="5"/>
        <v>0</v>
      </c>
      <c r="K42" s="2"/>
      <c r="L42" s="2">
        <f t="shared" si="6"/>
        <v>62.2</v>
      </c>
      <c r="M42" s="2"/>
      <c r="N42" s="21">
        <f t="shared" si="7"/>
        <v>0</v>
      </c>
      <c r="O42" s="11"/>
      <c r="P42" s="2">
        <v>63.52</v>
      </c>
      <c r="Q42" s="2"/>
      <c r="R42" s="21">
        <f t="shared" si="8"/>
        <v>1.1450164816037385E-4</v>
      </c>
      <c r="S42" s="2"/>
      <c r="T42" s="2"/>
      <c r="U42" s="2"/>
      <c r="V42" s="21">
        <f t="shared" si="9"/>
        <v>0</v>
      </c>
      <c r="W42" s="2"/>
      <c r="X42" s="2">
        <f t="shared" si="10"/>
        <v>63.52</v>
      </c>
      <c r="Y42" s="2"/>
      <c r="Z42" s="21">
        <f t="shared" si="11"/>
        <v>0</v>
      </c>
    </row>
    <row r="43" spans="1:26" s="24" customFormat="1" hidden="1" outlineLevel="1" x14ac:dyDescent="0.25">
      <c r="A43" s="46"/>
      <c r="B43" s="11" t="str">
        <f>CONCATENATE("          ", "5037", " - ", "PURCHASES @ COST-WATER")</f>
        <v xml:space="preserve">          5037 - PURCHASES @ COST-WATER</v>
      </c>
      <c r="C43" s="11"/>
      <c r="D43" s="2">
        <v>12.72</v>
      </c>
      <c r="E43" s="2"/>
      <c r="F43" s="21">
        <f t="shared" si="4"/>
        <v>3.9426636282120286E-5</v>
      </c>
      <c r="G43" s="2"/>
      <c r="H43" s="2"/>
      <c r="I43" s="2"/>
      <c r="J43" s="21">
        <f t="shared" si="5"/>
        <v>0</v>
      </c>
      <c r="K43" s="2"/>
      <c r="L43" s="2">
        <f t="shared" si="6"/>
        <v>12.72</v>
      </c>
      <c r="M43" s="2"/>
      <c r="N43" s="21">
        <f t="shared" si="7"/>
        <v>0</v>
      </c>
      <c r="O43" s="11"/>
      <c r="P43" s="2">
        <v>29.76</v>
      </c>
      <c r="Q43" s="2"/>
      <c r="R43" s="21">
        <f t="shared" si="8"/>
        <v>5.3645608458008904E-5</v>
      </c>
      <c r="S43" s="2"/>
      <c r="T43" s="2"/>
      <c r="U43" s="2"/>
      <c r="V43" s="21">
        <f t="shared" si="9"/>
        <v>0</v>
      </c>
      <c r="W43" s="2"/>
      <c r="X43" s="2">
        <f t="shared" si="10"/>
        <v>29.76</v>
      </c>
      <c r="Y43" s="2"/>
      <c r="Z43" s="21">
        <f t="shared" si="11"/>
        <v>0</v>
      </c>
    </row>
    <row r="44" spans="1:26" s="24" customFormat="1" hidden="1" outlineLevel="1" x14ac:dyDescent="0.25">
      <c r="A44" s="46"/>
      <c r="B44" s="11" t="str">
        <f>CONCATENATE("          ", "5040", " - ", "PURCHASES @ COST-LOGO CLOTHING")</f>
        <v xml:space="preserve">          5040 - PURCHASES @ COST-LOGO CLOTHING</v>
      </c>
      <c r="C44" s="11"/>
      <c r="D44" s="2">
        <v>106647.4</v>
      </c>
      <c r="E44" s="2"/>
      <c r="F44" s="21">
        <f t="shared" si="4"/>
        <v>0.33056196935800269</v>
      </c>
      <c r="G44" s="2"/>
      <c r="H44" s="2"/>
      <c r="I44" s="2"/>
      <c r="J44" s="21">
        <f t="shared" si="5"/>
        <v>0</v>
      </c>
      <c r="K44" s="2"/>
      <c r="L44" s="2">
        <f t="shared" si="6"/>
        <v>106647.4</v>
      </c>
      <c r="M44" s="2"/>
      <c r="N44" s="21">
        <f t="shared" si="7"/>
        <v>0</v>
      </c>
      <c r="O44" s="11"/>
      <c r="P44" s="2">
        <v>185568.97</v>
      </c>
      <c r="Q44" s="2"/>
      <c r="R44" s="21">
        <f t="shared" si="8"/>
        <v>0.33450807481774197</v>
      </c>
      <c r="S44" s="2"/>
      <c r="T44" s="2"/>
      <c r="U44" s="2"/>
      <c r="V44" s="21">
        <f t="shared" si="9"/>
        <v>0</v>
      </c>
      <c r="W44" s="2"/>
      <c r="X44" s="2">
        <f t="shared" si="10"/>
        <v>185568.97</v>
      </c>
      <c r="Y44" s="2"/>
      <c r="Z44" s="21">
        <f t="shared" si="11"/>
        <v>0</v>
      </c>
    </row>
    <row r="45" spans="1:26" s="24" customFormat="1" hidden="1" outlineLevel="1" x14ac:dyDescent="0.25">
      <c r="A45" s="46"/>
      <c r="B45" s="11" t="str">
        <f>CONCATENATE("          ", "5041", " - ", "PURCHASES @ COST-LOGO GIFTS")</f>
        <v xml:space="preserve">          5041 - PURCHASES @ COST-LOGO GIFTS</v>
      </c>
      <c r="C45" s="11"/>
      <c r="D45" s="2">
        <v>16578.89</v>
      </c>
      <c r="E45" s="2"/>
      <c r="F45" s="21">
        <f t="shared" si="4"/>
        <v>5.1387568081075558E-2</v>
      </c>
      <c r="G45" s="2"/>
      <c r="H45" s="2"/>
      <c r="I45" s="2"/>
      <c r="J45" s="21">
        <f t="shared" si="5"/>
        <v>0</v>
      </c>
      <c r="K45" s="2"/>
      <c r="L45" s="2">
        <f t="shared" si="6"/>
        <v>16578.89</v>
      </c>
      <c r="M45" s="2"/>
      <c r="N45" s="21">
        <f t="shared" si="7"/>
        <v>0</v>
      </c>
      <c r="O45" s="11"/>
      <c r="P45" s="2">
        <v>28529.16</v>
      </c>
      <c r="Q45" s="2"/>
      <c r="R45" s="21">
        <f t="shared" si="8"/>
        <v>5.1426886659808109E-2</v>
      </c>
      <c r="S45" s="2"/>
      <c r="T45" s="2"/>
      <c r="U45" s="2"/>
      <c r="V45" s="21">
        <f t="shared" si="9"/>
        <v>0</v>
      </c>
      <c r="W45" s="2"/>
      <c r="X45" s="2">
        <f t="shared" si="10"/>
        <v>28529.16</v>
      </c>
      <c r="Y45" s="2"/>
      <c r="Z45" s="21">
        <f t="shared" si="11"/>
        <v>0</v>
      </c>
    </row>
    <row r="46" spans="1:26" s="24" customFormat="1" hidden="1" outlineLevel="1" x14ac:dyDescent="0.25">
      <c r="A46" s="46"/>
      <c r="B46" s="11" t="str">
        <f>CONCATENATE("          ", "5042", " - ", "PURCHASES @ COST-EVERYDAY GIFT")</f>
        <v xml:space="preserve">          5042 - PURCHASES @ COST-EVERYDAY GIFT</v>
      </c>
      <c r="C46" s="11"/>
      <c r="D46" s="2">
        <v>15979.86</v>
      </c>
      <c r="E46" s="2"/>
      <c r="F46" s="21">
        <f t="shared" si="4"/>
        <v>4.9530827677610273E-2</v>
      </c>
      <c r="G46" s="2"/>
      <c r="H46" s="2"/>
      <c r="I46" s="2"/>
      <c r="J46" s="21">
        <f t="shared" si="5"/>
        <v>0</v>
      </c>
      <c r="K46" s="2"/>
      <c r="L46" s="2">
        <f t="shared" si="6"/>
        <v>15979.86</v>
      </c>
      <c r="M46" s="2"/>
      <c r="N46" s="21">
        <f t="shared" si="7"/>
        <v>0</v>
      </c>
      <c r="O46" s="11"/>
      <c r="P46" s="2">
        <v>23732.22</v>
      </c>
      <c r="Q46" s="2"/>
      <c r="R46" s="21">
        <f t="shared" si="8"/>
        <v>4.2779885146482802E-2</v>
      </c>
      <c r="S46" s="2"/>
      <c r="T46" s="2"/>
      <c r="U46" s="2"/>
      <c r="V46" s="21">
        <f t="shared" si="9"/>
        <v>0</v>
      </c>
      <c r="W46" s="2"/>
      <c r="X46" s="2">
        <f t="shared" si="10"/>
        <v>23732.22</v>
      </c>
      <c r="Y46" s="2"/>
      <c r="Z46" s="21">
        <f t="shared" si="11"/>
        <v>0</v>
      </c>
    </row>
    <row r="47" spans="1:26" s="24" customFormat="1" hidden="1" outlineLevel="1" x14ac:dyDescent="0.25">
      <c r="A47" s="46"/>
      <c r="B47" s="11" t="str">
        <f>CONCATENATE("          ", "5043", " - ", "PURCHASES @ COST-CARDS")</f>
        <v xml:space="preserve">          5043 - PURCHASES @ COST-CARDS</v>
      </c>
      <c r="C47" s="11"/>
      <c r="D47" s="2">
        <v>15.24</v>
      </c>
      <c r="E47" s="2"/>
      <c r="F47" s="21">
        <f t="shared" si="4"/>
        <v>4.7237573658766752E-5</v>
      </c>
      <c r="G47" s="2"/>
      <c r="H47" s="2"/>
      <c r="I47" s="2"/>
      <c r="J47" s="21">
        <f t="shared" si="5"/>
        <v>0</v>
      </c>
      <c r="K47" s="2"/>
      <c r="L47" s="2">
        <f t="shared" si="6"/>
        <v>15.24</v>
      </c>
      <c r="M47" s="2"/>
      <c r="N47" s="21">
        <f t="shared" si="7"/>
        <v>0</v>
      </c>
      <c r="O47" s="11"/>
      <c r="P47" s="2">
        <v>513.5</v>
      </c>
      <c r="Q47" s="2"/>
      <c r="R47" s="21">
        <f t="shared" si="8"/>
        <v>9.2563911099420603E-4</v>
      </c>
      <c r="S47" s="2"/>
      <c r="T47" s="2"/>
      <c r="U47" s="2"/>
      <c r="V47" s="21">
        <f t="shared" si="9"/>
        <v>0</v>
      </c>
      <c r="W47" s="2"/>
      <c r="X47" s="2">
        <f t="shared" si="10"/>
        <v>513.5</v>
      </c>
      <c r="Y47" s="2"/>
      <c r="Z47" s="21">
        <f t="shared" si="11"/>
        <v>0</v>
      </c>
    </row>
    <row r="48" spans="1:26" s="24" customFormat="1" hidden="1" outlineLevel="1" x14ac:dyDescent="0.25">
      <c r="A48" s="46"/>
      <c r="B48" s="11" t="str">
        <f>CONCATENATE("          ", "5044", " - ", "PURCHASES @ COST-ACCESSORIES")</f>
        <v xml:space="preserve">          5044 - PURCHASES @ COST-ACCESSORIES</v>
      </c>
      <c r="C48" s="11"/>
      <c r="D48" s="2">
        <v>13249.12</v>
      </c>
      <c r="E48" s="2"/>
      <c r="F48" s="21">
        <f t="shared" si="4"/>
        <v>4.1066685164950122E-2</v>
      </c>
      <c r="G48" s="2"/>
      <c r="H48" s="2"/>
      <c r="I48" s="2"/>
      <c r="J48" s="21">
        <f t="shared" si="5"/>
        <v>0</v>
      </c>
      <c r="K48" s="2"/>
      <c r="L48" s="2">
        <f t="shared" si="6"/>
        <v>13249.12</v>
      </c>
      <c r="M48" s="2"/>
      <c r="N48" s="21">
        <f t="shared" si="7"/>
        <v>0</v>
      </c>
      <c r="O48" s="11"/>
      <c r="P48" s="2">
        <v>18088.12</v>
      </c>
      <c r="Q48" s="2"/>
      <c r="R48" s="21">
        <f t="shared" si="8"/>
        <v>3.2605786399915321E-2</v>
      </c>
      <c r="S48" s="2"/>
      <c r="T48" s="2"/>
      <c r="U48" s="2"/>
      <c r="V48" s="21">
        <f t="shared" si="9"/>
        <v>0</v>
      </c>
      <c r="W48" s="2"/>
      <c r="X48" s="2">
        <f t="shared" si="10"/>
        <v>18088.12</v>
      </c>
      <c r="Y48" s="2"/>
      <c r="Z48" s="21">
        <f t="shared" si="11"/>
        <v>0</v>
      </c>
    </row>
    <row r="49" spans="1:26" s="24" customFormat="1" hidden="1" outlineLevel="1" x14ac:dyDescent="0.25">
      <c r="A49" s="46"/>
      <c r="B49" s="11" t="str">
        <f>CONCATENATE("          ", "5045", " - ", "PURCHASES @ COST-SPECIAL ORDER")</f>
        <v xml:space="preserve">          5045 - PURCHASES @ COST-SPECIAL ORDER</v>
      </c>
      <c r="C49" s="11"/>
      <c r="D49" s="2">
        <v>4152.78</v>
      </c>
      <c r="E49" s="2"/>
      <c r="F49" s="21">
        <f t="shared" si="4"/>
        <v>1.2871866872615052E-2</v>
      </c>
      <c r="G49" s="2"/>
      <c r="H49" s="2"/>
      <c r="I49" s="2"/>
      <c r="J49" s="21">
        <f t="shared" si="5"/>
        <v>0</v>
      </c>
      <c r="K49" s="2"/>
      <c r="L49" s="2">
        <f t="shared" si="6"/>
        <v>4152.78</v>
      </c>
      <c r="M49" s="2"/>
      <c r="N49" s="21">
        <f t="shared" si="7"/>
        <v>0</v>
      </c>
      <c r="O49" s="11"/>
      <c r="P49" s="2">
        <v>20145.63</v>
      </c>
      <c r="Q49" s="2"/>
      <c r="R49" s="21">
        <f t="shared" si="8"/>
        <v>3.6314669997309069E-2</v>
      </c>
      <c r="S49" s="2"/>
      <c r="T49" s="2"/>
      <c r="U49" s="2"/>
      <c r="V49" s="21">
        <f t="shared" si="9"/>
        <v>0</v>
      </c>
      <c r="W49" s="2"/>
      <c r="X49" s="2">
        <f t="shared" si="10"/>
        <v>20145.63</v>
      </c>
      <c r="Y49" s="2"/>
      <c r="Z49" s="21">
        <f t="shared" si="11"/>
        <v>0</v>
      </c>
    </row>
    <row r="50" spans="1:26" s="24" customFormat="1" hidden="1" outlineLevel="1" x14ac:dyDescent="0.25">
      <c r="A50" s="46"/>
      <c r="B50" s="11" t="str">
        <f>CONCATENATE("          ", "5083", " - ", "PURCHASES @ COST-COMPUTER EQUI")</f>
        <v xml:space="preserve">          5083 - PURCHASES @ COST-COMPUTER EQUI</v>
      </c>
      <c r="C50" s="11"/>
      <c r="D50" s="2">
        <v>39.950000000000003</v>
      </c>
      <c r="E50" s="2"/>
      <c r="F50" s="21">
        <f t="shared" si="4"/>
        <v>1.2382815404643911E-4</v>
      </c>
      <c r="G50" s="2"/>
      <c r="H50" s="2"/>
      <c r="I50" s="2"/>
      <c r="J50" s="21">
        <f t="shared" si="5"/>
        <v>0</v>
      </c>
      <c r="K50" s="2"/>
      <c r="L50" s="2">
        <f t="shared" si="6"/>
        <v>39.950000000000003</v>
      </c>
      <c r="M50" s="2"/>
      <c r="N50" s="21">
        <f t="shared" si="7"/>
        <v>0</v>
      </c>
      <c r="O50" s="11"/>
      <c r="P50" s="2">
        <v>39.950000000000003</v>
      </c>
      <c r="Q50" s="2"/>
      <c r="R50" s="21">
        <f t="shared" si="8"/>
        <v>7.2014182053005909E-5</v>
      </c>
      <c r="S50" s="2"/>
      <c r="T50" s="2"/>
      <c r="U50" s="2"/>
      <c r="V50" s="21">
        <f t="shared" si="9"/>
        <v>0</v>
      </c>
      <c r="W50" s="2"/>
      <c r="X50" s="2">
        <f t="shared" si="10"/>
        <v>39.950000000000003</v>
      </c>
      <c r="Y50" s="2"/>
      <c r="Z50" s="21">
        <f t="shared" si="11"/>
        <v>0</v>
      </c>
    </row>
    <row r="51" spans="1:26" s="24" customFormat="1" hidden="1" outlineLevel="1" x14ac:dyDescent="0.25">
      <c r="A51" s="46"/>
      <c r="B51" s="11" t="str">
        <f>CONCATENATE("          ", "5095", " - ", "PURCHASES @ COST-CUSTOMER SERV")</f>
        <v xml:space="preserve">          5095 - PURCHASES @ COST-CUSTOMER SERV</v>
      </c>
      <c r="C51" s="11"/>
      <c r="D51" s="2"/>
      <c r="E51" s="2"/>
      <c r="F51" s="21">
        <f t="shared" si="4"/>
        <v>0</v>
      </c>
      <c r="G51" s="2"/>
      <c r="H51" s="2"/>
      <c r="I51" s="2"/>
      <c r="J51" s="21">
        <f t="shared" si="5"/>
        <v>0</v>
      </c>
      <c r="K51" s="2"/>
      <c r="L51" s="2">
        <f t="shared" si="6"/>
        <v>0</v>
      </c>
      <c r="M51" s="2"/>
      <c r="N51" s="21">
        <f t="shared" si="7"/>
        <v>0</v>
      </c>
      <c r="O51" s="11"/>
      <c r="P51" s="2">
        <v>-11.85</v>
      </c>
      <c r="Q51" s="2"/>
      <c r="R51" s="21">
        <f t="shared" si="8"/>
        <v>-2.1360902561404753E-5</v>
      </c>
      <c r="S51" s="2"/>
      <c r="T51" s="2"/>
      <c r="U51" s="2"/>
      <c r="V51" s="21">
        <f t="shared" si="9"/>
        <v>0</v>
      </c>
      <c r="W51" s="2"/>
      <c r="X51" s="2">
        <f t="shared" si="10"/>
        <v>-11.85</v>
      </c>
      <c r="Y51" s="2"/>
      <c r="Z51" s="21">
        <f t="shared" si="11"/>
        <v>0</v>
      </c>
    </row>
    <row r="52" spans="1:26" s="24" customFormat="1" hidden="1" outlineLevel="1" x14ac:dyDescent="0.25">
      <c r="A52" s="46"/>
      <c r="B52" s="11" t="str">
        <f>CONCATENATE("          ", "5200", " - ", "PURCHASES OFFSET")</f>
        <v xml:space="preserve">          5200 - PURCHASES OFFSET</v>
      </c>
      <c r="C52" s="11"/>
      <c r="D52" s="2">
        <v>-159285</v>
      </c>
      <c r="E52" s="2"/>
      <c r="F52" s="21">
        <f t="shared" si="4"/>
        <v>-0.49371633334886234</v>
      </c>
      <c r="G52" s="2"/>
      <c r="H52" s="2"/>
      <c r="I52" s="2"/>
      <c r="J52" s="21">
        <f t="shared" si="5"/>
        <v>0</v>
      </c>
      <c r="K52" s="2"/>
      <c r="L52" s="2">
        <f t="shared" si="6"/>
        <v>-159285</v>
      </c>
      <c r="M52" s="2"/>
      <c r="N52" s="21">
        <f t="shared" si="7"/>
        <v>0</v>
      </c>
      <c r="O52" s="11"/>
      <c r="P52" s="2">
        <v>-280154</v>
      </c>
      <c r="Q52" s="2"/>
      <c r="R52" s="21">
        <f t="shared" si="8"/>
        <v>-0.50500778870783014</v>
      </c>
      <c r="S52" s="2"/>
      <c r="T52" s="2"/>
      <c r="U52" s="2"/>
      <c r="V52" s="21">
        <f t="shared" si="9"/>
        <v>0</v>
      </c>
      <c r="W52" s="2"/>
      <c r="X52" s="2">
        <f t="shared" si="10"/>
        <v>-280154</v>
      </c>
      <c r="Y52" s="2"/>
      <c r="Z52" s="21">
        <f t="shared" si="11"/>
        <v>0</v>
      </c>
    </row>
    <row r="53" spans="1:26" s="24" customFormat="1" hidden="1" outlineLevel="1" x14ac:dyDescent="0.25">
      <c r="A53" s="46"/>
      <c r="B53" s="11" t="str">
        <f>CONCATENATE("          ", "5300", " - ", "COG$ OFFSET")</f>
        <v xml:space="preserve">          5300 - COG$ OFFSET</v>
      </c>
      <c r="C53" s="11"/>
      <c r="D53" s="2">
        <v>145245</v>
      </c>
      <c r="E53" s="2"/>
      <c r="F53" s="21">
        <f t="shared" si="4"/>
        <v>0.45019825367897487</v>
      </c>
      <c r="G53" s="2"/>
      <c r="H53" s="2"/>
      <c r="I53" s="2"/>
      <c r="J53" s="21">
        <f t="shared" si="5"/>
        <v>0</v>
      </c>
      <c r="K53" s="2"/>
      <c r="L53" s="2">
        <f t="shared" si="6"/>
        <v>145245</v>
      </c>
      <c r="M53" s="2"/>
      <c r="N53" s="21">
        <f t="shared" si="7"/>
        <v>0</v>
      </c>
      <c r="O53" s="11"/>
      <c r="P53" s="2">
        <v>252618</v>
      </c>
      <c r="Q53" s="2"/>
      <c r="R53" s="21">
        <f t="shared" si="8"/>
        <v>0.45537118002168325</v>
      </c>
      <c r="S53" s="2"/>
      <c r="T53" s="2"/>
      <c r="U53" s="2"/>
      <c r="V53" s="21">
        <f t="shared" si="9"/>
        <v>0</v>
      </c>
      <c r="W53" s="2"/>
      <c r="X53" s="2">
        <f t="shared" si="10"/>
        <v>252618</v>
      </c>
      <c r="Y53" s="2"/>
      <c r="Z53" s="21">
        <f t="shared" si="11"/>
        <v>0</v>
      </c>
    </row>
    <row r="54" spans="1:26" s="24" customFormat="1" hidden="1" outlineLevel="1" x14ac:dyDescent="0.25">
      <c r="A54" s="46"/>
      <c r="B54" s="11" t="str">
        <f>CONCATENATE("          ", "5540", " - ", "FREIGHT-IN-LOGO CLOTHING")</f>
        <v xml:space="preserve">          5540 - FREIGHT-IN-LOGO CLOTHING</v>
      </c>
      <c r="C54" s="11"/>
      <c r="D54" s="2">
        <v>1936.72</v>
      </c>
      <c r="E54" s="2"/>
      <c r="F54" s="21">
        <f t="shared" si="4"/>
        <v>6.0030153317852195E-3</v>
      </c>
      <c r="G54" s="2"/>
      <c r="H54" s="2"/>
      <c r="I54" s="2"/>
      <c r="J54" s="21">
        <f t="shared" si="5"/>
        <v>0</v>
      </c>
      <c r="K54" s="2"/>
      <c r="L54" s="2">
        <f t="shared" si="6"/>
        <v>1936.72</v>
      </c>
      <c r="M54" s="2"/>
      <c r="N54" s="21">
        <f t="shared" si="7"/>
        <v>0</v>
      </c>
      <c r="O54" s="11"/>
      <c r="P54" s="2">
        <v>2331.94</v>
      </c>
      <c r="Q54" s="2"/>
      <c r="R54" s="21">
        <f t="shared" si="8"/>
        <v>4.2035732589909038E-3</v>
      </c>
      <c r="S54" s="2"/>
      <c r="T54" s="2"/>
      <c r="U54" s="2"/>
      <c r="V54" s="21">
        <f t="shared" si="9"/>
        <v>0</v>
      </c>
      <c r="W54" s="2"/>
      <c r="X54" s="2">
        <f t="shared" si="10"/>
        <v>2331.94</v>
      </c>
      <c r="Y54" s="2"/>
      <c r="Z54" s="21">
        <f t="shared" si="11"/>
        <v>0</v>
      </c>
    </row>
    <row r="55" spans="1:26" s="24" customFormat="1" hidden="1" outlineLevel="1" x14ac:dyDescent="0.25">
      <c r="A55" s="46"/>
      <c r="B55" s="11" t="str">
        <f>CONCATENATE("          ", "5541", " - ", "FREIGHT-IN-LOGO GIFTS")</f>
        <v xml:space="preserve">          5541 - FREIGHT-IN-LOGO GIFTS</v>
      </c>
      <c r="C55" s="11"/>
      <c r="D55" s="2">
        <v>405.92</v>
      </c>
      <c r="E55" s="2"/>
      <c r="F55" s="21">
        <f t="shared" si="4"/>
        <v>1.2581808333048952E-3</v>
      </c>
      <c r="G55" s="2"/>
      <c r="H55" s="2"/>
      <c r="I55" s="2"/>
      <c r="J55" s="21">
        <f t="shared" si="5"/>
        <v>0</v>
      </c>
      <c r="K55" s="2"/>
      <c r="L55" s="2">
        <f t="shared" si="6"/>
        <v>405.92</v>
      </c>
      <c r="M55" s="2"/>
      <c r="N55" s="21">
        <f t="shared" si="7"/>
        <v>0</v>
      </c>
      <c r="O55" s="11"/>
      <c r="P55" s="2">
        <v>720.41</v>
      </c>
      <c r="Q55" s="2"/>
      <c r="R55" s="21">
        <f t="shared" si="8"/>
        <v>1.2986166931866327E-3</v>
      </c>
      <c r="S55" s="2"/>
      <c r="T55" s="2"/>
      <c r="U55" s="2"/>
      <c r="V55" s="21">
        <f t="shared" si="9"/>
        <v>0</v>
      </c>
      <c r="W55" s="2"/>
      <c r="X55" s="2">
        <f t="shared" si="10"/>
        <v>720.41</v>
      </c>
      <c r="Y55" s="2"/>
      <c r="Z55" s="21">
        <f t="shared" si="11"/>
        <v>0</v>
      </c>
    </row>
    <row r="56" spans="1:26" s="24" customFormat="1" hidden="1" outlineLevel="1" x14ac:dyDescent="0.25">
      <c r="A56" s="46"/>
      <c r="B56" s="11" t="str">
        <f>CONCATENATE("          ", "5542", " - ", "FREIGHT-IN-EVERYDAY GIFTS")</f>
        <v xml:space="preserve">          5542 - FREIGHT-IN-EVERYDAY GIFTS</v>
      </c>
      <c r="C56" s="11"/>
      <c r="D56" s="2">
        <v>83.05</v>
      </c>
      <c r="E56" s="2"/>
      <c r="F56" s="21">
        <f t="shared" si="4"/>
        <v>2.5741997981368629E-4</v>
      </c>
      <c r="G56" s="2"/>
      <c r="H56" s="2"/>
      <c r="I56" s="2"/>
      <c r="J56" s="21">
        <f t="shared" si="5"/>
        <v>0</v>
      </c>
      <c r="K56" s="2"/>
      <c r="L56" s="2">
        <f t="shared" si="6"/>
        <v>83.05</v>
      </c>
      <c r="M56" s="2"/>
      <c r="N56" s="21">
        <f t="shared" si="7"/>
        <v>0</v>
      </c>
      <c r="O56" s="11"/>
      <c r="P56" s="2">
        <v>112.77</v>
      </c>
      <c r="Q56" s="2"/>
      <c r="R56" s="21">
        <f t="shared" si="8"/>
        <v>2.0328008285650751E-4</v>
      </c>
      <c r="S56" s="2"/>
      <c r="T56" s="2"/>
      <c r="U56" s="2"/>
      <c r="V56" s="21">
        <f t="shared" si="9"/>
        <v>0</v>
      </c>
      <c r="W56" s="2"/>
      <c r="X56" s="2">
        <f t="shared" si="10"/>
        <v>112.77</v>
      </c>
      <c r="Y56" s="2"/>
      <c r="Z56" s="21">
        <f t="shared" si="11"/>
        <v>0</v>
      </c>
    </row>
    <row r="57" spans="1:26" s="24" customFormat="1" hidden="1" outlineLevel="1" x14ac:dyDescent="0.25">
      <c r="A57" s="46"/>
      <c r="B57" s="11" t="str">
        <f>CONCATENATE("          ", "5543", " - ", "FREIGHT-IN-CARDS")</f>
        <v xml:space="preserve">          5543 - FREIGHT-IN-CARDS</v>
      </c>
      <c r="C57" s="11"/>
      <c r="D57" s="2">
        <v>4.58</v>
      </c>
      <c r="E57" s="2"/>
      <c r="F57" s="21">
        <f t="shared" si="4"/>
        <v>1.4196068724222555E-5</v>
      </c>
      <c r="G57" s="2"/>
      <c r="H57" s="2"/>
      <c r="I57" s="2"/>
      <c r="J57" s="21">
        <f t="shared" si="5"/>
        <v>0</v>
      </c>
      <c r="K57" s="2"/>
      <c r="L57" s="2">
        <f t="shared" si="6"/>
        <v>4.58</v>
      </c>
      <c r="M57" s="2"/>
      <c r="N57" s="21">
        <f t="shared" si="7"/>
        <v>0</v>
      </c>
      <c r="O57" s="11"/>
      <c r="P57" s="2">
        <v>4.58</v>
      </c>
      <c r="Q57" s="2"/>
      <c r="R57" s="21">
        <f t="shared" si="8"/>
        <v>8.2559437747876599E-6</v>
      </c>
      <c r="S57" s="2"/>
      <c r="T57" s="2"/>
      <c r="U57" s="2"/>
      <c r="V57" s="21">
        <f t="shared" si="9"/>
        <v>0</v>
      </c>
      <c r="W57" s="2"/>
      <c r="X57" s="2">
        <f t="shared" si="10"/>
        <v>4.58</v>
      </c>
      <c r="Y57" s="2"/>
      <c r="Z57" s="21">
        <f t="shared" si="11"/>
        <v>0</v>
      </c>
    </row>
    <row r="58" spans="1:26" s="24" customFormat="1" hidden="1" outlineLevel="1" x14ac:dyDescent="0.25">
      <c r="A58" s="46"/>
      <c r="B58" s="11" t="str">
        <f>CONCATENATE("          ", "5544", " - ", "FREIGHT-IN-ACCESSORIES")</f>
        <v xml:space="preserve">          5544 - FREIGHT-IN-ACCESSORIES</v>
      </c>
      <c r="C58" s="11"/>
      <c r="D58" s="2">
        <v>84.93</v>
      </c>
      <c r="E58" s="2"/>
      <c r="F58" s="21">
        <f t="shared" si="4"/>
        <v>2.632471870629305E-4</v>
      </c>
      <c r="G58" s="2"/>
      <c r="H58" s="2"/>
      <c r="I58" s="2"/>
      <c r="J58" s="21">
        <f t="shared" si="5"/>
        <v>0</v>
      </c>
      <c r="K58" s="2"/>
      <c r="L58" s="2">
        <f t="shared" si="6"/>
        <v>84.93</v>
      </c>
      <c r="M58" s="2"/>
      <c r="N58" s="21">
        <f t="shared" si="7"/>
        <v>0</v>
      </c>
      <c r="O58" s="11"/>
      <c r="P58" s="2">
        <v>101.66</v>
      </c>
      <c r="Q58" s="2"/>
      <c r="R58" s="21">
        <f t="shared" si="8"/>
        <v>1.8325311007530862E-4</v>
      </c>
      <c r="S58" s="2"/>
      <c r="T58" s="2"/>
      <c r="U58" s="2"/>
      <c r="V58" s="21">
        <f t="shared" si="9"/>
        <v>0</v>
      </c>
      <c r="W58" s="2"/>
      <c r="X58" s="2">
        <f t="shared" si="10"/>
        <v>101.66</v>
      </c>
      <c r="Y58" s="2"/>
      <c r="Z58" s="21">
        <f t="shared" si="11"/>
        <v>0</v>
      </c>
    </row>
    <row r="59" spans="1:26" s="24" customFormat="1" hidden="1" outlineLevel="1" x14ac:dyDescent="0.25">
      <c r="A59" s="46"/>
      <c r="B59" s="11" t="str">
        <f>CONCATENATE("          ", "5545", " - ", "FREIGHT-IN-SPECIAL ORDERS")</f>
        <v xml:space="preserve">          5545 - FREIGHT-IN-SPECIAL ORDERS</v>
      </c>
      <c r="C59" s="11"/>
      <c r="D59" s="2">
        <v>8.8699999999999992</v>
      </c>
      <c r="E59" s="2"/>
      <c r="F59" s="21">
        <f t="shared" si="4"/>
        <v>2.7493259734465949E-5</v>
      </c>
      <c r="G59" s="2"/>
      <c r="H59" s="2"/>
      <c r="I59" s="2"/>
      <c r="J59" s="21">
        <f t="shared" si="5"/>
        <v>0</v>
      </c>
      <c r="K59" s="2"/>
      <c r="L59" s="2">
        <f t="shared" si="6"/>
        <v>8.8699999999999992</v>
      </c>
      <c r="M59" s="2"/>
      <c r="N59" s="21">
        <f t="shared" si="7"/>
        <v>0</v>
      </c>
      <c r="O59" s="11"/>
      <c r="P59" s="2">
        <v>235.95</v>
      </c>
      <c r="Q59" s="2"/>
      <c r="R59" s="21">
        <f t="shared" si="8"/>
        <v>4.253253130264516E-4</v>
      </c>
      <c r="S59" s="2"/>
      <c r="T59" s="2"/>
      <c r="U59" s="2"/>
      <c r="V59" s="21">
        <f t="shared" si="9"/>
        <v>0</v>
      </c>
      <c r="W59" s="2"/>
      <c r="X59" s="2">
        <f t="shared" si="10"/>
        <v>235.95</v>
      </c>
      <c r="Y59" s="2"/>
      <c r="Z59" s="21">
        <f t="shared" si="11"/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6</v>
      </c>
      <c r="C61" s="29"/>
      <c r="D61" s="22">
        <f>D12-D39</f>
        <v>177381.19999999995</v>
      </c>
      <c r="E61" s="14"/>
      <c r="F61" s="20">
        <f>IF(D$12=0,0,D61/D$12)</f>
        <v>0.5498069226168264</v>
      </c>
      <c r="G61" s="14"/>
      <c r="H61" s="22">
        <f>H12-H39</f>
        <v>162818.084</v>
      </c>
      <c r="I61" s="14"/>
      <c r="J61" s="20">
        <f>IF(H$12=0,0,H61/H$12)</f>
        <v>0.54115035805904332</v>
      </c>
      <c r="K61" s="15"/>
      <c r="L61" s="22">
        <f>+D61-H61</f>
        <v>14563.115999999951</v>
      </c>
      <c r="M61" s="15"/>
      <c r="N61" s="20">
        <f>IF(H61=0,0,L61/H61)</f>
        <v>8.9444093937378302E-2</v>
      </c>
      <c r="O61" s="28"/>
      <c r="P61" s="22">
        <f>P12-P39</f>
        <v>302135.16999999993</v>
      </c>
      <c r="Q61" s="14"/>
      <c r="R61" s="20">
        <f>IF(P$12=0,0,P61/P$12)</f>
        <v>0.5446312174467054</v>
      </c>
      <c r="S61" s="14"/>
      <c r="T61" s="22">
        <f>T12-T39</f>
        <v>284583.28549000004</v>
      </c>
      <c r="U61" s="14"/>
      <c r="V61" s="20">
        <f>IF(T$12=0,0,T61/T$12)</f>
        <v>0.53591372817509819</v>
      </c>
      <c r="W61" s="15"/>
      <c r="X61" s="22">
        <f>+P61-T61</f>
        <v>17551.884509999887</v>
      </c>
      <c r="Y61" s="15"/>
      <c r="Z61" s="20">
        <f>IF(T61=0,0,X61/T61)</f>
        <v>6.1675739247225192E-2</v>
      </c>
    </row>
    <row r="62" spans="1:26" x14ac:dyDescent="0.25">
      <c r="A62" s="9"/>
      <c r="B62" s="10"/>
      <c r="C62" s="9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6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x14ac:dyDescent="0.25">
      <c r="A63" s="10"/>
      <c r="B63" s="28" t="s">
        <v>9</v>
      </c>
      <c r="C63" s="10"/>
      <c r="D63" s="19">
        <f>SUM(OSRRefD22x_0)</f>
        <v>87664.199999999983</v>
      </c>
      <c r="E63" s="19"/>
      <c r="F63" s="34">
        <f t="shared" ref="F63:F73" si="12">IF(D$12=0,0,D63/D$12)</f>
        <v>0.27172205411659184</v>
      </c>
      <c r="G63" s="19"/>
      <c r="H63" s="19">
        <f>SUM(OSRRefH22x_0)</f>
        <v>81253.989684575005</v>
      </c>
      <c r="I63" s="19"/>
      <c r="J63" s="34">
        <f t="shared" ref="J63:J73" si="13">IF(H$12=0,0,H63/H$12)</f>
        <v>0.27005983936976913</v>
      </c>
      <c r="K63" s="4"/>
      <c r="L63" s="19">
        <f t="shared" ref="L63:L73" si="14">+D63-H63</f>
        <v>6410.210315424978</v>
      </c>
      <c r="M63" s="4"/>
      <c r="N63" s="34">
        <f t="shared" ref="N63:N73" si="15">IF(H63=0,0,L63/H63)</f>
        <v>7.8891022340062053E-2</v>
      </c>
      <c r="O63" s="10"/>
      <c r="P63" s="19">
        <f>SUM(OSRRefP22x_0)</f>
        <v>171838.49000000005</v>
      </c>
      <c r="Q63" s="19"/>
      <c r="R63" s="34">
        <f t="shared" ref="R63:R73" si="16">IF(P$12=0,0,P63/P$12)</f>
        <v>0.30975740431974064</v>
      </c>
      <c r="S63" s="19"/>
      <c r="T63" s="19">
        <f>SUM(OSRRefT22x_0)</f>
        <v>165022.77225154376</v>
      </c>
      <c r="U63" s="19"/>
      <c r="V63" s="34">
        <f t="shared" ref="V63:V73" si="17">IF(T$12=0,0,T63/T$12)</f>
        <v>0.31076304765700158</v>
      </c>
      <c r="W63" s="4"/>
      <c r="X63" s="19">
        <f t="shared" ref="X63:X73" si="18">+P63-T63</f>
        <v>6815.7177484562853</v>
      </c>
      <c r="Y63" s="4"/>
      <c r="Z63" s="34">
        <f t="shared" ref="Z63:Z73" si="19">IF(T63=0,0,X63/T63)</f>
        <v>4.1301680098229751E-2</v>
      </c>
    </row>
    <row r="64" spans="1:26" s="26" customFormat="1" outlineLevel="1" collapsed="1" x14ac:dyDescent="0.25">
      <c r="A64" s="25"/>
      <c r="B64" s="13" t="str">
        <f>CONCATENATE("     ","*Benefits                                         ")</f>
        <v xml:space="preserve">     *Benefits                                         </v>
      </c>
      <c r="C64" s="13"/>
      <c r="D64" s="1">
        <f>SUM(OSRRefD22_0x_0)</f>
        <v>9200.4699999999993</v>
      </c>
      <c r="E64" s="1"/>
      <c r="F64" s="5">
        <f t="shared" si="12"/>
        <v>2.8517577383220059E-2</v>
      </c>
      <c r="G64" s="1"/>
      <c r="H64" s="1">
        <f>SUM(OSRRefH22_0x_0)</f>
        <v>7304.4360595749977</v>
      </c>
      <c r="I64" s="1"/>
      <c r="J64" s="5">
        <f t="shared" si="13"/>
        <v>2.4277390397607169E-2</v>
      </c>
      <c r="K64" s="1"/>
      <c r="L64" s="1">
        <f t="shared" si="14"/>
        <v>1896.0339404250017</v>
      </c>
      <c r="M64" s="1"/>
      <c r="N64" s="5">
        <f t="shared" si="15"/>
        <v>0.2595729396439293</v>
      </c>
      <c r="O64" s="13"/>
      <c r="P64" s="1">
        <f>SUM(OSRRefP22_0x_0)</f>
        <v>19257.28</v>
      </c>
      <c r="Q64" s="1"/>
      <c r="R64" s="5">
        <f t="shared" si="16"/>
        <v>3.4713323348328148E-2</v>
      </c>
      <c r="S64" s="1"/>
      <c r="T64" s="1">
        <f>SUM(OSRRefT22_0x_0)</f>
        <v>15267.776595293748</v>
      </c>
      <c r="U64" s="1"/>
      <c r="V64" s="5">
        <f t="shared" si="17"/>
        <v>2.8751551806846697E-2</v>
      </c>
      <c r="W64" s="1"/>
      <c r="X64" s="1">
        <f t="shared" si="18"/>
        <v>3989.5034047062509</v>
      </c>
      <c r="Y64" s="1"/>
      <c r="Z64" s="5">
        <f t="shared" si="19"/>
        <v>0.2613021863272485</v>
      </c>
    </row>
    <row r="65" spans="1:26" s="24" customFormat="1" hidden="1" outlineLevel="2" x14ac:dyDescent="0.25">
      <c r="A65" s="27"/>
      <c r="B65" s="11" t="str">
        <f>CONCATENATE("          ", "6111", " - ", "F.I.C.A.")</f>
        <v xml:space="preserve">          6111 - F.I.C.A.</v>
      </c>
      <c r="C65" s="11"/>
      <c r="D65" s="6">
        <v>2709.09</v>
      </c>
      <c r="E65" s="2"/>
      <c r="F65" s="7">
        <f t="shared" si="12"/>
        <v>8.3970366419441229E-3</v>
      </c>
      <c r="G65" s="2"/>
      <c r="H65" s="6">
        <v>2332.0013055749987</v>
      </c>
      <c r="I65" s="2"/>
      <c r="J65" s="7">
        <f t="shared" si="13"/>
        <v>7.7507566143946707E-3</v>
      </c>
      <c r="K65" s="2"/>
      <c r="L65" s="6">
        <f t="shared" si="14"/>
        <v>377.08869442500145</v>
      </c>
      <c r="M65" s="2"/>
      <c r="N65" s="7">
        <f t="shared" si="15"/>
        <v>0.16170175099109696</v>
      </c>
      <c r="O65" s="11"/>
      <c r="P65" s="6">
        <v>5045.38</v>
      </c>
      <c r="Q65" s="2"/>
      <c r="R65" s="7">
        <f t="shared" si="16"/>
        <v>9.0948413979122632E-3</v>
      </c>
      <c r="S65" s="2"/>
      <c r="T65" s="6">
        <v>4927.6145487937501</v>
      </c>
      <c r="U65" s="2"/>
      <c r="V65" s="7">
        <f t="shared" si="17"/>
        <v>9.279449702420093E-3</v>
      </c>
      <c r="W65" s="2"/>
      <c r="X65" s="6">
        <f t="shared" si="18"/>
        <v>117.76545120624996</v>
      </c>
      <c r="Y65" s="2"/>
      <c r="Z65" s="7">
        <f t="shared" si="19"/>
        <v>2.3899079369971869E-2</v>
      </c>
    </row>
    <row r="66" spans="1:26" s="24" customFormat="1" hidden="1" outlineLevel="2" x14ac:dyDescent="0.25">
      <c r="A66" s="27"/>
      <c r="B66" s="11" t="str">
        <f>CONCATENATE("          ", "6112", " - ", "COMPENSATION INSURANCE")</f>
        <v xml:space="preserve">          6112 - COMPENSATION INSURANCE</v>
      </c>
      <c r="C66" s="11"/>
      <c r="D66" s="6">
        <v>730.21</v>
      </c>
      <c r="E66" s="2"/>
      <c r="F66" s="7">
        <f t="shared" si="12"/>
        <v>2.2633430880162776E-3</v>
      </c>
      <c r="G66" s="2"/>
      <c r="H66" s="6">
        <v>578.9628224999999</v>
      </c>
      <c r="I66" s="2"/>
      <c r="J66" s="7">
        <f t="shared" si="13"/>
        <v>1.9242699029596081E-3</v>
      </c>
      <c r="K66" s="2"/>
      <c r="L66" s="6">
        <f t="shared" si="14"/>
        <v>151.24717750000013</v>
      </c>
      <c r="M66" s="2"/>
      <c r="N66" s="7">
        <f t="shared" si="15"/>
        <v>0.26123815143588114</v>
      </c>
      <c r="O66" s="11"/>
      <c r="P66" s="6">
        <v>1275.47</v>
      </c>
      <c r="Q66" s="2"/>
      <c r="R66" s="7">
        <f t="shared" si="16"/>
        <v>2.2991721848096983E-3</v>
      </c>
      <c r="S66" s="2"/>
      <c r="T66" s="6">
        <v>1223.3722256249998</v>
      </c>
      <c r="U66" s="2"/>
      <c r="V66" s="7">
        <f t="shared" si="17"/>
        <v>2.3037964764926399E-3</v>
      </c>
      <c r="W66" s="2"/>
      <c r="X66" s="6">
        <f t="shared" si="18"/>
        <v>52.097774375000199</v>
      </c>
      <c r="Y66" s="2"/>
      <c r="Z66" s="7">
        <f t="shared" si="19"/>
        <v>4.2585382669109023E-2</v>
      </c>
    </row>
    <row r="67" spans="1:26" s="24" customFormat="1" hidden="1" outlineLevel="2" x14ac:dyDescent="0.25">
      <c r="A67" s="27"/>
      <c r="B67" s="11" t="str">
        <f>CONCATENATE("          ", "6113", " - ", "GROUP INSURANCE")</f>
        <v xml:space="preserve">          6113 - GROUP INSURANCE</v>
      </c>
      <c r="C67" s="11"/>
      <c r="D67" s="6">
        <v>3252.74</v>
      </c>
      <c r="E67" s="2"/>
      <c r="F67" s="7">
        <f t="shared" si="12"/>
        <v>1.0082122397822635E-2</v>
      </c>
      <c r="G67" s="2"/>
      <c r="H67" s="6">
        <v>2863.75</v>
      </c>
      <c r="I67" s="2"/>
      <c r="J67" s="7">
        <f t="shared" si="13"/>
        <v>9.5181032709584362E-3</v>
      </c>
      <c r="K67" s="2"/>
      <c r="L67" s="6">
        <f t="shared" si="14"/>
        <v>388.98999999999978</v>
      </c>
      <c r="M67" s="2"/>
      <c r="N67" s="7">
        <f t="shared" si="15"/>
        <v>0.13583238760366645</v>
      </c>
      <c r="O67" s="11"/>
      <c r="P67" s="6">
        <v>6037.83</v>
      </c>
      <c r="Q67" s="2"/>
      <c r="R67" s="7">
        <f t="shared" si="16"/>
        <v>1.088383952002755E-2</v>
      </c>
      <c r="S67" s="2"/>
      <c r="T67" s="6">
        <v>5727.5</v>
      </c>
      <c r="U67" s="2"/>
      <c r="V67" s="7">
        <f t="shared" si="17"/>
        <v>1.0785755997011048E-2</v>
      </c>
      <c r="W67" s="2"/>
      <c r="X67" s="6">
        <f t="shared" si="18"/>
        <v>310.32999999999993</v>
      </c>
      <c r="Y67" s="2"/>
      <c r="Z67" s="7">
        <f t="shared" si="19"/>
        <v>5.4182453077258823E-2</v>
      </c>
    </row>
    <row r="68" spans="1:26" s="24" customFormat="1" hidden="1" outlineLevel="2" x14ac:dyDescent="0.25">
      <c r="A68" s="27"/>
      <c r="B68" s="11" t="str">
        <f>CONCATENATE("          ", "6114", " - ", "STATE UNEMPLOYMENT INSURANCE")</f>
        <v xml:space="preserve">          6114 - STATE UNEMPLOYMENT INSURANCE</v>
      </c>
      <c r="C68" s="11"/>
      <c r="D68" s="6">
        <v>91.19</v>
      </c>
      <c r="E68" s="2"/>
      <c r="F68" s="7">
        <f t="shared" si="12"/>
        <v>2.82650547371584E-4</v>
      </c>
      <c r="G68" s="2"/>
      <c r="H68" s="6">
        <v>79.226491499999995</v>
      </c>
      <c r="I68" s="2"/>
      <c r="J68" s="7">
        <f t="shared" si="13"/>
        <v>2.6332114461552535E-4</v>
      </c>
      <c r="K68" s="2"/>
      <c r="L68" s="6">
        <f t="shared" si="14"/>
        <v>11.963508500000003</v>
      </c>
      <c r="M68" s="2"/>
      <c r="N68" s="7">
        <f t="shared" si="15"/>
        <v>0.15100389116688329</v>
      </c>
      <c r="O68" s="11"/>
      <c r="P68" s="6">
        <v>165.8</v>
      </c>
      <c r="Q68" s="2"/>
      <c r="R68" s="7">
        <f t="shared" si="16"/>
        <v>2.9887237507855767E-4</v>
      </c>
      <c r="S68" s="2"/>
      <c r="T68" s="6">
        <v>167.40883087500001</v>
      </c>
      <c r="U68" s="2"/>
      <c r="V68" s="7">
        <f t="shared" si="17"/>
        <v>3.1525635994109812E-4</v>
      </c>
      <c r="W68" s="2"/>
      <c r="X68" s="6">
        <f t="shared" si="18"/>
        <v>-1.6088308749999953</v>
      </c>
      <c r="Y68" s="2"/>
      <c r="Z68" s="7">
        <f t="shared" si="19"/>
        <v>-9.6101912102908669E-3</v>
      </c>
    </row>
    <row r="69" spans="1:26" s="24" customFormat="1" hidden="1" outlineLevel="2" x14ac:dyDescent="0.25">
      <c r="A69" s="27"/>
      <c r="B69" s="11" t="str">
        <f>CONCATENATE("          ", "6115", " - ", "P.E.R.S.")</f>
        <v xml:space="preserve">          6115 - P.E.R.S.</v>
      </c>
      <c r="C69" s="11"/>
      <c r="D69" s="6">
        <v>902.12</v>
      </c>
      <c r="E69" s="2"/>
      <c r="F69" s="7">
        <f t="shared" si="12"/>
        <v>2.7961915977064741E-3</v>
      </c>
      <c r="G69" s="2"/>
      <c r="H69" s="6">
        <v>782.03906500000005</v>
      </c>
      <c r="I69" s="2"/>
      <c r="J69" s="7">
        <f t="shared" si="13"/>
        <v>2.5992242977193459E-3</v>
      </c>
      <c r="K69" s="2"/>
      <c r="L69" s="6">
        <f t="shared" si="14"/>
        <v>120.08093499999995</v>
      </c>
      <c r="M69" s="2"/>
      <c r="N69" s="7">
        <f t="shared" si="15"/>
        <v>0.15354851231121036</v>
      </c>
      <c r="O69" s="11"/>
      <c r="P69" s="6">
        <v>1728.05</v>
      </c>
      <c r="Q69" s="2"/>
      <c r="R69" s="7">
        <f t="shared" si="16"/>
        <v>3.1149964279523616E-3</v>
      </c>
      <c r="S69" s="2"/>
      <c r="T69" s="6">
        <v>1759.5878962500001</v>
      </c>
      <c r="U69" s="2"/>
      <c r="V69" s="7">
        <f t="shared" si="17"/>
        <v>3.3135723621556513E-3</v>
      </c>
      <c r="W69" s="2"/>
      <c r="X69" s="6">
        <f t="shared" si="18"/>
        <v>-31.537896250000131</v>
      </c>
      <c r="Y69" s="2"/>
      <c r="Z69" s="7">
        <f t="shared" si="19"/>
        <v>-1.792345600763286E-2</v>
      </c>
    </row>
    <row r="70" spans="1:26" s="24" customFormat="1" hidden="1" outlineLevel="2" x14ac:dyDescent="0.25">
      <c r="A70" s="27"/>
      <c r="B70" s="11" t="str">
        <f>CONCATENATE("          ", "6116", " - ", "EDUCATIONAL BENEFITS")</f>
        <v xml:space="preserve">          6116 - EDUCATIONAL BENEFITS</v>
      </c>
      <c r="C70" s="11"/>
      <c r="D70" s="6"/>
      <c r="E70" s="2"/>
      <c r="F70" s="7">
        <f t="shared" si="12"/>
        <v>0</v>
      </c>
      <c r="G70" s="2"/>
      <c r="H70" s="6">
        <v>0</v>
      </c>
      <c r="I70" s="2"/>
      <c r="J70" s="7">
        <f t="shared" si="13"/>
        <v>0</v>
      </c>
      <c r="K70" s="2"/>
      <c r="L70" s="6">
        <f t="shared" si="14"/>
        <v>0</v>
      </c>
      <c r="M70" s="2"/>
      <c r="N70" s="7">
        <f t="shared" si="15"/>
        <v>0</v>
      </c>
      <c r="O70" s="11"/>
      <c r="P70" s="6"/>
      <c r="Q70" s="2"/>
      <c r="R70" s="7">
        <f t="shared" si="16"/>
        <v>0</v>
      </c>
      <c r="S70" s="2"/>
      <c r="T70" s="6">
        <v>0</v>
      </c>
      <c r="U70" s="2"/>
      <c r="V70" s="7">
        <f t="shared" si="17"/>
        <v>0</v>
      </c>
      <c r="W70" s="2"/>
      <c r="X70" s="6">
        <f t="shared" si="18"/>
        <v>0</v>
      </c>
      <c r="Y70" s="2"/>
      <c r="Z70" s="7">
        <f t="shared" si="19"/>
        <v>0</v>
      </c>
    </row>
    <row r="71" spans="1:26" s="24" customFormat="1" hidden="1" outlineLevel="2" x14ac:dyDescent="0.25">
      <c r="A71" s="27"/>
      <c r="B71" s="11" t="str">
        <f>CONCATENATE("          ", "6118", " - ", "VACATION")</f>
        <v xml:space="preserve">          6118 - VACATION</v>
      </c>
      <c r="C71" s="11"/>
      <c r="D71" s="6">
        <v>753.6</v>
      </c>
      <c r="E71" s="2"/>
      <c r="F71" s="7">
        <f t="shared" si="12"/>
        <v>2.3358422250161826E-3</v>
      </c>
      <c r="G71" s="2"/>
      <c r="H71" s="6">
        <v>272.80432499999989</v>
      </c>
      <c r="I71" s="2"/>
      <c r="J71" s="7">
        <f t="shared" si="13"/>
        <v>9.0670615036721333E-4</v>
      </c>
      <c r="K71" s="2"/>
      <c r="L71" s="6">
        <f t="shared" si="14"/>
        <v>480.79567500000013</v>
      </c>
      <c r="M71" s="2"/>
      <c r="N71" s="7">
        <f t="shared" si="15"/>
        <v>1.7624195474173672</v>
      </c>
      <c r="O71" s="11"/>
      <c r="P71" s="6">
        <v>1906.76</v>
      </c>
      <c r="Q71" s="2"/>
      <c r="R71" s="7">
        <f t="shared" si="16"/>
        <v>3.4371404698720783E-3</v>
      </c>
      <c r="S71" s="2"/>
      <c r="T71" s="6">
        <v>613.80973125000003</v>
      </c>
      <c r="U71" s="2"/>
      <c r="V71" s="7">
        <f t="shared" si="17"/>
        <v>1.1558973356356923E-3</v>
      </c>
      <c r="W71" s="2"/>
      <c r="X71" s="6">
        <f t="shared" si="18"/>
        <v>1292.9502687499999</v>
      </c>
      <c r="Y71" s="2"/>
      <c r="Z71" s="7">
        <f t="shared" si="19"/>
        <v>2.1064349470591743</v>
      </c>
    </row>
    <row r="72" spans="1:26" s="24" customFormat="1" hidden="1" outlineLevel="2" x14ac:dyDescent="0.25">
      <c r="A72" s="27"/>
      <c r="B72" s="11" t="str">
        <f>CONCATENATE("          ", "6119", " - ", "SICK LEAVE")</f>
        <v xml:space="preserve">          6119 - SICK LEAVE</v>
      </c>
      <c r="C72" s="11"/>
      <c r="D72" s="6">
        <v>465.7</v>
      </c>
      <c r="E72" s="2"/>
      <c r="F72" s="7">
        <f t="shared" si="12"/>
        <v>1.443473625517564E-3</v>
      </c>
      <c r="G72" s="2"/>
      <c r="H72" s="6">
        <v>395.65204999999997</v>
      </c>
      <c r="I72" s="2"/>
      <c r="J72" s="7">
        <f t="shared" si="13"/>
        <v>1.3150090165923738E-3</v>
      </c>
      <c r="K72" s="2"/>
      <c r="L72" s="6">
        <f t="shared" si="14"/>
        <v>70.047950000000014</v>
      </c>
      <c r="M72" s="2"/>
      <c r="N72" s="7">
        <f t="shared" si="15"/>
        <v>0.17704432467871711</v>
      </c>
      <c r="O72" s="11"/>
      <c r="P72" s="6">
        <v>2654.07</v>
      </c>
      <c r="Q72" s="2"/>
      <c r="R72" s="7">
        <f t="shared" si="16"/>
        <v>4.7842473131770062E-3</v>
      </c>
      <c r="S72" s="2"/>
      <c r="T72" s="6">
        <v>848.4833625</v>
      </c>
      <c r="U72" s="2"/>
      <c r="V72" s="7">
        <f t="shared" si="17"/>
        <v>1.5978235731904798E-3</v>
      </c>
      <c r="W72" s="2"/>
      <c r="X72" s="6">
        <f t="shared" si="18"/>
        <v>1805.5866375000001</v>
      </c>
      <c r="Y72" s="2"/>
      <c r="Z72" s="7">
        <f t="shared" si="19"/>
        <v>2.1280165496468411</v>
      </c>
    </row>
    <row r="73" spans="1:26" s="24" customFormat="1" hidden="1" outlineLevel="2" x14ac:dyDescent="0.25">
      <c r="A73" s="27"/>
      <c r="B73" s="11" t="str">
        <f>CONCATENATE("          ", "6156", " - ", "EMPLOYEE MEALS")</f>
        <v xml:space="preserve">          6156 - EMPLOYEE MEALS</v>
      </c>
      <c r="C73" s="11"/>
      <c r="D73" s="6">
        <v>295.82</v>
      </c>
      <c r="E73" s="2"/>
      <c r="F73" s="7">
        <f t="shared" si="12"/>
        <v>9.1691725982522183E-4</v>
      </c>
      <c r="G73" s="2"/>
      <c r="H73" s="6"/>
      <c r="I73" s="2"/>
      <c r="J73" s="7">
        <f t="shared" si="13"/>
        <v>0</v>
      </c>
      <c r="K73" s="2"/>
      <c r="L73" s="6">
        <f t="shared" si="14"/>
        <v>295.82</v>
      </c>
      <c r="M73" s="2"/>
      <c r="N73" s="7">
        <f t="shared" si="15"/>
        <v>0</v>
      </c>
      <c r="O73" s="11"/>
      <c r="P73" s="6">
        <v>443.92</v>
      </c>
      <c r="Q73" s="2"/>
      <c r="R73" s="7">
        <f t="shared" si="16"/>
        <v>8.0021365949863282E-4</v>
      </c>
      <c r="S73" s="2"/>
      <c r="T73" s="6"/>
      <c r="U73" s="2"/>
      <c r="V73" s="7">
        <f t="shared" si="17"/>
        <v>0</v>
      </c>
      <c r="W73" s="2"/>
      <c r="X73" s="6">
        <f t="shared" si="18"/>
        <v>443.92</v>
      </c>
      <c r="Y73" s="2"/>
      <c r="Z73" s="7">
        <f t="shared" si="19"/>
        <v>0</v>
      </c>
    </row>
    <row r="74" spans="1:26" s="26" customFormat="1" outlineLevel="1" collapsed="1" x14ac:dyDescent="0.25">
      <c r="A74" s="25"/>
      <c r="B74" s="13" t="str">
        <f>CONCATENATE("     ","*Payroll                                          ")</f>
        <v xml:space="preserve">     *Payroll                                          </v>
      </c>
      <c r="C74" s="13"/>
      <c r="D74" s="1">
        <f>SUM(OSRRefD22_1x_0)</f>
        <v>35279.479999999996</v>
      </c>
      <c r="E74" s="1"/>
      <c r="F74" s="5">
        <f t="shared" ref="F74:F84" si="20">IF(D$12=0,0,D74/D$12)</f>
        <v>0.10935151149232207</v>
      </c>
      <c r="G74" s="1"/>
      <c r="H74" s="1">
        <f>SUM(OSRRefH22_1x_0)</f>
        <v>30017.053625</v>
      </c>
      <c r="I74" s="1"/>
      <c r="J74" s="5">
        <f t="shared" ref="J74:J84" si="21">IF(H$12=0,0,H74/H$12)</f>
        <v>9.9766186396384904E-2</v>
      </c>
      <c r="K74" s="1"/>
      <c r="L74" s="1">
        <f t="shared" ref="L74:L84" si="22">+D74-H74</f>
        <v>5262.4263749999955</v>
      </c>
      <c r="M74" s="1"/>
      <c r="N74" s="5">
        <f t="shared" ref="N74:N84" si="23">IF(H74=0,0,L74/H74)</f>
        <v>0.17531455421118119</v>
      </c>
      <c r="O74" s="13"/>
      <c r="P74" s="1">
        <f>SUM(OSRRefP22_1x_0)</f>
        <v>70485.94</v>
      </c>
      <c r="Q74" s="1"/>
      <c r="R74" s="5">
        <f t="shared" ref="R74:R84" si="24">IF(P$12=0,0,P74/P$12)</f>
        <v>0.12705850601595123</v>
      </c>
      <c r="S74" s="1"/>
      <c r="T74" s="1">
        <f>SUM(OSRRefT22_1x_0)</f>
        <v>63364.995656250001</v>
      </c>
      <c r="U74" s="1"/>
      <c r="V74" s="5">
        <f t="shared" ref="V74:V84" si="25">IF(T$12=0,0,T74/T$12)</f>
        <v>0.11932595057179878</v>
      </c>
      <c r="W74" s="1"/>
      <c r="X74" s="1">
        <f t="shared" ref="X74:X84" si="26">+P74-T74</f>
        <v>7120.9443437500013</v>
      </c>
      <c r="Y74" s="1"/>
      <c r="Z74" s="5">
        <f t="shared" ref="Z74:Z84" si="27">IF(T74=0,0,X74/T74)</f>
        <v>0.11237978113942516</v>
      </c>
    </row>
    <row r="75" spans="1:26" s="24" customFormat="1" hidden="1" outlineLevel="2" x14ac:dyDescent="0.25">
      <c r="A75" s="27"/>
      <c r="B75" s="11" t="str">
        <f>CONCATENATE("          ", "6001", " - ", "ADMINISTRATIVE SALARIES")</f>
        <v xml:space="preserve">          6001 - ADMINISTRATIVE SALARIES</v>
      </c>
      <c r="C75" s="11"/>
      <c r="D75" s="6"/>
      <c r="E75" s="2"/>
      <c r="F75" s="7">
        <f t="shared" si="20"/>
        <v>0</v>
      </c>
      <c r="G75" s="2"/>
      <c r="H75" s="6">
        <v>0</v>
      </c>
      <c r="I75" s="2"/>
      <c r="J75" s="7">
        <f t="shared" si="21"/>
        <v>0</v>
      </c>
      <c r="K75" s="2"/>
      <c r="L75" s="6">
        <f t="shared" si="22"/>
        <v>0</v>
      </c>
      <c r="M75" s="2"/>
      <c r="N75" s="7">
        <f t="shared" si="23"/>
        <v>0</v>
      </c>
      <c r="O75" s="11"/>
      <c r="P75" s="6"/>
      <c r="Q75" s="2"/>
      <c r="R75" s="7">
        <f t="shared" si="24"/>
        <v>0</v>
      </c>
      <c r="S75" s="2"/>
      <c r="T75" s="6">
        <v>0</v>
      </c>
      <c r="U75" s="2"/>
      <c r="V75" s="7">
        <f t="shared" si="25"/>
        <v>0</v>
      </c>
      <c r="W75" s="2"/>
      <c r="X75" s="6">
        <f t="shared" si="26"/>
        <v>0</v>
      </c>
      <c r="Y75" s="2"/>
      <c r="Z75" s="7">
        <f t="shared" si="27"/>
        <v>0</v>
      </c>
    </row>
    <row r="76" spans="1:26" s="24" customFormat="1" hidden="1" outlineLevel="2" x14ac:dyDescent="0.25">
      <c r="A76" s="27"/>
      <c r="B76" s="11" t="str">
        <f>CONCATENATE("          ", "6002", " - ", "STAFF SALARIES")</f>
        <v xml:space="preserve">          6002 - STAFF SALARIES</v>
      </c>
      <c r="C76" s="11"/>
      <c r="D76" s="6">
        <v>9181.09</v>
      </c>
      <c r="E76" s="2"/>
      <c r="F76" s="7">
        <f t="shared" si="20"/>
        <v>2.8457507555299664E-2</v>
      </c>
      <c r="G76" s="2"/>
      <c r="H76" s="6">
        <v>8638.8036250000005</v>
      </c>
      <c r="I76" s="2"/>
      <c r="J76" s="7">
        <f t="shared" si="21"/>
        <v>2.8712361428295103E-2</v>
      </c>
      <c r="K76" s="2"/>
      <c r="L76" s="6">
        <f t="shared" si="22"/>
        <v>542.28637499999968</v>
      </c>
      <c r="M76" s="2"/>
      <c r="N76" s="7">
        <f t="shared" si="23"/>
        <v>6.27733189154418E-2</v>
      </c>
      <c r="O76" s="11"/>
      <c r="P76" s="6">
        <v>17455.969999999998</v>
      </c>
      <c r="Q76" s="2"/>
      <c r="R76" s="7">
        <f t="shared" si="24"/>
        <v>3.1466267872135398E-2</v>
      </c>
      <c r="S76" s="2"/>
      <c r="T76" s="6">
        <v>19437.308156250001</v>
      </c>
      <c r="U76" s="2"/>
      <c r="V76" s="7">
        <f t="shared" si="25"/>
        <v>3.6603415628463587E-2</v>
      </c>
      <c r="W76" s="2"/>
      <c r="X76" s="6">
        <f t="shared" si="26"/>
        <v>-1981.3381562500035</v>
      </c>
      <c r="Y76" s="2"/>
      <c r="Z76" s="7">
        <f t="shared" si="27"/>
        <v>-0.10193480189348703</v>
      </c>
    </row>
    <row r="77" spans="1:26" s="24" customFormat="1" hidden="1" outlineLevel="2" x14ac:dyDescent="0.25">
      <c r="A77" s="27"/>
      <c r="B77" s="11" t="str">
        <f>CONCATENATE("          ", "6003", " - ", "STAFF HOURLY-9 MONTH")</f>
        <v xml:space="preserve">          6003 - STAFF HOURLY-9 MONTH</v>
      </c>
      <c r="C77" s="11"/>
      <c r="D77" s="6"/>
      <c r="E77" s="2"/>
      <c r="F77" s="7">
        <f t="shared" si="20"/>
        <v>0</v>
      </c>
      <c r="G77" s="2"/>
      <c r="H77" s="6">
        <v>0</v>
      </c>
      <c r="I77" s="2"/>
      <c r="J77" s="7">
        <f t="shared" si="21"/>
        <v>0</v>
      </c>
      <c r="K77" s="2"/>
      <c r="L77" s="6">
        <f t="shared" si="22"/>
        <v>0</v>
      </c>
      <c r="M77" s="2"/>
      <c r="N77" s="7">
        <f t="shared" si="23"/>
        <v>0</v>
      </c>
      <c r="O77" s="11"/>
      <c r="P77" s="6"/>
      <c r="Q77" s="2"/>
      <c r="R77" s="7">
        <f t="shared" si="24"/>
        <v>0</v>
      </c>
      <c r="S77" s="2"/>
      <c r="T77" s="6">
        <v>0</v>
      </c>
      <c r="U77" s="2"/>
      <c r="V77" s="7">
        <f t="shared" si="25"/>
        <v>0</v>
      </c>
      <c r="W77" s="2"/>
      <c r="X77" s="6">
        <f t="shared" si="26"/>
        <v>0</v>
      </c>
      <c r="Y77" s="2"/>
      <c r="Z77" s="7">
        <f t="shared" si="27"/>
        <v>0</v>
      </c>
    </row>
    <row r="78" spans="1:26" s="24" customFormat="1" hidden="1" outlineLevel="2" x14ac:dyDescent="0.25">
      <c r="A78" s="27"/>
      <c r="B78" s="11" t="str">
        <f>CONCATENATE("          ", "6004", " - ", "STAFF HOURLY")</f>
        <v xml:space="preserve">          6004 - STAFF HOURLY</v>
      </c>
      <c r="C78" s="11"/>
      <c r="D78" s="6"/>
      <c r="E78" s="2"/>
      <c r="F78" s="7">
        <f t="shared" si="20"/>
        <v>0</v>
      </c>
      <c r="G78" s="2"/>
      <c r="H78" s="6">
        <v>3733.75</v>
      </c>
      <c r="I78" s="2"/>
      <c r="J78" s="7">
        <f t="shared" si="21"/>
        <v>1.2409678948211631E-2</v>
      </c>
      <c r="K78" s="2"/>
      <c r="L78" s="6">
        <f t="shared" si="22"/>
        <v>-3733.75</v>
      </c>
      <c r="M78" s="2"/>
      <c r="N78" s="7">
        <f t="shared" si="23"/>
        <v>-1</v>
      </c>
      <c r="O78" s="11"/>
      <c r="P78" s="6"/>
      <c r="Q78" s="2"/>
      <c r="R78" s="7">
        <f t="shared" si="24"/>
        <v>0</v>
      </c>
      <c r="S78" s="2"/>
      <c r="T78" s="6">
        <v>8400.9375</v>
      </c>
      <c r="U78" s="2"/>
      <c r="V78" s="7">
        <f t="shared" si="25"/>
        <v>1.5820246533590571E-2</v>
      </c>
      <c r="W78" s="2"/>
      <c r="X78" s="6">
        <f t="shared" si="26"/>
        <v>-8400.9375</v>
      </c>
      <c r="Y78" s="2"/>
      <c r="Z78" s="7">
        <f t="shared" si="27"/>
        <v>-1</v>
      </c>
    </row>
    <row r="79" spans="1:26" s="24" customFormat="1" hidden="1" outlineLevel="2" x14ac:dyDescent="0.25">
      <c r="A79" s="27"/>
      <c r="B79" s="11" t="str">
        <f>CONCATENATE("          ", "6005", " - ", "TEMPORARY WAGES-HOURLY")</f>
        <v xml:space="preserve">          6005 - TEMPORARY WAGES-HOURLY</v>
      </c>
      <c r="C79" s="11"/>
      <c r="D79" s="6">
        <v>3471.22</v>
      </c>
      <c r="E79" s="2"/>
      <c r="F79" s="7">
        <f t="shared" si="20"/>
        <v>1.0759318270064587E-2</v>
      </c>
      <c r="G79" s="2"/>
      <c r="H79" s="6">
        <v>0</v>
      </c>
      <c r="I79" s="2"/>
      <c r="J79" s="7">
        <f t="shared" si="21"/>
        <v>0</v>
      </c>
      <c r="K79" s="2"/>
      <c r="L79" s="6">
        <f t="shared" si="22"/>
        <v>3471.22</v>
      </c>
      <c r="M79" s="2"/>
      <c r="N79" s="7">
        <f t="shared" si="23"/>
        <v>0</v>
      </c>
      <c r="O79" s="11"/>
      <c r="P79" s="6">
        <v>7996.94</v>
      </c>
      <c r="Q79" s="2"/>
      <c r="R79" s="7">
        <f t="shared" si="24"/>
        <v>1.4415346508810137E-2</v>
      </c>
      <c r="S79" s="2"/>
      <c r="T79" s="6">
        <v>0</v>
      </c>
      <c r="U79" s="2"/>
      <c r="V79" s="7">
        <f t="shared" si="25"/>
        <v>0</v>
      </c>
      <c r="W79" s="2"/>
      <c r="X79" s="6">
        <f t="shared" si="26"/>
        <v>7996.94</v>
      </c>
      <c r="Y79" s="2"/>
      <c r="Z79" s="7">
        <f t="shared" si="27"/>
        <v>0</v>
      </c>
    </row>
    <row r="80" spans="1:26" s="24" customFormat="1" hidden="1" outlineLevel="2" x14ac:dyDescent="0.25">
      <c r="A80" s="27"/>
      <c r="B80" s="11" t="str">
        <f>CONCATENATE("          ", "6006", " - ", "TEMPORARY PART TIME")</f>
        <v xml:space="preserve">          6006 - TEMPORARY PART TIME</v>
      </c>
      <c r="C80" s="11"/>
      <c r="D80" s="6"/>
      <c r="E80" s="2"/>
      <c r="F80" s="7">
        <f t="shared" si="20"/>
        <v>0</v>
      </c>
      <c r="G80" s="2"/>
      <c r="H80" s="6">
        <v>0</v>
      </c>
      <c r="I80" s="2"/>
      <c r="J80" s="7">
        <f t="shared" si="21"/>
        <v>0</v>
      </c>
      <c r="K80" s="2"/>
      <c r="L80" s="6">
        <f t="shared" si="22"/>
        <v>0</v>
      </c>
      <c r="M80" s="2"/>
      <c r="N80" s="7">
        <f t="shared" si="23"/>
        <v>0</v>
      </c>
      <c r="O80" s="11"/>
      <c r="P80" s="6"/>
      <c r="Q80" s="2"/>
      <c r="R80" s="7">
        <f t="shared" si="24"/>
        <v>0</v>
      </c>
      <c r="S80" s="2"/>
      <c r="T80" s="6">
        <v>0</v>
      </c>
      <c r="U80" s="2"/>
      <c r="V80" s="7">
        <f t="shared" si="25"/>
        <v>0</v>
      </c>
      <c r="W80" s="2"/>
      <c r="X80" s="6">
        <f t="shared" si="26"/>
        <v>0</v>
      </c>
      <c r="Y80" s="2"/>
      <c r="Z80" s="7">
        <f t="shared" si="27"/>
        <v>0</v>
      </c>
    </row>
    <row r="81" spans="1:26" s="24" customFormat="1" hidden="1" outlineLevel="2" x14ac:dyDescent="0.25">
      <c r="A81" s="27"/>
      <c r="B81" s="11" t="str">
        <f>CONCATENATE("          ", "6007", " - ", "STUDENT HOURLY")</f>
        <v xml:space="preserve">          6007 - STUDENT HOURLY</v>
      </c>
      <c r="C81" s="11"/>
      <c r="D81" s="6">
        <v>22432.17</v>
      </c>
      <c r="E81" s="2"/>
      <c r="F81" s="7">
        <f t="shared" si="20"/>
        <v>6.9530267893764944E-2</v>
      </c>
      <c r="G81" s="2"/>
      <c r="H81" s="6">
        <v>17644.5</v>
      </c>
      <c r="I81" s="2"/>
      <c r="J81" s="7">
        <f t="shared" si="21"/>
        <v>5.8644146019878177E-2</v>
      </c>
      <c r="K81" s="2"/>
      <c r="L81" s="6">
        <f t="shared" si="22"/>
        <v>4787.6699999999983</v>
      </c>
      <c r="M81" s="2"/>
      <c r="N81" s="7">
        <f t="shared" si="23"/>
        <v>0.27134064439343697</v>
      </c>
      <c r="O81" s="11"/>
      <c r="P81" s="6">
        <v>44838.03</v>
      </c>
      <c r="Q81" s="2"/>
      <c r="R81" s="7">
        <f t="shared" si="24"/>
        <v>8.0825383111843313E-2</v>
      </c>
      <c r="S81" s="2"/>
      <c r="T81" s="6">
        <v>35526.75</v>
      </c>
      <c r="U81" s="2"/>
      <c r="V81" s="7">
        <f t="shared" si="25"/>
        <v>6.6902288409744604E-2</v>
      </c>
      <c r="W81" s="2"/>
      <c r="X81" s="6">
        <f t="shared" si="26"/>
        <v>9311.2799999999988</v>
      </c>
      <c r="Y81" s="2"/>
      <c r="Z81" s="7">
        <f t="shared" si="27"/>
        <v>0.26209208554117669</v>
      </c>
    </row>
    <row r="82" spans="1:26" s="24" customFormat="1" hidden="1" outlineLevel="2" x14ac:dyDescent="0.25">
      <c r="A82" s="27"/>
      <c r="B82" s="11" t="str">
        <f>CONCATENATE("          ", "6008", " - ", "STUDENT HOURLY-FICA EXEMPT")</f>
        <v xml:space="preserve">          6008 - STUDENT HOURLY-FICA EXEMPT</v>
      </c>
      <c r="C82" s="11"/>
      <c r="D82" s="6">
        <v>195</v>
      </c>
      <c r="E82" s="2"/>
      <c r="F82" s="7">
        <f t="shared" si="20"/>
        <v>6.0441777319288168E-4</v>
      </c>
      <c r="G82" s="2"/>
      <c r="H82" s="6">
        <v>0</v>
      </c>
      <c r="I82" s="2"/>
      <c r="J82" s="7">
        <f t="shared" si="21"/>
        <v>0</v>
      </c>
      <c r="K82" s="2"/>
      <c r="L82" s="6">
        <f t="shared" si="22"/>
        <v>195</v>
      </c>
      <c r="M82" s="2"/>
      <c r="N82" s="7">
        <f t="shared" si="23"/>
        <v>0</v>
      </c>
      <c r="O82" s="11"/>
      <c r="P82" s="6">
        <v>195</v>
      </c>
      <c r="Q82" s="2"/>
      <c r="R82" s="7">
        <f t="shared" si="24"/>
        <v>3.5150852316235675E-4</v>
      </c>
      <c r="S82" s="2"/>
      <c r="T82" s="6">
        <v>0</v>
      </c>
      <c r="U82" s="2"/>
      <c r="V82" s="7">
        <f t="shared" si="25"/>
        <v>0</v>
      </c>
      <c r="W82" s="2"/>
      <c r="X82" s="6">
        <f t="shared" si="26"/>
        <v>195</v>
      </c>
      <c r="Y82" s="2"/>
      <c r="Z82" s="7">
        <f t="shared" si="27"/>
        <v>0</v>
      </c>
    </row>
    <row r="83" spans="1:26" s="24" customFormat="1" hidden="1" outlineLevel="2" x14ac:dyDescent="0.25">
      <c r="A83" s="27"/>
      <c r="B83" s="11" t="str">
        <f>CONCATENATE("          ", "6009", " - ", "TEMPORARY-SEASONAL")</f>
        <v xml:space="preserve">          6009 - TEMPORARY-SEASONAL</v>
      </c>
      <c r="C83" s="11"/>
      <c r="D83" s="6"/>
      <c r="E83" s="2"/>
      <c r="F83" s="7">
        <f t="shared" si="20"/>
        <v>0</v>
      </c>
      <c r="G83" s="2"/>
      <c r="H83" s="6">
        <v>0</v>
      </c>
      <c r="I83" s="2"/>
      <c r="J83" s="7">
        <f t="shared" si="21"/>
        <v>0</v>
      </c>
      <c r="K83" s="2"/>
      <c r="L83" s="6">
        <f t="shared" si="22"/>
        <v>0</v>
      </c>
      <c r="M83" s="2"/>
      <c r="N83" s="7">
        <f t="shared" si="23"/>
        <v>0</v>
      </c>
      <c r="O83" s="11"/>
      <c r="P83" s="6"/>
      <c r="Q83" s="2"/>
      <c r="R83" s="7">
        <f t="shared" si="24"/>
        <v>0</v>
      </c>
      <c r="S83" s="2"/>
      <c r="T83" s="6">
        <v>0</v>
      </c>
      <c r="U83" s="2"/>
      <c r="V83" s="7">
        <f t="shared" si="25"/>
        <v>0</v>
      </c>
      <c r="W83" s="2"/>
      <c r="X83" s="6">
        <f t="shared" si="26"/>
        <v>0</v>
      </c>
      <c r="Y83" s="2"/>
      <c r="Z83" s="7">
        <f t="shared" si="27"/>
        <v>0</v>
      </c>
    </row>
    <row r="84" spans="1:26" s="24" customFormat="1" hidden="1" outlineLevel="2" x14ac:dyDescent="0.25">
      <c r="A84" s="27"/>
      <c r="B84" s="11" t="str">
        <f>CONCATENATE("          ", "6010", " - ", "GRATUITY")</f>
        <v xml:space="preserve">          6010 - GRATUITY</v>
      </c>
      <c r="C84" s="11"/>
      <c r="D84" s="6"/>
      <c r="E84" s="2"/>
      <c r="F84" s="7">
        <f t="shared" si="20"/>
        <v>0</v>
      </c>
      <c r="G84" s="2"/>
      <c r="H84" s="6">
        <v>0</v>
      </c>
      <c r="I84" s="2"/>
      <c r="J84" s="7">
        <f t="shared" si="21"/>
        <v>0</v>
      </c>
      <c r="K84" s="2"/>
      <c r="L84" s="6">
        <f t="shared" si="22"/>
        <v>0</v>
      </c>
      <c r="M84" s="2"/>
      <c r="N84" s="7">
        <f t="shared" si="23"/>
        <v>0</v>
      </c>
      <c r="O84" s="11"/>
      <c r="P84" s="6"/>
      <c r="Q84" s="2"/>
      <c r="R84" s="7">
        <f t="shared" si="24"/>
        <v>0</v>
      </c>
      <c r="S84" s="2"/>
      <c r="T84" s="6">
        <v>0</v>
      </c>
      <c r="U84" s="2"/>
      <c r="V84" s="7">
        <f t="shared" si="25"/>
        <v>0</v>
      </c>
      <c r="W84" s="2"/>
      <c r="X84" s="6">
        <f t="shared" si="26"/>
        <v>0</v>
      </c>
      <c r="Y84" s="2"/>
      <c r="Z84" s="7">
        <f t="shared" si="27"/>
        <v>0</v>
      </c>
    </row>
    <row r="85" spans="1:26" s="26" customFormat="1" outlineLevel="1" collapsed="1" x14ac:dyDescent="0.25">
      <c r="A85" s="25"/>
      <c r="B85" s="13" t="str">
        <f>CONCATENATE("     ","Advertising/Promo                                 ")</f>
        <v xml:space="preserve">     Advertising/Promo                                 </v>
      </c>
      <c r="C85" s="13"/>
      <c r="D85" s="1">
        <f>SUM(OSRRefD22_2x_0)</f>
        <v>3042.66</v>
      </c>
      <c r="E85" s="1"/>
      <c r="F85" s="5">
        <f t="shared" ref="F85:F89" si="28">IF(D$12=0,0,D85/D$12)</f>
        <v>9.4309629835028375E-3</v>
      </c>
      <c r="G85" s="1"/>
      <c r="H85" s="1">
        <f>SUM(OSRRefH22_2x_0)</f>
        <v>900</v>
      </c>
      <c r="I85" s="1"/>
      <c r="J85" s="5">
        <f t="shared" ref="J85:J89" si="29">IF(H$12=0,0,H85/H$12)</f>
        <v>2.9912851833653747E-3</v>
      </c>
      <c r="K85" s="1"/>
      <c r="L85" s="1">
        <f t="shared" ref="L85:L89" si="30">+D85-H85</f>
        <v>2142.66</v>
      </c>
      <c r="M85" s="1"/>
      <c r="N85" s="5">
        <f t="shared" ref="N85:N89" si="31">IF(H85=0,0,L85/H85)</f>
        <v>2.3807333333333331</v>
      </c>
      <c r="O85" s="13"/>
      <c r="P85" s="1">
        <f>SUM(OSRRefP22_2x_0)</f>
        <v>3234.66</v>
      </c>
      <c r="Q85" s="1"/>
      <c r="R85" s="5">
        <f t="shared" ref="R85:R89" si="32">IF(P$12=0,0,P85/P$12)</f>
        <v>5.8308233822171734E-3</v>
      </c>
      <c r="S85" s="1"/>
      <c r="T85" s="1">
        <f>SUM(OSRRefT22_2x_0)</f>
        <v>1800</v>
      </c>
      <c r="U85" s="1"/>
      <c r="V85" s="5">
        <f t="shared" ref="V85:V89" si="33">IF(T$12=0,0,T85/T$12)</f>
        <v>3.3896745167385223E-3</v>
      </c>
      <c r="W85" s="1"/>
      <c r="X85" s="1">
        <f t="shared" ref="X85:X89" si="34">+P85-T85</f>
        <v>1434.6599999999999</v>
      </c>
      <c r="Y85" s="1"/>
      <c r="Z85" s="5">
        <f t="shared" ref="Z85:Z89" si="35">IF(T85=0,0,X85/T85)</f>
        <v>0.79703333333333326</v>
      </c>
    </row>
    <row r="86" spans="1:26" s="24" customFormat="1" hidden="1" outlineLevel="2" x14ac:dyDescent="0.25">
      <c r="A86" s="27"/>
      <c r="B86" s="11" t="str">
        <f>CONCATENATE("          ", "6362", " - ", "ADVERTISING EXPENSE")</f>
        <v xml:space="preserve">          6362 - ADVERTISING EXPENSE</v>
      </c>
      <c r="C86" s="11"/>
      <c r="D86" s="6">
        <v>3042.66</v>
      </c>
      <c r="E86" s="2"/>
      <c r="F86" s="7">
        <f t="shared" si="28"/>
        <v>9.4309629835028375E-3</v>
      </c>
      <c r="G86" s="2"/>
      <c r="H86" s="6">
        <v>900</v>
      </c>
      <c r="I86" s="2"/>
      <c r="J86" s="7">
        <f t="shared" si="29"/>
        <v>2.9912851833653747E-3</v>
      </c>
      <c r="K86" s="2"/>
      <c r="L86" s="6">
        <f t="shared" si="30"/>
        <v>2142.66</v>
      </c>
      <c r="M86" s="2"/>
      <c r="N86" s="7">
        <f t="shared" si="31"/>
        <v>2.3807333333333331</v>
      </c>
      <c r="O86" s="11"/>
      <c r="P86" s="6">
        <v>3234.66</v>
      </c>
      <c r="Q86" s="2"/>
      <c r="R86" s="7">
        <f t="shared" si="32"/>
        <v>5.8308233822171734E-3</v>
      </c>
      <c r="S86" s="2"/>
      <c r="T86" s="6">
        <v>1800</v>
      </c>
      <c r="U86" s="2"/>
      <c r="V86" s="7">
        <f t="shared" si="33"/>
        <v>3.3896745167385223E-3</v>
      </c>
      <c r="W86" s="2"/>
      <c r="X86" s="6">
        <f t="shared" si="34"/>
        <v>1434.6599999999999</v>
      </c>
      <c r="Y86" s="2"/>
      <c r="Z86" s="7">
        <f t="shared" si="35"/>
        <v>0.79703333333333326</v>
      </c>
    </row>
    <row r="87" spans="1:26" s="26" customFormat="1" outlineLevel="1" collapsed="1" x14ac:dyDescent="0.25">
      <c r="A87" s="25"/>
      <c r="B87" s="13" t="str">
        <f>CONCATENATE("     ","Bad Debts/Over/Short                              ")</f>
        <v xml:space="preserve">     Bad Debts/Over/Short                              </v>
      </c>
      <c r="C87" s="13"/>
      <c r="D87" s="1">
        <f>SUM(OSRRefD22_3x_0)</f>
        <v>36.04</v>
      </c>
      <c r="E87" s="1"/>
      <c r="F87" s="5">
        <f t="shared" si="28"/>
        <v>1.1170880279934079E-4</v>
      </c>
      <c r="G87" s="1"/>
      <c r="H87" s="1">
        <f>SUM(OSRRefH22_3x_0)</f>
        <v>10</v>
      </c>
      <c r="I87" s="1"/>
      <c r="J87" s="5">
        <f t="shared" si="29"/>
        <v>3.3236502037393054E-5</v>
      </c>
      <c r="K87" s="1"/>
      <c r="L87" s="1">
        <f t="shared" si="30"/>
        <v>26.04</v>
      </c>
      <c r="M87" s="1"/>
      <c r="N87" s="5">
        <f t="shared" si="31"/>
        <v>2.6040000000000001</v>
      </c>
      <c r="O87" s="13"/>
      <c r="P87" s="1">
        <f>SUM(OSRRefP22_3x_0)</f>
        <v>29.91</v>
      </c>
      <c r="Q87" s="1"/>
      <c r="R87" s="5">
        <f t="shared" si="32"/>
        <v>5.3915999629672252E-5</v>
      </c>
      <c r="S87" s="1"/>
      <c r="T87" s="1">
        <f>SUM(OSRRefT22_3x_0)</f>
        <v>20</v>
      </c>
      <c r="U87" s="1"/>
      <c r="V87" s="5">
        <f t="shared" si="33"/>
        <v>3.7663050185983578E-5</v>
      </c>
      <c r="W87" s="1"/>
      <c r="X87" s="1">
        <f t="shared" si="34"/>
        <v>9.91</v>
      </c>
      <c r="Y87" s="1"/>
      <c r="Z87" s="5">
        <f t="shared" si="35"/>
        <v>0.4955</v>
      </c>
    </row>
    <row r="88" spans="1:26" s="24" customFormat="1" hidden="1" outlineLevel="2" x14ac:dyDescent="0.25">
      <c r="A88" s="27"/>
      <c r="B88" s="11" t="str">
        <f>CONCATENATE("          ", "6272", " - ", "CASH (OVER/SHORT)")</f>
        <v xml:space="preserve">          6272 - CASH (OVER/SHORT)</v>
      </c>
      <c r="C88" s="11"/>
      <c r="D88" s="6">
        <v>36.04</v>
      </c>
      <c r="E88" s="2"/>
      <c r="F88" s="7">
        <f t="shared" si="28"/>
        <v>1.1170880279934079E-4</v>
      </c>
      <c r="G88" s="2"/>
      <c r="H88" s="6"/>
      <c r="I88" s="2"/>
      <c r="J88" s="7">
        <f t="shared" si="29"/>
        <v>0</v>
      </c>
      <c r="K88" s="2"/>
      <c r="L88" s="6">
        <f t="shared" si="30"/>
        <v>36.04</v>
      </c>
      <c r="M88" s="2"/>
      <c r="N88" s="7">
        <f t="shared" si="31"/>
        <v>0</v>
      </c>
      <c r="O88" s="11"/>
      <c r="P88" s="6">
        <v>29.91</v>
      </c>
      <c r="Q88" s="2"/>
      <c r="R88" s="7">
        <f t="shared" si="32"/>
        <v>5.3915999629672252E-5</v>
      </c>
      <c r="S88" s="2"/>
      <c r="T88" s="6"/>
      <c r="U88" s="2"/>
      <c r="V88" s="7">
        <f t="shared" si="33"/>
        <v>0</v>
      </c>
      <c r="W88" s="2"/>
      <c r="X88" s="6">
        <f t="shared" si="34"/>
        <v>29.91</v>
      </c>
      <c r="Y88" s="2"/>
      <c r="Z88" s="7">
        <f t="shared" si="35"/>
        <v>0</v>
      </c>
    </row>
    <row r="89" spans="1:26" s="24" customFormat="1" hidden="1" outlineLevel="2" x14ac:dyDescent="0.25">
      <c r="A89" s="27"/>
      <c r="B89" s="11" t="str">
        <f>CONCATENATE("          ", "6342", " - ", "BAD DEBT")</f>
        <v xml:space="preserve">          6342 - BAD DEBT</v>
      </c>
      <c r="C89" s="11"/>
      <c r="D89" s="6"/>
      <c r="E89" s="2"/>
      <c r="F89" s="7">
        <f t="shared" si="28"/>
        <v>0</v>
      </c>
      <c r="G89" s="2"/>
      <c r="H89" s="6">
        <v>10</v>
      </c>
      <c r="I89" s="2"/>
      <c r="J89" s="7">
        <f t="shared" si="29"/>
        <v>3.3236502037393054E-5</v>
      </c>
      <c r="K89" s="2"/>
      <c r="L89" s="6">
        <f t="shared" si="30"/>
        <v>-10</v>
      </c>
      <c r="M89" s="2"/>
      <c r="N89" s="7">
        <f t="shared" si="31"/>
        <v>-1</v>
      </c>
      <c r="O89" s="11"/>
      <c r="P89" s="6"/>
      <c r="Q89" s="2"/>
      <c r="R89" s="7">
        <f t="shared" si="32"/>
        <v>0</v>
      </c>
      <c r="S89" s="2"/>
      <c r="T89" s="6">
        <v>20</v>
      </c>
      <c r="U89" s="2"/>
      <c r="V89" s="7">
        <f t="shared" si="33"/>
        <v>3.7663050185983578E-5</v>
      </c>
      <c r="W89" s="2"/>
      <c r="X89" s="6">
        <f t="shared" si="34"/>
        <v>-20</v>
      </c>
      <c r="Y89" s="2"/>
      <c r="Z89" s="7">
        <f t="shared" si="35"/>
        <v>-1</v>
      </c>
    </row>
    <row r="90" spans="1:26" s="26" customFormat="1" outlineLevel="1" collapsed="1" x14ac:dyDescent="0.25">
      <c r="A90" s="25"/>
      <c r="B90" s="13" t="str">
        <f>CONCATENATE("     ","Bank/card Fees                                    ")</f>
        <v xml:space="preserve">     Bank/card Fees                                    </v>
      </c>
      <c r="C90" s="13"/>
      <c r="D90" s="1">
        <f>SUM(OSRRefD22_4x_0)</f>
        <v>803.95</v>
      </c>
      <c r="E90" s="1"/>
      <c r="F90" s="5">
        <f t="shared" ref="F90:F112" si="36">IF(D$12=0,0,D90/D$12)</f>
        <v>2.491905993632909E-3</v>
      </c>
      <c r="G90" s="1"/>
      <c r="H90" s="1">
        <f>SUM(OSRRefH22_4x_0)</f>
        <v>625</v>
      </c>
      <c r="I90" s="1"/>
      <c r="J90" s="5">
        <f t="shared" ref="J90:J112" si="37">IF(H$12=0,0,H90/H$12)</f>
        <v>2.0772813773370659E-3</v>
      </c>
      <c r="K90" s="1"/>
      <c r="L90" s="1">
        <f t="shared" ref="L90:L112" si="38">+D90-H90</f>
        <v>178.95000000000005</v>
      </c>
      <c r="M90" s="1"/>
      <c r="N90" s="5">
        <f t="shared" ref="N90:N112" si="39">IF(H90=0,0,L90/H90)</f>
        <v>0.28632000000000007</v>
      </c>
      <c r="O90" s="13"/>
      <c r="P90" s="1">
        <f>SUM(OSRRefP22_4x_0)</f>
        <v>1481.66</v>
      </c>
      <c r="Q90" s="1"/>
      <c r="R90" s="5">
        <f t="shared" ref="R90:R112" si="40">IF(P$12=0,0,P90/P$12)</f>
        <v>2.6708518893781411E-3</v>
      </c>
      <c r="S90" s="1"/>
      <c r="T90" s="1">
        <f>SUM(OSRRefT22_4x_0)</f>
        <v>1225</v>
      </c>
      <c r="U90" s="1"/>
      <c r="V90" s="5">
        <f t="shared" ref="V90:V112" si="41">IF(T$12=0,0,T90/T$12)</f>
        <v>2.3068618238914944E-3</v>
      </c>
      <c r="W90" s="1"/>
      <c r="X90" s="1">
        <f t="shared" ref="X90:X112" si="42">+P90-T90</f>
        <v>256.66000000000008</v>
      </c>
      <c r="Y90" s="1"/>
      <c r="Z90" s="5">
        <f t="shared" ref="Z90:Z112" si="43">IF(T90=0,0,X90/T90)</f>
        <v>0.20951836734693885</v>
      </c>
    </row>
    <row r="91" spans="1:26" s="24" customFormat="1" hidden="1" outlineLevel="2" x14ac:dyDescent="0.25">
      <c r="A91" s="27"/>
      <c r="B91" s="11" t="str">
        <f>CONCATENATE("          ", "6381", " - ", "BANK/CREDIT CARD FEES")</f>
        <v xml:space="preserve">          6381 - BANK/CREDIT CARD FEES</v>
      </c>
      <c r="C91" s="11"/>
      <c r="D91" s="6">
        <v>803.95</v>
      </c>
      <c r="E91" s="2"/>
      <c r="F91" s="7">
        <f t="shared" si="36"/>
        <v>2.491905993632909E-3</v>
      </c>
      <c r="G91" s="2"/>
      <c r="H91" s="6">
        <v>625</v>
      </c>
      <c r="I91" s="2"/>
      <c r="J91" s="7">
        <f t="shared" si="37"/>
        <v>2.0772813773370659E-3</v>
      </c>
      <c r="K91" s="2"/>
      <c r="L91" s="6">
        <f t="shared" si="38"/>
        <v>178.95000000000005</v>
      </c>
      <c r="M91" s="2"/>
      <c r="N91" s="7">
        <f t="shared" si="39"/>
        <v>0.28632000000000007</v>
      </c>
      <c r="O91" s="11"/>
      <c r="P91" s="6">
        <v>1481.66</v>
      </c>
      <c r="Q91" s="2"/>
      <c r="R91" s="7">
        <f t="shared" si="40"/>
        <v>2.6708518893781411E-3</v>
      </c>
      <c r="S91" s="2"/>
      <c r="T91" s="6">
        <v>1225</v>
      </c>
      <c r="U91" s="2"/>
      <c r="V91" s="7">
        <f t="shared" si="41"/>
        <v>2.3068618238914944E-3</v>
      </c>
      <c r="W91" s="2"/>
      <c r="X91" s="6">
        <f t="shared" si="42"/>
        <v>256.66000000000008</v>
      </c>
      <c r="Y91" s="2"/>
      <c r="Z91" s="7">
        <f t="shared" si="43"/>
        <v>0.20951836734693885</v>
      </c>
    </row>
    <row r="92" spans="1:26" s="26" customFormat="1" outlineLevel="1" collapsed="1" x14ac:dyDescent="0.25">
      <c r="A92" s="25"/>
      <c r="B92" s="13" t="str">
        <f>CONCATENATE("     ","Discounts and Markdowns                           ")</f>
        <v xml:space="preserve">     Discounts and Markdowns                           </v>
      </c>
      <c r="C92" s="13"/>
      <c r="D92" s="1">
        <f>SUM(OSRRefD22_5x_0)</f>
        <v>27426.91</v>
      </c>
      <c r="E92" s="1"/>
      <c r="F92" s="5">
        <f t="shared" si="36"/>
        <v>8.5011855732110661E-2</v>
      </c>
      <c r="G92" s="1"/>
      <c r="H92" s="1">
        <f>SUM(OSRRefH22_5x_0)</f>
        <v>22500</v>
      </c>
      <c r="I92" s="1"/>
      <c r="J92" s="5">
        <f t="shared" si="37"/>
        <v>7.4782129584134369E-2</v>
      </c>
      <c r="K92" s="1"/>
      <c r="L92" s="1">
        <f t="shared" si="38"/>
        <v>4926.91</v>
      </c>
      <c r="M92" s="1"/>
      <c r="N92" s="5">
        <f t="shared" si="39"/>
        <v>0.21897377777777777</v>
      </c>
      <c r="O92" s="13"/>
      <c r="P92" s="1">
        <f>SUM(OSRRefP22_5x_0)</f>
        <v>47444.689999999995</v>
      </c>
      <c r="Q92" s="1"/>
      <c r="R92" s="5">
        <f t="shared" si="40"/>
        <v>8.5524168788696578E-2</v>
      </c>
      <c r="S92" s="1"/>
      <c r="T92" s="1">
        <f>SUM(OSRRefT22_5x_0)</f>
        <v>39000</v>
      </c>
      <c r="U92" s="1"/>
      <c r="V92" s="5">
        <f t="shared" si="41"/>
        <v>7.3442947862667987E-2</v>
      </c>
      <c r="W92" s="1"/>
      <c r="X92" s="1">
        <f t="shared" si="42"/>
        <v>8444.6899999999951</v>
      </c>
      <c r="Y92" s="1"/>
      <c r="Z92" s="5">
        <f t="shared" si="43"/>
        <v>0.21653051282051269</v>
      </c>
    </row>
    <row r="93" spans="1:26" s="24" customFormat="1" hidden="1" outlineLevel="2" x14ac:dyDescent="0.25">
      <c r="A93" s="27"/>
      <c r="B93" s="11" t="str">
        <f>CONCATENATE("          ", "6382", " - ", "DISCOUNTS/MARK DOWNS")</f>
        <v xml:space="preserve">          6382 - DISCOUNTS/MARK DOWNS</v>
      </c>
      <c r="C93" s="11"/>
      <c r="D93" s="6">
        <v>27426.91</v>
      </c>
      <c r="E93" s="2"/>
      <c r="F93" s="7">
        <f t="shared" si="36"/>
        <v>8.5011855732110661E-2</v>
      </c>
      <c r="G93" s="2"/>
      <c r="H93" s="6">
        <v>22500</v>
      </c>
      <c r="I93" s="2"/>
      <c r="J93" s="7">
        <f t="shared" si="37"/>
        <v>7.4782129584134369E-2</v>
      </c>
      <c r="K93" s="2"/>
      <c r="L93" s="6">
        <f t="shared" si="38"/>
        <v>4926.91</v>
      </c>
      <c r="M93" s="2"/>
      <c r="N93" s="7">
        <f t="shared" si="39"/>
        <v>0.21897377777777777</v>
      </c>
      <c r="O93" s="11"/>
      <c r="P93" s="6">
        <v>47444.689999999995</v>
      </c>
      <c r="Q93" s="2"/>
      <c r="R93" s="7">
        <f t="shared" si="40"/>
        <v>8.5524168788696578E-2</v>
      </c>
      <c r="S93" s="2"/>
      <c r="T93" s="6">
        <v>39000</v>
      </c>
      <c r="U93" s="2"/>
      <c r="V93" s="7">
        <f t="shared" si="41"/>
        <v>7.3442947862667987E-2</v>
      </c>
      <c r="W93" s="2"/>
      <c r="X93" s="6">
        <f t="shared" si="42"/>
        <v>8444.6899999999951</v>
      </c>
      <c r="Y93" s="2"/>
      <c r="Z93" s="7">
        <f t="shared" si="43"/>
        <v>0.21653051282051269</v>
      </c>
    </row>
    <row r="94" spans="1:26" s="26" customFormat="1" outlineLevel="1" collapsed="1" x14ac:dyDescent="0.25">
      <c r="A94" s="25"/>
      <c r="B94" s="13" t="str">
        <f>CONCATENATE("     ","Donations                                         ")</f>
        <v xml:space="preserve">     Donations                                         </v>
      </c>
      <c r="C94" s="13"/>
      <c r="D94" s="1">
        <f>SUM(OSRRefD22_6x_0)</f>
        <v>0</v>
      </c>
      <c r="E94" s="1"/>
      <c r="F94" s="5">
        <f t="shared" si="36"/>
        <v>0</v>
      </c>
      <c r="G94" s="1"/>
      <c r="H94" s="1">
        <f>SUM(OSRRefH22_6x_0)</f>
        <v>25</v>
      </c>
      <c r="I94" s="1"/>
      <c r="J94" s="5">
        <f t="shared" si="37"/>
        <v>8.3091255093482641E-5</v>
      </c>
      <c r="K94" s="1"/>
      <c r="L94" s="1">
        <f t="shared" si="38"/>
        <v>-25</v>
      </c>
      <c r="M94" s="1"/>
      <c r="N94" s="5">
        <f t="shared" si="39"/>
        <v>-1</v>
      </c>
      <c r="O94" s="13"/>
      <c r="P94" s="1">
        <f>SUM(OSRRefP22_6x_0)</f>
        <v>0</v>
      </c>
      <c r="Q94" s="1"/>
      <c r="R94" s="5">
        <f t="shared" si="40"/>
        <v>0</v>
      </c>
      <c r="S94" s="1"/>
      <c r="T94" s="1">
        <f>SUM(OSRRefT22_6x_0)</f>
        <v>125</v>
      </c>
      <c r="U94" s="1"/>
      <c r="V94" s="5">
        <f t="shared" si="41"/>
        <v>2.3539406366239739E-4</v>
      </c>
      <c r="W94" s="1"/>
      <c r="X94" s="1">
        <f t="shared" si="42"/>
        <v>-125</v>
      </c>
      <c r="Y94" s="1"/>
      <c r="Z94" s="5">
        <f t="shared" si="43"/>
        <v>-1</v>
      </c>
    </row>
    <row r="95" spans="1:26" s="24" customFormat="1" hidden="1" outlineLevel="2" x14ac:dyDescent="0.25">
      <c r="A95" s="27"/>
      <c r="B95" s="11" t="str">
        <f>CONCATENATE("          ", "6395", " - ", "DONATION-OFF CAMPUS")</f>
        <v xml:space="preserve">          6395 - DONATION-OFF CAMPUS</v>
      </c>
      <c r="C95" s="11"/>
      <c r="D95" s="6"/>
      <c r="E95" s="2"/>
      <c r="F95" s="7">
        <f t="shared" si="36"/>
        <v>0</v>
      </c>
      <c r="G95" s="2"/>
      <c r="H95" s="6">
        <v>25</v>
      </c>
      <c r="I95" s="2"/>
      <c r="J95" s="7">
        <f t="shared" si="37"/>
        <v>8.3091255093482641E-5</v>
      </c>
      <c r="K95" s="2"/>
      <c r="L95" s="6">
        <f t="shared" si="38"/>
        <v>-25</v>
      </c>
      <c r="M95" s="2"/>
      <c r="N95" s="7">
        <f t="shared" si="39"/>
        <v>-1</v>
      </c>
      <c r="O95" s="11"/>
      <c r="P95" s="6"/>
      <c r="Q95" s="2"/>
      <c r="R95" s="7">
        <f t="shared" si="40"/>
        <v>0</v>
      </c>
      <c r="S95" s="2"/>
      <c r="T95" s="6">
        <v>125</v>
      </c>
      <c r="U95" s="2"/>
      <c r="V95" s="7">
        <f t="shared" si="41"/>
        <v>2.3539406366239739E-4</v>
      </c>
      <c r="W95" s="2"/>
      <c r="X95" s="6">
        <f t="shared" si="42"/>
        <v>-125</v>
      </c>
      <c r="Y95" s="2"/>
      <c r="Z95" s="7">
        <f t="shared" si="43"/>
        <v>-1</v>
      </c>
    </row>
    <row r="96" spans="1:26" s="26" customFormat="1" outlineLevel="1" collapsed="1" x14ac:dyDescent="0.25">
      <c r="A96" s="25"/>
      <c r="B96" s="13" t="str">
        <f>CONCATENATE("     ","Employees' Appreciation                           ")</f>
        <v xml:space="preserve">     Employees' Appreciation                           </v>
      </c>
      <c r="C96" s="13"/>
      <c r="D96" s="1">
        <f>SUM(OSRRefD22_7x_0)</f>
        <v>0</v>
      </c>
      <c r="E96" s="1"/>
      <c r="F96" s="5">
        <f t="shared" si="36"/>
        <v>0</v>
      </c>
      <c r="G96" s="1"/>
      <c r="H96" s="1">
        <f>SUM(OSRRefH22_7x_0)</f>
        <v>175</v>
      </c>
      <c r="I96" s="1"/>
      <c r="J96" s="5">
        <f t="shared" si="37"/>
        <v>5.8163878565437846E-4</v>
      </c>
      <c r="K96" s="1"/>
      <c r="L96" s="1">
        <f t="shared" si="38"/>
        <v>-175</v>
      </c>
      <c r="M96" s="1"/>
      <c r="N96" s="5">
        <f t="shared" si="39"/>
        <v>-1</v>
      </c>
      <c r="O96" s="13"/>
      <c r="P96" s="1">
        <f>SUM(OSRRefP22_7x_0)</f>
        <v>133.91</v>
      </c>
      <c r="Q96" s="1"/>
      <c r="R96" s="5">
        <f t="shared" si="40"/>
        <v>2.4138721198292917E-4</v>
      </c>
      <c r="S96" s="1"/>
      <c r="T96" s="1">
        <f>SUM(OSRRefT22_7x_0)</f>
        <v>400</v>
      </c>
      <c r="U96" s="1"/>
      <c r="V96" s="5">
        <f t="shared" si="41"/>
        <v>7.5326100371967157E-4</v>
      </c>
      <c r="W96" s="1"/>
      <c r="X96" s="1">
        <f t="shared" si="42"/>
        <v>-266.09000000000003</v>
      </c>
      <c r="Y96" s="1"/>
      <c r="Z96" s="5">
        <f t="shared" si="43"/>
        <v>-0.66522500000000007</v>
      </c>
    </row>
    <row r="97" spans="1:26" s="24" customFormat="1" hidden="1" outlineLevel="2" x14ac:dyDescent="0.25">
      <c r="A97" s="27"/>
      <c r="B97" s="11" t="str">
        <f>CONCATENATE("          ", "6277", " - ", "EMPLOYEE APPRECIATION")</f>
        <v xml:space="preserve">          6277 - EMPLOYEE APPRECIATION</v>
      </c>
      <c r="C97" s="11"/>
      <c r="D97" s="6"/>
      <c r="E97" s="2"/>
      <c r="F97" s="7">
        <f t="shared" si="36"/>
        <v>0</v>
      </c>
      <c r="G97" s="2"/>
      <c r="H97" s="6">
        <v>175</v>
      </c>
      <c r="I97" s="2"/>
      <c r="J97" s="7">
        <f t="shared" si="37"/>
        <v>5.8163878565437846E-4</v>
      </c>
      <c r="K97" s="2"/>
      <c r="L97" s="6">
        <f t="shared" si="38"/>
        <v>-175</v>
      </c>
      <c r="M97" s="2"/>
      <c r="N97" s="7">
        <f t="shared" si="39"/>
        <v>-1</v>
      </c>
      <c r="O97" s="11"/>
      <c r="P97" s="6">
        <v>133.91</v>
      </c>
      <c r="Q97" s="2"/>
      <c r="R97" s="7">
        <f t="shared" si="40"/>
        <v>2.4138721198292917E-4</v>
      </c>
      <c r="S97" s="2"/>
      <c r="T97" s="6">
        <v>400</v>
      </c>
      <c r="U97" s="2"/>
      <c r="V97" s="7">
        <f t="shared" si="41"/>
        <v>7.5326100371967157E-4</v>
      </c>
      <c r="W97" s="2"/>
      <c r="X97" s="6">
        <f t="shared" si="42"/>
        <v>-266.09000000000003</v>
      </c>
      <c r="Y97" s="2"/>
      <c r="Z97" s="7">
        <f t="shared" si="43"/>
        <v>-0.66522500000000007</v>
      </c>
    </row>
    <row r="98" spans="1:26" s="26" customFormat="1" outlineLevel="1" collapsed="1" x14ac:dyDescent="0.25">
      <c r="A98" s="25"/>
      <c r="B98" s="13" t="str">
        <f>CONCATENATE("     ","Freight out/Postage                               ")</f>
        <v xml:space="preserve">     Freight out/Postage                               </v>
      </c>
      <c r="C98" s="13"/>
      <c r="D98" s="1">
        <f>SUM(OSRRefD22_8x_0)</f>
        <v>0</v>
      </c>
      <c r="E98" s="1"/>
      <c r="F98" s="5">
        <f t="shared" si="36"/>
        <v>0</v>
      </c>
      <c r="G98" s="1"/>
      <c r="H98" s="1">
        <f>SUM(OSRRefH22_8x_0)</f>
        <v>50</v>
      </c>
      <c r="I98" s="1"/>
      <c r="J98" s="5">
        <f t="shared" si="37"/>
        <v>1.6618251018696528E-4</v>
      </c>
      <c r="K98" s="1"/>
      <c r="L98" s="1">
        <f t="shared" si="38"/>
        <v>-50</v>
      </c>
      <c r="M98" s="1"/>
      <c r="N98" s="5">
        <f t="shared" si="39"/>
        <v>-1</v>
      </c>
      <c r="O98" s="13"/>
      <c r="P98" s="1">
        <f>SUM(OSRRefP22_8x_0)</f>
        <v>0</v>
      </c>
      <c r="Q98" s="1"/>
      <c r="R98" s="5">
        <f t="shared" si="40"/>
        <v>0</v>
      </c>
      <c r="S98" s="1"/>
      <c r="T98" s="1">
        <f>SUM(OSRRefT22_8x_0)</f>
        <v>100</v>
      </c>
      <c r="U98" s="1"/>
      <c r="V98" s="5">
        <f t="shared" si="41"/>
        <v>1.8831525092991789E-4</v>
      </c>
      <c r="W98" s="1"/>
      <c r="X98" s="1">
        <f t="shared" si="42"/>
        <v>-100</v>
      </c>
      <c r="Y98" s="1"/>
      <c r="Z98" s="5">
        <f t="shared" si="43"/>
        <v>-1</v>
      </c>
    </row>
    <row r="99" spans="1:26" s="24" customFormat="1" hidden="1" outlineLevel="2" x14ac:dyDescent="0.25">
      <c r="A99" s="27"/>
      <c r="B99" s="11" t="str">
        <f>CONCATENATE("          ", "6305", " - ", "FREIGHT OUT")</f>
        <v xml:space="preserve">          6305 - FREIGHT OUT</v>
      </c>
      <c r="C99" s="11"/>
      <c r="D99" s="6"/>
      <c r="E99" s="2"/>
      <c r="F99" s="7">
        <f t="shared" si="36"/>
        <v>0</v>
      </c>
      <c r="G99" s="2"/>
      <c r="H99" s="6">
        <v>50</v>
      </c>
      <c r="I99" s="2"/>
      <c r="J99" s="7">
        <f t="shared" si="37"/>
        <v>1.6618251018696528E-4</v>
      </c>
      <c r="K99" s="2"/>
      <c r="L99" s="6">
        <f t="shared" si="38"/>
        <v>-50</v>
      </c>
      <c r="M99" s="2"/>
      <c r="N99" s="7">
        <f t="shared" si="39"/>
        <v>-1</v>
      </c>
      <c r="O99" s="11"/>
      <c r="P99" s="6"/>
      <c r="Q99" s="2"/>
      <c r="R99" s="7">
        <f t="shared" si="40"/>
        <v>0</v>
      </c>
      <c r="S99" s="2"/>
      <c r="T99" s="6">
        <v>100</v>
      </c>
      <c r="U99" s="2"/>
      <c r="V99" s="7">
        <f t="shared" si="41"/>
        <v>1.8831525092991789E-4</v>
      </c>
      <c r="W99" s="2"/>
      <c r="X99" s="6">
        <f t="shared" si="42"/>
        <v>-100</v>
      </c>
      <c r="Y99" s="2"/>
      <c r="Z99" s="7">
        <f t="shared" si="43"/>
        <v>-1</v>
      </c>
    </row>
    <row r="100" spans="1:26" s="26" customFormat="1" outlineLevel="1" collapsed="1" x14ac:dyDescent="0.25">
      <c r="A100" s="25"/>
      <c r="B100" s="13" t="str">
        <f>CONCATENATE("     ","General                                           ")</f>
        <v xml:space="preserve">     General                                           </v>
      </c>
      <c r="C100" s="13"/>
      <c r="D100" s="1">
        <f>SUM(OSRRefD22_9x_0)</f>
        <v>0</v>
      </c>
      <c r="E100" s="1"/>
      <c r="F100" s="5">
        <f t="shared" si="36"/>
        <v>0</v>
      </c>
      <c r="G100" s="1"/>
      <c r="H100" s="1">
        <f>SUM(OSRRefH22_9x_0)</f>
        <v>0</v>
      </c>
      <c r="I100" s="1"/>
      <c r="J100" s="5">
        <f t="shared" si="37"/>
        <v>0</v>
      </c>
      <c r="K100" s="1"/>
      <c r="L100" s="1">
        <f t="shared" si="38"/>
        <v>0</v>
      </c>
      <c r="M100" s="1"/>
      <c r="N100" s="5">
        <f t="shared" si="39"/>
        <v>0</v>
      </c>
      <c r="O100" s="13"/>
      <c r="P100" s="1">
        <f>SUM(OSRRefP22_9x_0)</f>
        <v>0</v>
      </c>
      <c r="Q100" s="1"/>
      <c r="R100" s="5">
        <f t="shared" si="40"/>
        <v>0</v>
      </c>
      <c r="S100" s="1"/>
      <c r="T100" s="1">
        <f>SUM(OSRRefT22_9x_0)</f>
        <v>120</v>
      </c>
      <c r="U100" s="1"/>
      <c r="V100" s="5">
        <f t="shared" si="41"/>
        <v>2.259783011159015E-4</v>
      </c>
      <c r="W100" s="1"/>
      <c r="X100" s="1">
        <f t="shared" si="42"/>
        <v>-120</v>
      </c>
      <c r="Y100" s="1"/>
      <c r="Z100" s="5">
        <f t="shared" si="43"/>
        <v>-1</v>
      </c>
    </row>
    <row r="101" spans="1:26" s="24" customFormat="1" hidden="1" outlineLevel="2" x14ac:dyDescent="0.25">
      <c r="A101" s="27"/>
      <c r="B101" s="11" t="str">
        <f>CONCATENATE("          ", "6279", " - ", "GENERAL EXPENSE")</f>
        <v xml:space="preserve">          6279 - GENERAL EXPENSE</v>
      </c>
      <c r="C101" s="11"/>
      <c r="D101" s="6"/>
      <c r="E101" s="2"/>
      <c r="F101" s="7">
        <f t="shared" si="36"/>
        <v>0</v>
      </c>
      <c r="G101" s="2"/>
      <c r="H101" s="6">
        <v>0</v>
      </c>
      <c r="I101" s="2"/>
      <c r="J101" s="7">
        <f t="shared" si="37"/>
        <v>0</v>
      </c>
      <c r="K101" s="2"/>
      <c r="L101" s="6">
        <f t="shared" si="38"/>
        <v>0</v>
      </c>
      <c r="M101" s="2"/>
      <c r="N101" s="7">
        <f t="shared" si="39"/>
        <v>0</v>
      </c>
      <c r="O101" s="11"/>
      <c r="P101" s="6"/>
      <c r="Q101" s="2"/>
      <c r="R101" s="7">
        <f t="shared" si="40"/>
        <v>0</v>
      </c>
      <c r="S101" s="2"/>
      <c r="T101" s="6">
        <v>120</v>
      </c>
      <c r="U101" s="2"/>
      <c r="V101" s="7">
        <f t="shared" si="41"/>
        <v>2.259783011159015E-4</v>
      </c>
      <c r="W101" s="2"/>
      <c r="X101" s="6">
        <f t="shared" si="42"/>
        <v>-120</v>
      </c>
      <c r="Y101" s="2"/>
      <c r="Z101" s="7">
        <f t="shared" si="43"/>
        <v>-1</v>
      </c>
    </row>
    <row r="102" spans="1:26" s="26" customFormat="1" outlineLevel="1" collapsed="1" x14ac:dyDescent="0.25">
      <c r="A102" s="25"/>
      <c r="B102" s="13" t="str">
        <f>CONCATENATE("     ","Insurance                                         ")</f>
        <v xml:space="preserve">     Insurance                                         </v>
      </c>
      <c r="C102" s="13"/>
      <c r="D102" s="1">
        <f>SUM(OSRRefD22_10x_0)</f>
        <v>161.18</v>
      </c>
      <c r="E102" s="1"/>
      <c r="F102" s="5">
        <f t="shared" si="36"/>
        <v>4.9959003427296755E-4</v>
      </c>
      <c r="G102" s="1"/>
      <c r="H102" s="1">
        <f>SUM(OSRRefH22_10x_0)</f>
        <v>155</v>
      </c>
      <c r="I102" s="1"/>
      <c r="J102" s="5">
        <f t="shared" si="37"/>
        <v>5.1516578157959232E-4</v>
      </c>
      <c r="K102" s="1"/>
      <c r="L102" s="1">
        <f t="shared" si="38"/>
        <v>6.1800000000000068</v>
      </c>
      <c r="M102" s="1"/>
      <c r="N102" s="5">
        <f t="shared" si="39"/>
        <v>3.9870967741935527E-2</v>
      </c>
      <c r="O102" s="13"/>
      <c r="P102" s="1">
        <f>SUM(OSRRefP22_10x_0)</f>
        <v>322.36</v>
      </c>
      <c r="Q102" s="1"/>
      <c r="R102" s="5">
        <f t="shared" si="40"/>
        <v>5.8108865398265287E-4</v>
      </c>
      <c r="S102" s="1"/>
      <c r="T102" s="1">
        <f>SUM(OSRRefT22_10x_0)</f>
        <v>310</v>
      </c>
      <c r="U102" s="1"/>
      <c r="V102" s="5">
        <f t="shared" si="41"/>
        <v>5.8377727788274552E-4</v>
      </c>
      <c r="W102" s="1"/>
      <c r="X102" s="1">
        <f t="shared" si="42"/>
        <v>12.360000000000014</v>
      </c>
      <c r="Y102" s="1"/>
      <c r="Z102" s="5">
        <f t="shared" si="43"/>
        <v>3.9870967741935527E-2</v>
      </c>
    </row>
    <row r="103" spans="1:26" s="24" customFormat="1" hidden="1" outlineLevel="2" x14ac:dyDescent="0.25">
      <c r="A103" s="27"/>
      <c r="B103" s="11" t="str">
        <f>CONCATENATE("          ", "6314", " - ", "LIABILITY INSURANCE")</f>
        <v xml:space="preserve">          6314 - LIABILITY INSURANCE</v>
      </c>
      <c r="C103" s="11"/>
      <c r="D103" s="6">
        <v>161.18</v>
      </c>
      <c r="E103" s="2"/>
      <c r="F103" s="7">
        <f t="shared" si="36"/>
        <v>4.9959003427296755E-4</v>
      </c>
      <c r="G103" s="2"/>
      <c r="H103" s="6">
        <v>155</v>
      </c>
      <c r="I103" s="2"/>
      <c r="J103" s="7">
        <f t="shared" si="37"/>
        <v>5.1516578157959232E-4</v>
      </c>
      <c r="K103" s="2"/>
      <c r="L103" s="6">
        <f t="shared" si="38"/>
        <v>6.1800000000000068</v>
      </c>
      <c r="M103" s="2"/>
      <c r="N103" s="7">
        <f t="shared" si="39"/>
        <v>3.9870967741935527E-2</v>
      </c>
      <c r="O103" s="11"/>
      <c r="P103" s="6">
        <v>322.36</v>
      </c>
      <c r="Q103" s="2"/>
      <c r="R103" s="7">
        <f t="shared" si="40"/>
        <v>5.8108865398265287E-4</v>
      </c>
      <c r="S103" s="2"/>
      <c r="T103" s="6">
        <v>310</v>
      </c>
      <c r="U103" s="2"/>
      <c r="V103" s="7">
        <f t="shared" si="41"/>
        <v>5.8377727788274552E-4</v>
      </c>
      <c r="W103" s="2"/>
      <c r="X103" s="6">
        <f t="shared" si="42"/>
        <v>12.360000000000014</v>
      </c>
      <c r="Y103" s="2"/>
      <c r="Z103" s="7">
        <f t="shared" si="43"/>
        <v>3.9870967741935527E-2</v>
      </c>
    </row>
    <row r="104" spans="1:26" s="26" customFormat="1" outlineLevel="1" collapsed="1" x14ac:dyDescent="0.25">
      <c r="A104" s="25"/>
      <c r="B104" s="13" t="str">
        <f>CONCATENATE("     ","Inventory Adjustment                              ")</f>
        <v xml:space="preserve">     Inventory Adjustment                              </v>
      </c>
      <c r="C104" s="13"/>
      <c r="D104" s="1">
        <f>SUM(OSRRefD22_11x_0)</f>
        <v>3150</v>
      </c>
      <c r="E104" s="1"/>
      <c r="F104" s="5">
        <f t="shared" si="36"/>
        <v>9.7636717208080884E-3</v>
      </c>
      <c r="G104" s="1"/>
      <c r="H104" s="1">
        <f>SUM(OSRRefH22_11x_0)</f>
        <v>3150</v>
      </c>
      <c r="I104" s="1"/>
      <c r="J104" s="5">
        <f t="shared" si="37"/>
        <v>1.0469498141778812E-2</v>
      </c>
      <c r="K104" s="1"/>
      <c r="L104" s="1">
        <f t="shared" si="38"/>
        <v>0</v>
      </c>
      <c r="M104" s="1"/>
      <c r="N104" s="5">
        <f t="shared" si="39"/>
        <v>0</v>
      </c>
      <c r="O104" s="13"/>
      <c r="P104" s="1">
        <f>SUM(OSRRefP22_11x_0)</f>
        <v>6300</v>
      </c>
      <c r="Q104" s="1"/>
      <c r="R104" s="5">
        <f t="shared" si="40"/>
        <v>1.1356429209860755E-2</v>
      </c>
      <c r="S104" s="1"/>
      <c r="T104" s="1">
        <f>SUM(OSRRefT22_11x_0)</f>
        <v>6300</v>
      </c>
      <c r="U104" s="1"/>
      <c r="V104" s="5">
        <f t="shared" si="41"/>
        <v>1.1863860808584828E-2</v>
      </c>
      <c r="W104" s="1"/>
      <c r="X104" s="1">
        <f t="shared" si="42"/>
        <v>0</v>
      </c>
      <c r="Y104" s="1"/>
      <c r="Z104" s="5">
        <f t="shared" si="43"/>
        <v>0</v>
      </c>
    </row>
    <row r="105" spans="1:26" s="24" customFormat="1" hidden="1" outlineLevel="2" x14ac:dyDescent="0.25">
      <c r="A105" s="27"/>
      <c r="B105" s="11" t="str">
        <f>CONCATENATE("          ", "6408", " - ", "INVENTORY ADJUSTMENT")</f>
        <v xml:space="preserve">          6408 - INVENTORY ADJUSTMENT</v>
      </c>
      <c r="C105" s="11"/>
      <c r="D105" s="6">
        <v>3150</v>
      </c>
      <c r="E105" s="2"/>
      <c r="F105" s="7">
        <f t="shared" si="36"/>
        <v>9.7636717208080884E-3</v>
      </c>
      <c r="G105" s="2"/>
      <c r="H105" s="6">
        <v>3150</v>
      </c>
      <c r="I105" s="2"/>
      <c r="J105" s="7">
        <f t="shared" si="37"/>
        <v>1.0469498141778812E-2</v>
      </c>
      <c r="K105" s="2"/>
      <c r="L105" s="6">
        <f t="shared" si="38"/>
        <v>0</v>
      </c>
      <c r="M105" s="2"/>
      <c r="N105" s="7">
        <f t="shared" si="39"/>
        <v>0</v>
      </c>
      <c r="O105" s="11"/>
      <c r="P105" s="6">
        <v>6300</v>
      </c>
      <c r="Q105" s="2"/>
      <c r="R105" s="7">
        <f t="shared" si="40"/>
        <v>1.1356429209860755E-2</v>
      </c>
      <c r="S105" s="2"/>
      <c r="T105" s="6">
        <v>6300</v>
      </c>
      <c r="U105" s="2"/>
      <c r="V105" s="7">
        <f t="shared" si="41"/>
        <v>1.1863860808584828E-2</v>
      </c>
      <c r="W105" s="2"/>
      <c r="X105" s="6">
        <f t="shared" si="42"/>
        <v>0</v>
      </c>
      <c r="Y105" s="2"/>
      <c r="Z105" s="7">
        <f t="shared" si="43"/>
        <v>0</v>
      </c>
    </row>
    <row r="106" spans="1:26" s="26" customFormat="1" outlineLevel="1" collapsed="1" x14ac:dyDescent="0.25">
      <c r="A106" s="25"/>
      <c r="B106" s="13" t="str">
        <f>CONCATENATE("     ","Professional Services                             ")</f>
        <v xml:space="preserve">     Professional Services                             </v>
      </c>
      <c r="C106" s="13"/>
      <c r="D106" s="1">
        <f>SUM(OSRRefD22_12x_0)</f>
        <v>0</v>
      </c>
      <c r="E106" s="1"/>
      <c r="F106" s="5">
        <f t="shared" si="36"/>
        <v>0</v>
      </c>
      <c r="G106" s="1"/>
      <c r="H106" s="1">
        <f>SUM(OSRRefH22_12x_0)</f>
        <v>0</v>
      </c>
      <c r="I106" s="1"/>
      <c r="J106" s="5">
        <f t="shared" si="37"/>
        <v>0</v>
      </c>
      <c r="K106" s="1"/>
      <c r="L106" s="1">
        <f t="shared" si="38"/>
        <v>0</v>
      </c>
      <c r="M106" s="1"/>
      <c r="N106" s="5">
        <f t="shared" si="39"/>
        <v>0</v>
      </c>
      <c r="O106" s="13"/>
      <c r="P106" s="1">
        <f>SUM(OSRRefP22_12x_0)</f>
        <v>750</v>
      </c>
      <c r="Q106" s="1"/>
      <c r="R106" s="5">
        <f t="shared" si="40"/>
        <v>1.3519558583167566E-3</v>
      </c>
      <c r="S106" s="1"/>
      <c r="T106" s="1">
        <f>SUM(OSRRefT22_12x_0)</f>
        <v>2400</v>
      </c>
      <c r="U106" s="1"/>
      <c r="V106" s="5">
        <f t="shared" si="41"/>
        <v>4.5195660223180294E-3</v>
      </c>
      <c r="W106" s="1"/>
      <c r="X106" s="1">
        <f t="shared" si="42"/>
        <v>-1650</v>
      </c>
      <c r="Y106" s="1"/>
      <c r="Z106" s="5">
        <f t="shared" si="43"/>
        <v>-0.6875</v>
      </c>
    </row>
    <row r="107" spans="1:26" s="24" customFormat="1" hidden="1" outlineLevel="2" x14ac:dyDescent="0.25">
      <c r="A107" s="27"/>
      <c r="B107" s="11" t="str">
        <f>CONCATENATE("          ", "6336", " - ", "PROFESSIONAL SERVICES")</f>
        <v xml:space="preserve">          6336 - PROFESSIONAL SERVICES</v>
      </c>
      <c r="C107" s="11"/>
      <c r="D107" s="6"/>
      <c r="E107" s="2"/>
      <c r="F107" s="7">
        <f t="shared" si="36"/>
        <v>0</v>
      </c>
      <c r="G107" s="2"/>
      <c r="H107" s="6">
        <v>0</v>
      </c>
      <c r="I107" s="2"/>
      <c r="J107" s="7">
        <f t="shared" si="37"/>
        <v>0</v>
      </c>
      <c r="K107" s="2"/>
      <c r="L107" s="6">
        <f t="shared" si="38"/>
        <v>0</v>
      </c>
      <c r="M107" s="2"/>
      <c r="N107" s="7">
        <f t="shared" si="39"/>
        <v>0</v>
      </c>
      <c r="O107" s="11"/>
      <c r="P107" s="6">
        <v>750</v>
      </c>
      <c r="Q107" s="2"/>
      <c r="R107" s="7">
        <f t="shared" si="40"/>
        <v>1.3519558583167566E-3</v>
      </c>
      <c r="S107" s="2"/>
      <c r="T107" s="6">
        <v>2400</v>
      </c>
      <c r="U107" s="2"/>
      <c r="V107" s="7">
        <f t="shared" si="41"/>
        <v>4.5195660223180294E-3</v>
      </c>
      <c r="W107" s="2"/>
      <c r="X107" s="6">
        <f t="shared" si="42"/>
        <v>-1650</v>
      </c>
      <c r="Y107" s="2"/>
      <c r="Z107" s="7">
        <f t="shared" si="43"/>
        <v>-0.6875</v>
      </c>
    </row>
    <row r="108" spans="1:26" s="26" customFormat="1" outlineLevel="1" collapsed="1" x14ac:dyDescent="0.25">
      <c r="A108" s="25"/>
      <c r="B108" s="13" t="str">
        <f>CONCATENATE("     ","Rent                                              ")</f>
        <v xml:space="preserve">     Rent                                              </v>
      </c>
      <c r="C108" s="13"/>
      <c r="D108" s="1">
        <f>SUM(OSRRefD22_13x_0)</f>
        <v>6900</v>
      </c>
      <c r="E108" s="1"/>
      <c r="F108" s="5">
        <f t="shared" si="36"/>
        <v>2.1387090436055814E-2</v>
      </c>
      <c r="G108" s="1"/>
      <c r="H108" s="1">
        <f>SUM(OSRRefH22_13x_0)</f>
        <v>7200</v>
      </c>
      <c r="I108" s="1"/>
      <c r="J108" s="5">
        <f t="shared" si="37"/>
        <v>2.3930281466922998E-2</v>
      </c>
      <c r="K108" s="1"/>
      <c r="L108" s="1">
        <f t="shared" si="38"/>
        <v>-300</v>
      </c>
      <c r="M108" s="1"/>
      <c r="N108" s="5">
        <f t="shared" si="39"/>
        <v>-4.1666666666666664E-2</v>
      </c>
      <c r="O108" s="13"/>
      <c r="P108" s="1">
        <f>SUM(OSRRefP22_13x_0)</f>
        <v>13800</v>
      </c>
      <c r="Q108" s="1"/>
      <c r="R108" s="5">
        <f t="shared" si="40"/>
        <v>2.4875987793028322E-2</v>
      </c>
      <c r="S108" s="1"/>
      <c r="T108" s="1">
        <f>SUM(OSRRefT22_13x_0)</f>
        <v>14400</v>
      </c>
      <c r="U108" s="1"/>
      <c r="V108" s="5">
        <f t="shared" si="41"/>
        <v>2.7117396133908178E-2</v>
      </c>
      <c r="W108" s="1"/>
      <c r="X108" s="1">
        <f t="shared" si="42"/>
        <v>-600</v>
      </c>
      <c r="Y108" s="1"/>
      <c r="Z108" s="5">
        <f t="shared" si="43"/>
        <v>-4.1666666666666664E-2</v>
      </c>
    </row>
    <row r="109" spans="1:26" s="24" customFormat="1" hidden="1" outlineLevel="2" x14ac:dyDescent="0.25">
      <c r="A109" s="27"/>
      <c r="B109" s="11" t="str">
        <f>CONCATENATE("          ", "6273", " - ", "RENT")</f>
        <v xml:space="preserve">          6273 - RENT</v>
      </c>
      <c r="C109" s="11"/>
      <c r="D109" s="6">
        <v>6900</v>
      </c>
      <c r="E109" s="2"/>
      <c r="F109" s="7">
        <f t="shared" si="36"/>
        <v>2.1387090436055814E-2</v>
      </c>
      <c r="G109" s="2"/>
      <c r="H109" s="6">
        <v>7200</v>
      </c>
      <c r="I109" s="2"/>
      <c r="J109" s="7">
        <f t="shared" si="37"/>
        <v>2.3930281466922998E-2</v>
      </c>
      <c r="K109" s="2"/>
      <c r="L109" s="6">
        <f t="shared" si="38"/>
        <v>-300</v>
      </c>
      <c r="M109" s="2"/>
      <c r="N109" s="7">
        <f t="shared" si="39"/>
        <v>-4.1666666666666664E-2</v>
      </c>
      <c r="O109" s="11"/>
      <c r="P109" s="6">
        <v>13800</v>
      </c>
      <c r="Q109" s="2"/>
      <c r="R109" s="7">
        <f t="shared" si="40"/>
        <v>2.4875987793028322E-2</v>
      </c>
      <c r="S109" s="2"/>
      <c r="T109" s="6">
        <v>14400</v>
      </c>
      <c r="U109" s="2"/>
      <c r="V109" s="7">
        <f t="shared" si="41"/>
        <v>2.7117396133908178E-2</v>
      </c>
      <c r="W109" s="2"/>
      <c r="X109" s="6">
        <f t="shared" si="42"/>
        <v>-600</v>
      </c>
      <c r="Y109" s="2"/>
      <c r="Z109" s="7">
        <f t="shared" si="43"/>
        <v>-4.1666666666666664E-2</v>
      </c>
    </row>
    <row r="110" spans="1:26" s="26" customFormat="1" outlineLevel="1" collapsed="1" x14ac:dyDescent="0.25">
      <c r="A110" s="25"/>
      <c r="B110" s="13" t="str">
        <f>CONCATENATE("     ","Repair and Maintenance                            ")</f>
        <v xml:space="preserve">     Repair and Maintenance                            </v>
      </c>
      <c r="C110" s="13"/>
      <c r="D110" s="1">
        <f>SUM(OSRRefD22_14x_0)</f>
        <v>0</v>
      </c>
      <c r="E110" s="1"/>
      <c r="F110" s="5">
        <f t="shared" si="36"/>
        <v>0</v>
      </c>
      <c r="G110" s="1"/>
      <c r="H110" s="1">
        <f>SUM(OSRRefH22_14x_0)</f>
        <v>300</v>
      </c>
      <c r="I110" s="1"/>
      <c r="J110" s="5">
        <f t="shared" si="37"/>
        <v>9.9709506112179158E-4</v>
      </c>
      <c r="K110" s="1"/>
      <c r="L110" s="1">
        <f t="shared" si="38"/>
        <v>-300</v>
      </c>
      <c r="M110" s="1"/>
      <c r="N110" s="5">
        <f t="shared" si="39"/>
        <v>-1</v>
      </c>
      <c r="O110" s="13"/>
      <c r="P110" s="1">
        <f>SUM(OSRRefP22_14x_0)</f>
        <v>0</v>
      </c>
      <c r="Q110" s="1"/>
      <c r="R110" s="5">
        <f t="shared" si="40"/>
        <v>0</v>
      </c>
      <c r="S110" s="1"/>
      <c r="T110" s="1">
        <f>SUM(OSRRefT22_14x_0)</f>
        <v>450</v>
      </c>
      <c r="U110" s="1"/>
      <c r="V110" s="5">
        <f t="shared" si="41"/>
        <v>8.4741862918463057E-4</v>
      </c>
      <c r="W110" s="1"/>
      <c r="X110" s="1">
        <f t="shared" si="42"/>
        <v>-450</v>
      </c>
      <c r="Y110" s="1"/>
      <c r="Z110" s="5">
        <f t="shared" si="43"/>
        <v>-1</v>
      </c>
    </row>
    <row r="111" spans="1:26" s="24" customFormat="1" hidden="1" outlineLevel="2" x14ac:dyDescent="0.25">
      <c r="A111" s="27"/>
      <c r="B111" s="11" t="str">
        <f>CONCATENATE("          ", "6373", " - ", "MAINTENANCE CONTRACTS")</f>
        <v xml:space="preserve">          6373 - MAINTENANCE CONTRACTS</v>
      </c>
      <c r="C111" s="11"/>
      <c r="D111" s="6"/>
      <c r="E111" s="2"/>
      <c r="F111" s="7">
        <f t="shared" si="36"/>
        <v>0</v>
      </c>
      <c r="G111" s="2"/>
      <c r="H111" s="6">
        <v>75</v>
      </c>
      <c r="I111" s="2"/>
      <c r="J111" s="7">
        <f t="shared" si="37"/>
        <v>2.492737652804479E-4</v>
      </c>
      <c r="K111" s="2"/>
      <c r="L111" s="6">
        <f t="shared" si="38"/>
        <v>-75</v>
      </c>
      <c r="M111" s="2"/>
      <c r="N111" s="7">
        <f t="shared" si="39"/>
        <v>-1</v>
      </c>
      <c r="O111" s="11"/>
      <c r="P111" s="6"/>
      <c r="Q111" s="2"/>
      <c r="R111" s="7">
        <f t="shared" si="40"/>
        <v>0</v>
      </c>
      <c r="S111" s="2"/>
      <c r="T111" s="6">
        <v>75</v>
      </c>
      <c r="U111" s="2"/>
      <c r="V111" s="7">
        <f t="shared" si="41"/>
        <v>1.4123643819743842E-4</v>
      </c>
      <c r="W111" s="2"/>
      <c r="X111" s="6">
        <f t="shared" si="42"/>
        <v>-75</v>
      </c>
      <c r="Y111" s="2"/>
      <c r="Z111" s="7">
        <f t="shared" si="43"/>
        <v>-1</v>
      </c>
    </row>
    <row r="112" spans="1:26" s="24" customFormat="1" hidden="1" outlineLevel="2" x14ac:dyDescent="0.25">
      <c r="A112" s="27"/>
      <c r="B112" s="11" t="str">
        <f>CONCATENATE("          ", "6375", " - ", "OUTSIDE REPAIRS &amp; MAINTENANCE")</f>
        <v xml:space="preserve">          6375 - OUTSIDE REPAIRS &amp; MAINTENANCE</v>
      </c>
      <c r="C112" s="11"/>
      <c r="D112" s="6"/>
      <c r="E112" s="2"/>
      <c r="F112" s="7">
        <f t="shared" si="36"/>
        <v>0</v>
      </c>
      <c r="G112" s="2"/>
      <c r="H112" s="6">
        <v>225</v>
      </c>
      <c r="I112" s="2"/>
      <c r="J112" s="7">
        <f t="shared" si="37"/>
        <v>7.4782129584134369E-4</v>
      </c>
      <c r="K112" s="2"/>
      <c r="L112" s="6">
        <f t="shared" si="38"/>
        <v>-225</v>
      </c>
      <c r="M112" s="2"/>
      <c r="N112" s="7">
        <f t="shared" si="39"/>
        <v>-1</v>
      </c>
      <c r="O112" s="11"/>
      <c r="P112" s="6"/>
      <c r="Q112" s="2"/>
      <c r="R112" s="7">
        <f t="shared" si="40"/>
        <v>0</v>
      </c>
      <c r="S112" s="2"/>
      <c r="T112" s="6">
        <v>375</v>
      </c>
      <c r="U112" s="2"/>
      <c r="V112" s="7">
        <f t="shared" si="41"/>
        <v>7.0618219098719218E-4</v>
      </c>
      <c r="W112" s="2"/>
      <c r="X112" s="6">
        <f t="shared" si="42"/>
        <v>-375</v>
      </c>
      <c r="Y112" s="2"/>
      <c r="Z112" s="7">
        <f t="shared" si="43"/>
        <v>-1</v>
      </c>
    </row>
    <row r="113" spans="1:26" s="26" customFormat="1" outlineLevel="1" collapsed="1" x14ac:dyDescent="0.25">
      <c r="A113" s="25"/>
      <c r="B113" s="13" t="str">
        <f>CONCATENATE("     ","Royalty &amp; Commissions                             ")</f>
        <v xml:space="preserve">     Royalty &amp; Commissions                             </v>
      </c>
      <c r="C113" s="13"/>
      <c r="D113" s="1">
        <f>SUM(OSRRefD22_15x_0)</f>
        <v>136.4</v>
      </c>
      <c r="E113" s="1"/>
      <c r="F113" s="5">
        <f t="shared" ref="F113:F116" si="44">IF(D$12=0,0,D113/D$12)</f>
        <v>4.227824834026106E-4</v>
      </c>
      <c r="G113" s="1"/>
      <c r="H113" s="1">
        <f>SUM(OSRRefH22_15x_0)</f>
        <v>5485</v>
      </c>
      <c r="I113" s="1"/>
      <c r="J113" s="5">
        <f t="shared" ref="J113:J116" si="45">IF(H$12=0,0,H113/H$12)</f>
        <v>1.823022136751009E-2</v>
      </c>
      <c r="K113" s="1"/>
      <c r="L113" s="1">
        <f t="shared" ref="L113:L116" si="46">+D113-H113</f>
        <v>-5348.6</v>
      </c>
      <c r="M113" s="1"/>
      <c r="N113" s="5">
        <f t="shared" ref="N113:N116" si="47">IF(H113=0,0,L113/H113)</f>
        <v>-0.97513217866909763</v>
      </c>
      <c r="O113" s="13"/>
      <c r="P113" s="1">
        <f>SUM(OSRRefP22_15x_0)</f>
        <v>4617.4399999999996</v>
      </c>
      <c r="Q113" s="1"/>
      <c r="R113" s="5">
        <f t="shared" ref="R113:R116" si="48">IF(P$12=0,0,P113/P$12)</f>
        <v>8.3234334112348325E-3</v>
      </c>
      <c r="S113" s="1"/>
      <c r="T113" s="1">
        <f>SUM(OSRRefT22_15x_0)</f>
        <v>10970</v>
      </c>
      <c r="U113" s="1"/>
      <c r="V113" s="5">
        <f t="shared" ref="V113:V116" si="49">IF(T$12=0,0,T113/T$12)</f>
        <v>2.0658183027011993E-2</v>
      </c>
      <c r="W113" s="1"/>
      <c r="X113" s="1">
        <f t="shared" ref="X113:X116" si="50">+P113-T113</f>
        <v>-6352.56</v>
      </c>
      <c r="Y113" s="1"/>
      <c r="Z113" s="5">
        <f t="shared" ref="Z113:Z116" si="51">IF(T113=0,0,X113/T113)</f>
        <v>-0.57908477666362812</v>
      </c>
    </row>
    <row r="114" spans="1:26" s="24" customFormat="1" hidden="1" outlineLevel="2" x14ac:dyDescent="0.25">
      <c r="A114" s="27"/>
      <c r="B114" s="11" t="str">
        <f>CONCATENATE("          ", "6252", " - ", "ROYALTY DUE CSTV")</f>
        <v xml:space="preserve">          6252 - ROYALTY DUE CSTV</v>
      </c>
      <c r="C114" s="11"/>
      <c r="D114" s="6"/>
      <c r="E114" s="2"/>
      <c r="F114" s="7">
        <f t="shared" si="44"/>
        <v>0</v>
      </c>
      <c r="G114" s="2"/>
      <c r="H114" s="6">
        <v>1085</v>
      </c>
      <c r="I114" s="2"/>
      <c r="J114" s="7">
        <f t="shared" si="45"/>
        <v>3.6061604710571466E-3</v>
      </c>
      <c r="K114" s="2"/>
      <c r="L114" s="6">
        <f t="shared" si="46"/>
        <v>-1085</v>
      </c>
      <c r="M114" s="2"/>
      <c r="N114" s="7">
        <f t="shared" si="47"/>
        <v>-1</v>
      </c>
      <c r="O114" s="11"/>
      <c r="P114" s="6"/>
      <c r="Q114" s="2"/>
      <c r="R114" s="7">
        <f t="shared" si="48"/>
        <v>0</v>
      </c>
      <c r="S114" s="2"/>
      <c r="T114" s="6">
        <v>2170</v>
      </c>
      <c r="U114" s="2"/>
      <c r="V114" s="7">
        <f t="shared" si="49"/>
        <v>4.0864409451792181E-3</v>
      </c>
      <c r="W114" s="2"/>
      <c r="X114" s="6">
        <f t="shared" si="50"/>
        <v>-2170</v>
      </c>
      <c r="Y114" s="2"/>
      <c r="Z114" s="7">
        <f t="shared" si="51"/>
        <v>-1</v>
      </c>
    </row>
    <row r="115" spans="1:26" s="24" customFormat="1" hidden="1" outlineLevel="2" x14ac:dyDescent="0.25">
      <c r="A115" s="27"/>
      <c r="B115" s="11" t="str">
        <f>CONCATENATE("          ", "6253", " - ", "ROYALTY DUE ATHLETICS-LRG")</f>
        <v xml:space="preserve">          6253 - ROYALTY DUE ATHLETICS-LRG</v>
      </c>
      <c r="C115" s="11"/>
      <c r="D115" s="6"/>
      <c r="E115" s="2"/>
      <c r="F115" s="7">
        <f t="shared" si="44"/>
        <v>0</v>
      </c>
      <c r="G115" s="2"/>
      <c r="H115" s="6">
        <v>3700</v>
      </c>
      <c r="I115" s="2"/>
      <c r="J115" s="7">
        <f t="shared" si="45"/>
        <v>1.229750575383543E-2</v>
      </c>
      <c r="K115" s="2"/>
      <c r="L115" s="6">
        <f t="shared" si="46"/>
        <v>-3700</v>
      </c>
      <c r="M115" s="2"/>
      <c r="N115" s="7">
        <f t="shared" si="47"/>
        <v>-1</v>
      </c>
      <c r="O115" s="11"/>
      <c r="P115" s="6">
        <v>4366.95</v>
      </c>
      <c r="Q115" s="2"/>
      <c r="R115" s="7">
        <f t="shared" si="48"/>
        <v>7.8718981806351462E-3</v>
      </c>
      <c r="S115" s="2"/>
      <c r="T115" s="6">
        <v>7400</v>
      </c>
      <c r="U115" s="2"/>
      <c r="V115" s="7">
        <f t="shared" si="49"/>
        <v>1.3935328568813925E-2</v>
      </c>
      <c r="W115" s="2"/>
      <c r="X115" s="6">
        <f t="shared" si="50"/>
        <v>-3033.05</v>
      </c>
      <c r="Y115" s="2"/>
      <c r="Z115" s="7">
        <f t="shared" si="51"/>
        <v>-0.40987162162162166</v>
      </c>
    </row>
    <row r="116" spans="1:26" s="24" customFormat="1" hidden="1" outlineLevel="2" x14ac:dyDescent="0.25">
      <c r="A116" s="27"/>
      <c r="B116" s="11" t="str">
        <f>CONCATENATE("          ", "6254", " - ", "ROYALTY &amp; COMMISSIONS")</f>
        <v xml:space="preserve">          6254 - ROYALTY &amp; COMMISSIONS</v>
      </c>
      <c r="C116" s="11"/>
      <c r="D116" s="6">
        <v>136.4</v>
      </c>
      <c r="E116" s="2"/>
      <c r="F116" s="7">
        <f t="shared" si="44"/>
        <v>4.227824834026106E-4</v>
      </c>
      <c r="G116" s="2"/>
      <c r="H116" s="6">
        <v>700</v>
      </c>
      <c r="I116" s="2"/>
      <c r="J116" s="7">
        <f t="shared" si="45"/>
        <v>2.3265551426175138E-3</v>
      </c>
      <c r="K116" s="2"/>
      <c r="L116" s="6">
        <f t="shared" si="46"/>
        <v>-563.6</v>
      </c>
      <c r="M116" s="2"/>
      <c r="N116" s="7">
        <f t="shared" si="47"/>
        <v>-0.80514285714285716</v>
      </c>
      <c r="O116" s="11"/>
      <c r="P116" s="6">
        <v>250.49</v>
      </c>
      <c r="Q116" s="2"/>
      <c r="R116" s="7">
        <f t="shared" si="48"/>
        <v>4.5153523059968586E-4</v>
      </c>
      <c r="S116" s="2"/>
      <c r="T116" s="6">
        <v>1400</v>
      </c>
      <c r="U116" s="2"/>
      <c r="V116" s="7">
        <f t="shared" si="49"/>
        <v>2.6364135130188507E-3</v>
      </c>
      <c r="W116" s="2"/>
      <c r="X116" s="6">
        <f t="shared" si="50"/>
        <v>-1149.51</v>
      </c>
      <c r="Y116" s="2"/>
      <c r="Z116" s="7">
        <f t="shared" si="51"/>
        <v>-0.82107857142857144</v>
      </c>
    </row>
    <row r="117" spans="1:26" s="26" customFormat="1" outlineLevel="1" collapsed="1" x14ac:dyDescent="0.25">
      <c r="A117" s="25"/>
      <c r="B117" s="13" t="str">
        <f>CONCATENATE("     ","Services                                          ")</f>
        <v xml:space="preserve">     Services                                          </v>
      </c>
      <c r="C117" s="13"/>
      <c r="D117" s="1">
        <f>SUM(OSRRefD22_16x_0)</f>
        <v>241.37</v>
      </c>
      <c r="E117" s="1"/>
      <c r="F117" s="5">
        <f t="shared" ref="F117:F120" si="52">IF(D$12=0,0,D117/D$12)</f>
        <v>7.4814522007982489E-4</v>
      </c>
      <c r="G117" s="1"/>
      <c r="H117" s="1">
        <f>SUM(OSRRefH22_16x_0)</f>
        <v>232.5</v>
      </c>
      <c r="I117" s="1"/>
      <c r="J117" s="5">
        <f t="shared" ref="J117:J120" si="53">IF(H$12=0,0,H117/H$12)</f>
        <v>7.7274867236938854E-4</v>
      </c>
      <c r="K117" s="1"/>
      <c r="L117" s="1">
        <f t="shared" ref="L117:L120" si="54">+D117-H117</f>
        <v>8.8700000000000045</v>
      </c>
      <c r="M117" s="1"/>
      <c r="N117" s="5">
        <f t="shared" ref="N117:N120" si="55">IF(H117=0,0,L117/H117)</f>
        <v>3.8150537634408621E-2</v>
      </c>
      <c r="O117" s="13"/>
      <c r="P117" s="1">
        <f>SUM(OSRRefP22_16x_0)</f>
        <v>482.74</v>
      </c>
      <c r="Q117" s="1"/>
      <c r="R117" s="5">
        <f t="shared" ref="R117:R120" si="56">IF(P$12=0,0,P117/P$12)</f>
        <v>8.7019089472510809E-4</v>
      </c>
      <c r="S117" s="1"/>
      <c r="T117" s="1">
        <f>SUM(OSRRefT22_16x_0)</f>
        <v>465</v>
      </c>
      <c r="U117" s="1"/>
      <c r="V117" s="5">
        <f t="shared" ref="V117:V120" si="57">IF(T$12=0,0,T117/T$12)</f>
        <v>8.7566591682411822E-4</v>
      </c>
      <c r="W117" s="1"/>
      <c r="X117" s="1">
        <f t="shared" ref="X117:X120" si="58">+P117-T117</f>
        <v>17.740000000000009</v>
      </c>
      <c r="Y117" s="1"/>
      <c r="Z117" s="5">
        <f t="shared" ref="Z117:Z120" si="59">IF(T117=0,0,X117/T117)</f>
        <v>3.8150537634408621E-2</v>
      </c>
    </row>
    <row r="118" spans="1:26" s="24" customFormat="1" hidden="1" outlineLevel="2" x14ac:dyDescent="0.25">
      <c r="A118" s="27"/>
      <c r="B118" s="11" t="str">
        <f>CONCATENATE("          ", "6283", " - ", "PLANT SERVICE")</f>
        <v xml:space="preserve">          6283 - PLANT SERVICE</v>
      </c>
      <c r="C118" s="11"/>
      <c r="D118" s="6">
        <v>59.55</v>
      </c>
      <c r="E118" s="2"/>
      <c r="F118" s="7">
        <f t="shared" si="52"/>
        <v>1.8457988919813386E-4</v>
      </c>
      <c r="G118" s="2"/>
      <c r="H118" s="6">
        <v>60</v>
      </c>
      <c r="I118" s="2"/>
      <c r="J118" s="7">
        <f t="shared" si="53"/>
        <v>1.9941901222435832E-4</v>
      </c>
      <c r="K118" s="2"/>
      <c r="L118" s="6">
        <f t="shared" si="54"/>
        <v>-0.45000000000000284</v>
      </c>
      <c r="M118" s="2"/>
      <c r="N118" s="7">
        <f t="shared" si="55"/>
        <v>-7.5000000000000474E-3</v>
      </c>
      <c r="O118" s="11"/>
      <c r="P118" s="6">
        <v>119.1</v>
      </c>
      <c r="Q118" s="2"/>
      <c r="R118" s="7">
        <f t="shared" si="56"/>
        <v>2.1469059030070094E-4</v>
      </c>
      <c r="S118" s="2"/>
      <c r="T118" s="6">
        <v>120</v>
      </c>
      <c r="U118" s="2"/>
      <c r="V118" s="7">
        <f t="shared" si="57"/>
        <v>2.259783011159015E-4</v>
      </c>
      <c r="W118" s="2"/>
      <c r="X118" s="6">
        <f t="shared" si="58"/>
        <v>-0.90000000000000568</v>
      </c>
      <c r="Y118" s="2"/>
      <c r="Z118" s="7">
        <f t="shared" si="59"/>
        <v>-7.5000000000000474E-3</v>
      </c>
    </row>
    <row r="119" spans="1:26" s="24" customFormat="1" hidden="1" outlineLevel="2" x14ac:dyDescent="0.25">
      <c r="A119" s="27"/>
      <c r="B119" s="11" t="str">
        <f>CONCATENATE("          ", "6284", " - ", "TRASH REMOVAL EXPENSE")</f>
        <v xml:space="preserve">          6284 - TRASH REMOVAL EXPENSE</v>
      </c>
      <c r="C119" s="11"/>
      <c r="D119" s="6">
        <v>134.82</v>
      </c>
      <c r="E119" s="2"/>
      <c r="F119" s="7">
        <f t="shared" si="52"/>
        <v>4.178851496505862E-4</v>
      </c>
      <c r="G119" s="2"/>
      <c r="H119" s="6">
        <v>62.5</v>
      </c>
      <c r="I119" s="2"/>
      <c r="J119" s="7">
        <f t="shared" si="53"/>
        <v>2.0772813773370659E-4</v>
      </c>
      <c r="K119" s="2"/>
      <c r="L119" s="6">
        <f t="shared" si="54"/>
        <v>72.319999999999993</v>
      </c>
      <c r="M119" s="2"/>
      <c r="N119" s="7">
        <f t="shared" si="55"/>
        <v>1.1571199999999999</v>
      </c>
      <c r="O119" s="11"/>
      <c r="P119" s="6">
        <v>269.64</v>
      </c>
      <c r="Q119" s="2"/>
      <c r="R119" s="7">
        <f t="shared" si="56"/>
        <v>4.8605517018204033E-4</v>
      </c>
      <c r="S119" s="2"/>
      <c r="T119" s="6">
        <v>125</v>
      </c>
      <c r="U119" s="2"/>
      <c r="V119" s="7">
        <f t="shared" si="57"/>
        <v>2.3539406366239739E-4</v>
      </c>
      <c r="W119" s="2"/>
      <c r="X119" s="6">
        <f t="shared" si="58"/>
        <v>144.63999999999999</v>
      </c>
      <c r="Y119" s="2"/>
      <c r="Z119" s="7">
        <f t="shared" si="59"/>
        <v>1.1571199999999999</v>
      </c>
    </row>
    <row r="120" spans="1:26" s="24" customFormat="1" hidden="1" outlineLevel="2" x14ac:dyDescent="0.25">
      <c r="A120" s="27"/>
      <c r="B120" s="11" t="str">
        <f>CONCATENATE("          ", "6285", " - ", "JANITORIAL SERVICES")</f>
        <v xml:space="preserve">          6285 - JANITORIAL SERVICES</v>
      </c>
      <c r="C120" s="11"/>
      <c r="D120" s="6">
        <v>47</v>
      </c>
      <c r="E120" s="2"/>
      <c r="F120" s="7">
        <f t="shared" si="52"/>
        <v>1.456801812311048E-4</v>
      </c>
      <c r="G120" s="2"/>
      <c r="H120" s="6">
        <v>110</v>
      </c>
      <c r="I120" s="2"/>
      <c r="J120" s="7">
        <f t="shared" si="53"/>
        <v>3.6560152241132358E-4</v>
      </c>
      <c r="K120" s="2"/>
      <c r="L120" s="6">
        <f t="shared" si="54"/>
        <v>-63</v>
      </c>
      <c r="M120" s="2"/>
      <c r="N120" s="7">
        <f t="shared" si="55"/>
        <v>-0.57272727272727275</v>
      </c>
      <c r="O120" s="11"/>
      <c r="P120" s="6">
        <v>94</v>
      </c>
      <c r="Q120" s="2"/>
      <c r="R120" s="7">
        <f t="shared" si="56"/>
        <v>1.6944513424236684E-4</v>
      </c>
      <c r="S120" s="2"/>
      <c r="T120" s="6">
        <v>220</v>
      </c>
      <c r="U120" s="2"/>
      <c r="V120" s="7">
        <f t="shared" si="57"/>
        <v>4.1429355204581936E-4</v>
      </c>
      <c r="W120" s="2"/>
      <c r="X120" s="6">
        <f t="shared" si="58"/>
        <v>-126</v>
      </c>
      <c r="Y120" s="2"/>
      <c r="Z120" s="7">
        <f t="shared" si="59"/>
        <v>-0.57272727272727275</v>
      </c>
    </row>
    <row r="121" spans="1:26" s="26" customFormat="1" outlineLevel="1" collapsed="1" x14ac:dyDescent="0.25">
      <c r="A121" s="25"/>
      <c r="B121" s="13" t="str">
        <f>CONCATENATE("     ","Subscriptions &amp; Dues                              ")</f>
        <v xml:space="preserve">     Subscriptions &amp; Dues                              </v>
      </c>
      <c r="C121" s="13"/>
      <c r="D121" s="1">
        <f>SUM(OSRRefD22_17x_0)</f>
        <v>0</v>
      </c>
      <c r="E121" s="1"/>
      <c r="F121" s="5">
        <f t="shared" ref="F121:F123" si="60">IF(D$12=0,0,D121/D$12)</f>
        <v>0</v>
      </c>
      <c r="G121" s="1"/>
      <c r="H121" s="1">
        <f>SUM(OSRRefH22_17x_0)</f>
        <v>515</v>
      </c>
      <c r="I121" s="1"/>
      <c r="J121" s="5">
        <f t="shared" ref="J121:J123" si="61">IF(H$12=0,0,H121/H$12)</f>
        <v>1.7116798549257422E-3</v>
      </c>
      <c r="K121" s="1"/>
      <c r="L121" s="1">
        <f t="shared" ref="L121:L123" si="62">+D121-H121</f>
        <v>-515</v>
      </c>
      <c r="M121" s="1"/>
      <c r="N121" s="5">
        <f t="shared" ref="N121:N123" si="63">IF(H121=0,0,L121/H121)</f>
        <v>-1</v>
      </c>
      <c r="O121" s="13"/>
      <c r="P121" s="1">
        <f>SUM(OSRRefP22_17x_0)</f>
        <v>13.42</v>
      </c>
      <c r="Q121" s="1"/>
      <c r="R121" s="5">
        <f t="shared" ref="R121:R123" si="64">IF(P$12=0,0,P121/P$12)</f>
        <v>2.4190996824814499E-5</v>
      </c>
      <c r="S121" s="1"/>
      <c r="T121" s="1">
        <f>SUM(OSRRefT22_17x_0)</f>
        <v>2700</v>
      </c>
      <c r="U121" s="1"/>
      <c r="V121" s="5">
        <f t="shared" ref="V121:V123" si="65">IF(T$12=0,0,T121/T$12)</f>
        <v>5.0845117751077834E-3</v>
      </c>
      <c r="W121" s="1"/>
      <c r="X121" s="1">
        <f t="shared" ref="X121:X123" si="66">+P121-T121</f>
        <v>-2686.58</v>
      </c>
      <c r="Y121" s="1"/>
      <c r="Z121" s="5">
        <f t="shared" ref="Z121:Z123" si="67">IF(T121=0,0,X121/T121)</f>
        <v>-0.9950296296296296</v>
      </c>
    </row>
    <row r="122" spans="1:26" s="24" customFormat="1" hidden="1" outlineLevel="2" x14ac:dyDescent="0.25">
      <c r="A122" s="27"/>
      <c r="B122" s="11" t="str">
        <f>CONCATENATE("          ", "6258", " - ", "MEMBERSHIP DUES")</f>
        <v xml:space="preserve">          6258 - MEMBERSHIP DUES</v>
      </c>
      <c r="C122" s="11"/>
      <c r="D122" s="6"/>
      <c r="E122" s="2"/>
      <c r="F122" s="7">
        <f t="shared" si="60"/>
        <v>0</v>
      </c>
      <c r="G122" s="2"/>
      <c r="H122" s="6">
        <v>0</v>
      </c>
      <c r="I122" s="2"/>
      <c r="J122" s="7">
        <f t="shared" si="61"/>
        <v>0</v>
      </c>
      <c r="K122" s="2"/>
      <c r="L122" s="6">
        <f t="shared" si="62"/>
        <v>0</v>
      </c>
      <c r="M122" s="2"/>
      <c r="N122" s="7">
        <f t="shared" si="63"/>
        <v>0</v>
      </c>
      <c r="O122" s="11"/>
      <c r="P122" s="6"/>
      <c r="Q122" s="2"/>
      <c r="R122" s="7">
        <f t="shared" si="64"/>
        <v>0</v>
      </c>
      <c r="S122" s="2"/>
      <c r="T122" s="6">
        <v>1395</v>
      </c>
      <c r="U122" s="2"/>
      <c r="V122" s="7">
        <f t="shared" si="65"/>
        <v>2.6269977504723547E-3</v>
      </c>
      <c r="W122" s="2"/>
      <c r="X122" s="6">
        <f t="shared" si="66"/>
        <v>-1395</v>
      </c>
      <c r="Y122" s="2"/>
      <c r="Z122" s="7">
        <f t="shared" si="67"/>
        <v>-1</v>
      </c>
    </row>
    <row r="123" spans="1:26" s="24" customFormat="1" hidden="1" outlineLevel="2" x14ac:dyDescent="0.25">
      <c r="A123" s="27"/>
      <c r="B123" s="11" t="str">
        <f>CONCATENATE("          ", "6275", " - ", "SUBSCRIPTIONS")</f>
        <v xml:space="preserve">          6275 - SUBSCRIPTIONS</v>
      </c>
      <c r="C123" s="11"/>
      <c r="D123" s="6"/>
      <c r="E123" s="2"/>
      <c r="F123" s="7">
        <f t="shared" si="60"/>
        <v>0</v>
      </c>
      <c r="G123" s="2"/>
      <c r="H123" s="6">
        <v>515</v>
      </c>
      <c r="I123" s="2"/>
      <c r="J123" s="7">
        <f t="shared" si="61"/>
        <v>1.7116798549257422E-3</v>
      </c>
      <c r="K123" s="2"/>
      <c r="L123" s="6">
        <f t="shared" si="62"/>
        <v>-515</v>
      </c>
      <c r="M123" s="2"/>
      <c r="N123" s="7">
        <f t="shared" si="63"/>
        <v>-1</v>
      </c>
      <c r="O123" s="11"/>
      <c r="P123" s="6">
        <v>13.42</v>
      </c>
      <c r="Q123" s="2"/>
      <c r="R123" s="7">
        <f t="shared" si="64"/>
        <v>2.4190996824814499E-5</v>
      </c>
      <c r="S123" s="2"/>
      <c r="T123" s="6">
        <v>1305</v>
      </c>
      <c r="U123" s="2"/>
      <c r="V123" s="7">
        <f t="shared" si="65"/>
        <v>2.4575140246354287E-3</v>
      </c>
      <c r="W123" s="2"/>
      <c r="X123" s="6">
        <f t="shared" si="66"/>
        <v>-1291.58</v>
      </c>
      <c r="Y123" s="2"/>
      <c r="Z123" s="7">
        <f t="shared" si="67"/>
        <v>-0.98971647509578542</v>
      </c>
    </row>
    <row r="124" spans="1:26" s="26" customFormat="1" outlineLevel="1" collapsed="1" x14ac:dyDescent="0.25">
      <c r="A124" s="25"/>
      <c r="B124" s="13" t="str">
        <f>CONCATENATE("     ","Supplies                                          ")</f>
        <v xml:space="preserve">     Supplies                                          </v>
      </c>
      <c r="C124" s="13"/>
      <c r="D124" s="1">
        <f>SUM(OSRRefD22_18x_0)</f>
        <v>320.75</v>
      </c>
      <c r="E124" s="1"/>
      <c r="F124" s="5">
        <f t="shared" ref="F124:F129" si="68">IF(D$12=0,0,D124/D$12)</f>
        <v>9.9418974744418871E-4</v>
      </c>
      <c r="G124" s="1"/>
      <c r="H124" s="1">
        <f>SUM(OSRRefH22_18x_0)</f>
        <v>860</v>
      </c>
      <c r="I124" s="1"/>
      <c r="J124" s="5">
        <f t="shared" ref="J124:J129" si="69">IF(H$12=0,0,H124/H$12)</f>
        <v>2.8583391752158025E-3</v>
      </c>
      <c r="K124" s="1"/>
      <c r="L124" s="1">
        <f t="shared" ref="L124:L129" si="70">+D124-H124</f>
        <v>-539.25</v>
      </c>
      <c r="M124" s="1"/>
      <c r="N124" s="5">
        <f t="shared" ref="N124:N129" si="71">IF(H124=0,0,L124/H124)</f>
        <v>-0.62703488372093019</v>
      </c>
      <c r="O124" s="13"/>
      <c r="P124" s="1">
        <f>SUM(OSRRefP22_18x_0)</f>
        <v>1855.08</v>
      </c>
      <c r="Q124" s="1"/>
      <c r="R124" s="5">
        <f t="shared" ref="R124:R129" si="72">IF(P$12=0,0,P124/P$12)</f>
        <v>3.3439816981949986E-3</v>
      </c>
      <c r="S124" s="1"/>
      <c r="T124" s="1">
        <f>SUM(OSRRefT22_18x_0)</f>
        <v>2720</v>
      </c>
      <c r="U124" s="1"/>
      <c r="V124" s="5">
        <f t="shared" ref="V124:V129" si="73">IF(T$12=0,0,T124/T$12)</f>
        <v>5.1221748252937667E-3</v>
      </c>
      <c r="W124" s="1"/>
      <c r="X124" s="1">
        <f t="shared" ref="X124:X129" si="74">+P124-T124</f>
        <v>-864.92000000000007</v>
      </c>
      <c r="Y124" s="1"/>
      <c r="Z124" s="5">
        <f t="shared" ref="Z124:Z129" si="75">IF(T124=0,0,X124/T124)</f>
        <v>-0.31798529411764709</v>
      </c>
    </row>
    <row r="125" spans="1:26" s="24" customFormat="1" hidden="1" outlineLevel="2" x14ac:dyDescent="0.25">
      <c r="A125" s="27"/>
      <c r="B125" s="11" t="str">
        <f>CONCATENATE("          ", "6234", " - ", "EXPENDABLE SUPPLIES &amp; EQUIPMEN")</f>
        <v xml:space="preserve">          6234 - EXPENDABLE SUPPLIES &amp; EQUIPMEN</v>
      </c>
      <c r="C125" s="11"/>
      <c r="D125" s="6"/>
      <c r="E125" s="2"/>
      <c r="F125" s="7">
        <f t="shared" si="68"/>
        <v>0</v>
      </c>
      <c r="G125" s="2"/>
      <c r="H125" s="6">
        <v>300</v>
      </c>
      <c r="I125" s="2"/>
      <c r="J125" s="7">
        <f t="shared" si="69"/>
        <v>9.9709506112179158E-4</v>
      </c>
      <c r="K125" s="2"/>
      <c r="L125" s="6">
        <f t="shared" si="70"/>
        <v>-300</v>
      </c>
      <c r="M125" s="2"/>
      <c r="N125" s="7">
        <f t="shared" si="71"/>
        <v>-1</v>
      </c>
      <c r="O125" s="11"/>
      <c r="P125" s="6">
        <v>-15.95</v>
      </c>
      <c r="Q125" s="2"/>
      <c r="R125" s="7">
        <f t="shared" si="72"/>
        <v>-2.8751594586869689E-5</v>
      </c>
      <c r="S125" s="2"/>
      <c r="T125" s="6">
        <v>1600</v>
      </c>
      <c r="U125" s="2"/>
      <c r="V125" s="7">
        <f t="shared" si="73"/>
        <v>3.0130440148786863E-3</v>
      </c>
      <c r="W125" s="2"/>
      <c r="X125" s="6">
        <f t="shared" si="74"/>
        <v>-1615.95</v>
      </c>
      <c r="Y125" s="2"/>
      <c r="Z125" s="7">
        <f t="shared" si="75"/>
        <v>-1.0099687500000001</v>
      </c>
    </row>
    <row r="126" spans="1:26" s="24" customFormat="1" hidden="1" outlineLevel="2" x14ac:dyDescent="0.25">
      <c r="A126" s="27"/>
      <c r="B126" s="11" t="str">
        <f>CONCATENATE("          ", "6237", " - ", "JANITORIAL SUPPLIES")</f>
        <v xml:space="preserve">          6237 - JANITORIAL SUPPLIES</v>
      </c>
      <c r="C126" s="11"/>
      <c r="D126" s="6"/>
      <c r="E126" s="2"/>
      <c r="F126" s="7">
        <f t="shared" si="68"/>
        <v>0</v>
      </c>
      <c r="G126" s="2"/>
      <c r="H126" s="6">
        <v>35</v>
      </c>
      <c r="I126" s="2"/>
      <c r="J126" s="7">
        <f t="shared" si="69"/>
        <v>1.1632775713087569E-4</v>
      </c>
      <c r="K126" s="2"/>
      <c r="L126" s="6">
        <f t="shared" si="70"/>
        <v>-35</v>
      </c>
      <c r="M126" s="2"/>
      <c r="N126" s="7">
        <f t="shared" si="71"/>
        <v>-1</v>
      </c>
      <c r="O126" s="11"/>
      <c r="P126" s="6"/>
      <c r="Q126" s="2"/>
      <c r="R126" s="7">
        <f t="shared" si="72"/>
        <v>0</v>
      </c>
      <c r="S126" s="2"/>
      <c r="T126" s="6">
        <v>70</v>
      </c>
      <c r="U126" s="2"/>
      <c r="V126" s="7">
        <f t="shared" si="73"/>
        <v>1.3182067565094252E-4</v>
      </c>
      <c r="W126" s="2"/>
      <c r="X126" s="6">
        <f t="shared" si="74"/>
        <v>-70</v>
      </c>
      <c r="Y126" s="2"/>
      <c r="Z126" s="7">
        <f t="shared" si="75"/>
        <v>-1</v>
      </c>
    </row>
    <row r="127" spans="1:26" s="24" customFormat="1" hidden="1" outlineLevel="2" x14ac:dyDescent="0.25">
      <c r="A127" s="27"/>
      <c r="B127" s="11" t="str">
        <f>CONCATENATE("          ", "6241", " - ", "OFFICE EXPENSE")</f>
        <v xml:space="preserve">          6241 - OFFICE EXPENSE</v>
      </c>
      <c r="C127" s="11"/>
      <c r="D127" s="6">
        <v>293.76</v>
      </c>
      <c r="E127" s="2"/>
      <c r="F127" s="7">
        <f t="shared" si="68"/>
        <v>9.1053212847764576E-4</v>
      </c>
      <c r="G127" s="2"/>
      <c r="H127" s="6">
        <v>300</v>
      </c>
      <c r="I127" s="2"/>
      <c r="J127" s="7">
        <f t="shared" si="69"/>
        <v>9.9709506112179158E-4</v>
      </c>
      <c r="K127" s="2"/>
      <c r="L127" s="6">
        <f t="shared" si="70"/>
        <v>-6.2400000000000091</v>
      </c>
      <c r="M127" s="2"/>
      <c r="N127" s="7">
        <f t="shared" si="71"/>
        <v>-2.080000000000003E-2</v>
      </c>
      <c r="O127" s="11"/>
      <c r="P127" s="6">
        <v>1844.04</v>
      </c>
      <c r="Q127" s="2"/>
      <c r="R127" s="7">
        <f t="shared" si="72"/>
        <v>3.3240809079605757E-3</v>
      </c>
      <c r="S127" s="2"/>
      <c r="T127" s="6">
        <v>600</v>
      </c>
      <c r="U127" s="2"/>
      <c r="V127" s="7">
        <f t="shared" si="73"/>
        <v>1.1298915055795074E-3</v>
      </c>
      <c r="W127" s="2"/>
      <c r="X127" s="6">
        <f t="shared" si="74"/>
        <v>1244.04</v>
      </c>
      <c r="Y127" s="2"/>
      <c r="Z127" s="7">
        <f t="shared" si="75"/>
        <v>2.0733999999999999</v>
      </c>
    </row>
    <row r="128" spans="1:26" s="24" customFormat="1" hidden="1" outlineLevel="2" x14ac:dyDescent="0.25">
      <c r="A128" s="27"/>
      <c r="B128" s="11" t="str">
        <f>CONCATENATE("          ", "6247", " - ", "STORE SUPPLIES")</f>
        <v xml:space="preserve">          6247 - STORE SUPPLIES</v>
      </c>
      <c r="C128" s="11"/>
      <c r="D128" s="6">
        <v>26.99</v>
      </c>
      <c r="E128" s="2"/>
      <c r="F128" s="7">
        <f t="shared" si="68"/>
        <v>8.3657618966542953E-5</v>
      </c>
      <c r="G128" s="2"/>
      <c r="H128" s="6">
        <v>225</v>
      </c>
      <c r="I128" s="2"/>
      <c r="J128" s="7">
        <f t="shared" si="69"/>
        <v>7.4782129584134369E-4</v>
      </c>
      <c r="K128" s="2"/>
      <c r="L128" s="6">
        <f t="shared" si="70"/>
        <v>-198.01</v>
      </c>
      <c r="M128" s="2"/>
      <c r="N128" s="7">
        <f t="shared" si="71"/>
        <v>-0.88004444444444441</v>
      </c>
      <c r="O128" s="11"/>
      <c r="P128" s="6">
        <v>26.99</v>
      </c>
      <c r="Q128" s="2"/>
      <c r="R128" s="7">
        <f t="shared" si="72"/>
        <v>4.8652384821292346E-5</v>
      </c>
      <c r="S128" s="2"/>
      <c r="T128" s="6">
        <v>450</v>
      </c>
      <c r="U128" s="2"/>
      <c r="V128" s="7">
        <f t="shared" si="73"/>
        <v>8.4741862918463057E-4</v>
      </c>
      <c r="W128" s="2"/>
      <c r="X128" s="6">
        <f t="shared" si="74"/>
        <v>-423.01</v>
      </c>
      <c r="Y128" s="2"/>
      <c r="Z128" s="7">
        <f t="shared" si="75"/>
        <v>-0.9400222222222222</v>
      </c>
    </row>
    <row r="129" spans="1:26" s="24" customFormat="1" hidden="1" outlineLevel="2" x14ac:dyDescent="0.25">
      <c r="A129" s="27"/>
      <c r="B129" s="11" t="str">
        <f>CONCATENATE("          ", "6248", " - ", "UNIFORMS")</f>
        <v xml:space="preserve">          6248 - UNIFORMS</v>
      </c>
      <c r="C129" s="11"/>
      <c r="D129" s="6"/>
      <c r="E129" s="2"/>
      <c r="F129" s="7">
        <f t="shared" si="68"/>
        <v>0</v>
      </c>
      <c r="G129" s="2"/>
      <c r="H129" s="6">
        <v>0</v>
      </c>
      <c r="I129" s="2"/>
      <c r="J129" s="7">
        <f t="shared" si="69"/>
        <v>0</v>
      </c>
      <c r="K129" s="2"/>
      <c r="L129" s="6">
        <f t="shared" si="70"/>
        <v>0</v>
      </c>
      <c r="M129" s="2"/>
      <c r="N129" s="7">
        <f t="shared" si="71"/>
        <v>0</v>
      </c>
      <c r="O129" s="11"/>
      <c r="P129" s="6"/>
      <c r="Q129" s="2"/>
      <c r="R129" s="7">
        <f t="shared" si="72"/>
        <v>0</v>
      </c>
      <c r="S129" s="2"/>
      <c r="T129" s="6">
        <v>0</v>
      </c>
      <c r="U129" s="2"/>
      <c r="V129" s="7">
        <f t="shared" si="73"/>
        <v>0</v>
      </c>
      <c r="W129" s="2"/>
      <c r="X129" s="6">
        <f t="shared" si="74"/>
        <v>0</v>
      </c>
      <c r="Y129" s="2"/>
      <c r="Z129" s="7">
        <f t="shared" si="75"/>
        <v>0</v>
      </c>
    </row>
    <row r="130" spans="1:26" s="26" customFormat="1" outlineLevel="1" collapsed="1" x14ac:dyDescent="0.25">
      <c r="A130" s="25"/>
      <c r="B130" s="13" t="str">
        <f>CONCATENATE("     ","Telephone/Data Lines                              ")</f>
        <v xml:space="preserve">     Telephone/Data Lines                              </v>
      </c>
      <c r="C130" s="13"/>
      <c r="D130" s="1">
        <f>SUM(OSRRefD22_19x_0)</f>
        <v>842.54</v>
      </c>
      <c r="E130" s="1"/>
      <c r="F130" s="5">
        <f t="shared" ref="F130:F132" si="76">IF(D$12=0,0,D130/D$12)</f>
        <v>2.6115187211586182E-3</v>
      </c>
      <c r="G130" s="1"/>
      <c r="H130" s="1">
        <f>SUM(OSRRefH22_19x_0)</f>
        <v>925</v>
      </c>
      <c r="I130" s="1"/>
      <c r="J130" s="5">
        <f t="shared" ref="J130:J132" si="77">IF(H$12=0,0,H130/H$12)</f>
        <v>3.0743764384588575E-3</v>
      </c>
      <c r="K130" s="1"/>
      <c r="L130" s="1">
        <f t="shared" ref="L130:L132" si="78">+D130-H130</f>
        <v>-82.460000000000036</v>
      </c>
      <c r="M130" s="1"/>
      <c r="N130" s="5">
        <f t="shared" ref="N130:N132" si="79">IF(H130=0,0,L130/H130)</f>
        <v>-8.9145945945945979E-2</v>
      </c>
      <c r="O130" s="13"/>
      <c r="P130" s="1">
        <f>SUM(OSRRefP22_19x_0)</f>
        <v>1360.45</v>
      </c>
      <c r="Q130" s="1"/>
      <c r="R130" s="5">
        <f t="shared" ref="R130:R132" si="80">IF(P$12=0,0,P130/P$12)</f>
        <v>2.4523577965960422E-3</v>
      </c>
      <c r="S130" s="1"/>
      <c r="T130" s="1">
        <f>SUM(OSRRefT22_19x_0)</f>
        <v>1750</v>
      </c>
      <c r="U130" s="1"/>
      <c r="V130" s="5">
        <f t="shared" ref="V130:V132" si="81">IF(T$12=0,0,T130/T$12)</f>
        <v>3.2955168912735633E-3</v>
      </c>
      <c r="W130" s="1"/>
      <c r="X130" s="1">
        <f t="shared" ref="X130:X132" si="82">+P130-T130</f>
        <v>-389.54999999999995</v>
      </c>
      <c r="Y130" s="1"/>
      <c r="Z130" s="5">
        <f t="shared" ref="Z130:Z132" si="83">IF(T130=0,0,X130/T130)</f>
        <v>-0.22259999999999996</v>
      </c>
    </row>
    <row r="131" spans="1:26" s="24" customFormat="1" hidden="1" outlineLevel="2" x14ac:dyDescent="0.25">
      <c r="A131" s="27"/>
      <c r="B131" s="11" t="str">
        <f>CONCATENATE("          ", "6303", " - ", "DATA PHONE LINES")</f>
        <v xml:space="preserve">          6303 - DATA PHONE LINES</v>
      </c>
      <c r="C131" s="11"/>
      <c r="D131" s="6"/>
      <c r="E131" s="2"/>
      <c r="F131" s="7">
        <f t="shared" si="76"/>
        <v>0</v>
      </c>
      <c r="G131" s="2"/>
      <c r="H131" s="6">
        <v>375</v>
      </c>
      <c r="I131" s="2"/>
      <c r="J131" s="7">
        <f t="shared" si="77"/>
        <v>1.2463688264022395E-3</v>
      </c>
      <c r="K131" s="2"/>
      <c r="L131" s="6">
        <f t="shared" si="78"/>
        <v>-375</v>
      </c>
      <c r="M131" s="2"/>
      <c r="N131" s="7">
        <f t="shared" si="79"/>
        <v>-1</v>
      </c>
      <c r="O131" s="11"/>
      <c r="P131" s="6"/>
      <c r="Q131" s="2"/>
      <c r="R131" s="7">
        <f t="shared" si="80"/>
        <v>0</v>
      </c>
      <c r="S131" s="2"/>
      <c r="T131" s="6">
        <v>725</v>
      </c>
      <c r="U131" s="2"/>
      <c r="V131" s="7">
        <f t="shared" si="81"/>
        <v>1.3652855692419049E-3</v>
      </c>
      <c r="W131" s="2"/>
      <c r="X131" s="6">
        <f t="shared" si="82"/>
        <v>-725</v>
      </c>
      <c r="Y131" s="2"/>
      <c r="Z131" s="7">
        <f t="shared" si="83"/>
        <v>-1</v>
      </c>
    </row>
    <row r="132" spans="1:26" s="24" customFormat="1" hidden="1" outlineLevel="2" x14ac:dyDescent="0.25">
      <c r="A132" s="27"/>
      <c r="B132" s="11" t="str">
        <f>CONCATENATE("          ", "6309", " - ", "TELEPHONE")</f>
        <v xml:space="preserve">          6309 - TELEPHONE</v>
      </c>
      <c r="C132" s="11"/>
      <c r="D132" s="6">
        <v>842.54</v>
      </c>
      <c r="E132" s="2"/>
      <c r="F132" s="7">
        <f t="shared" si="76"/>
        <v>2.6115187211586182E-3</v>
      </c>
      <c r="G132" s="2"/>
      <c r="H132" s="6">
        <v>550</v>
      </c>
      <c r="I132" s="2"/>
      <c r="J132" s="7">
        <f t="shared" si="77"/>
        <v>1.828007612056618E-3</v>
      </c>
      <c r="K132" s="2"/>
      <c r="L132" s="6">
        <f t="shared" si="78"/>
        <v>292.53999999999996</v>
      </c>
      <c r="M132" s="2"/>
      <c r="N132" s="7">
        <f t="shared" si="79"/>
        <v>0.53189090909090897</v>
      </c>
      <c r="O132" s="11"/>
      <c r="P132" s="6">
        <v>1360.45</v>
      </c>
      <c r="Q132" s="2"/>
      <c r="R132" s="7">
        <f t="shared" si="80"/>
        <v>2.4523577965960422E-3</v>
      </c>
      <c r="S132" s="2"/>
      <c r="T132" s="6">
        <v>1025</v>
      </c>
      <c r="U132" s="2"/>
      <c r="V132" s="7">
        <f t="shared" si="81"/>
        <v>1.9302313220316584E-3</v>
      </c>
      <c r="W132" s="2"/>
      <c r="X132" s="6">
        <f t="shared" si="82"/>
        <v>335.45000000000005</v>
      </c>
      <c r="Y132" s="2"/>
      <c r="Z132" s="7">
        <f t="shared" si="83"/>
        <v>0.3272682926829269</v>
      </c>
    </row>
    <row r="133" spans="1:26" s="26" customFormat="1" outlineLevel="1" collapsed="1" x14ac:dyDescent="0.25">
      <c r="A133" s="25"/>
      <c r="B133" s="13" t="str">
        <f>CONCATENATE("     ","Training                                          ")</f>
        <v xml:space="preserve">     Training                                          </v>
      </c>
      <c r="C133" s="13"/>
      <c r="D133" s="1">
        <f>SUM(OSRRefD22_20x_0)</f>
        <v>0</v>
      </c>
      <c r="E133" s="1"/>
      <c r="F133" s="5">
        <f t="shared" ref="F133:F138" si="84">IF(D$12=0,0,D133/D$12)</f>
        <v>0</v>
      </c>
      <c r="G133" s="1"/>
      <c r="H133" s="1">
        <f>SUM(OSRRefH22_20x_0)</f>
        <v>600</v>
      </c>
      <c r="I133" s="1"/>
      <c r="J133" s="5">
        <f t="shared" ref="J133:J138" si="85">IF(H$12=0,0,H133/H$12)</f>
        <v>1.9941901222435832E-3</v>
      </c>
      <c r="K133" s="1"/>
      <c r="L133" s="1">
        <f t="shared" ref="L133:L138" si="86">+D133-H133</f>
        <v>-600</v>
      </c>
      <c r="M133" s="1"/>
      <c r="N133" s="5">
        <f t="shared" ref="N133:N138" si="87">IF(H133=0,0,L133/H133)</f>
        <v>-1</v>
      </c>
      <c r="O133" s="13"/>
      <c r="P133" s="1">
        <f>SUM(OSRRefP22_20x_0)</f>
        <v>103.5</v>
      </c>
      <c r="Q133" s="1"/>
      <c r="R133" s="5">
        <f t="shared" ref="R133:R138" si="88">IF(P$12=0,0,P133/P$12)</f>
        <v>1.8656990844771241E-4</v>
      </c>
      <c r="S133" s="1"/>
      <c r="T133" s="1">
        <f>SUM(OSRRefT22_20x_0)</f>
        <v>700</v>
      </c>
      <c r="U133" s="1"/>
      <c r="V133" s="5">
        <f t="shared" ref="V133:V138" si="89">IF(T$12=0,0,T133/T$12)</f>
        <v>1.3182067565094254E-3</v>
      </c>
      <c r="W133" s="1"/>
      <c r="X133" s="1">
        <f t="shared" ref="X133:X138" si="90">+P133-T133</f>
        <v>-596.5</v>
      </c>
      <c r="Y133" s="1"/>
      <c r="Z133" s="5">
        <f t="shared" ref="Z133:Z138" si="91">IF(T133=0,0,X133/T133)</f>
        <v>-0.85214285714285709</v>
      </c>
    </row>
    <row r="134" spans="1:26" s="24" customFormat="1" hidden="1" outlineLevel="2" x14ac:dyDescent="0.25">
      <c r="A134" s="27"/>
      <c r="B134" s="11" t="str">
        <f>CONCATENATE("          ", "6376", " - ", "TRAINING")</f>
        <v xml:space="preserve">          6376 - TRAINING</v>
      </c>
      <c r="C134" s="11"/>
      <c r="D134" s="6"/>
      <c r="E134" s="2"/>
      <c r="F134" s="7">
        <f t="shared" si="84"/>
        <v>0</v>
      </c>
      <c r="G134" s="2"/>
      <c r="H134" s="6">
        <v>600</v>
      </c>
      <c r="I134" s="2"/>
      <c r="J134" s="7">
        <f t="shared" si="85"/>
        <v>1.9941901222435832E-3</v>
      </c>
      <c r="K134" s="2"/>
      <c r="L134" s="6">
        <f t="shared" si="86"/>
        <v>-600</v>
      </c>
      <c r="M134" s="2"/>
      <c r="N134" s="7">
        <f t="shared" si="87"/>
        <v>-1</v>
      </c>
      <c r="O134" s="11"/>
      <c r="P134" s="6">
        <v>103.5</v>
      </c>
      <c r="Q134" s="2"/>
      <c r="R134" s="7">
        <f t="shared" si="88"/>
        <v>1.8656990844771241E-4</v>
      </c>
      <c r="S134" s="2"/>
      <c r="T134" s="6">
        <v>700</v>
      </c>
      <c r="U134" s="2"/>
      <c r="V134" s="7">
        <f t="shared" si="89"/>
        <v>1.3182067565094254E-3</v>
      </c>
      <c r="W134" s="2"/>
      <c r="X134" s="6">
        <f t="shared" si="90"/>
        <v>-596.5</v>
      </c>
      <c r="Y134" s="2"/>
      <c r="Z134" s="7">
        <f t="shared" si="91"/>
        <v>-0.85214285714285709</v>
      </c>
    </row>
    <row r="135" spans="1:26" s="26" customFormat="1" outlineLevel="1" collapsed="1" x14ac:dyDescent="0.25">
      <c r="A135" s="25"/>
      <c r="B135" s="13" t="str">
        <f>CONCATENATE("     ","Travel                                            ")</f>
        <v xml:space="preserve">     Travel                                            </v>
      </c>
      <c r="C135" s="13"/>
      <c r="D135" s="1">
        <f>SUM(OSRRefD22_21x_0)</f>
        <v>68.67</v>
      </c>
      <c r="E135" s="1"/>
      <c r="F135" s="5">
        <f t="shared" si="84"/>
        <v>2.1284804351361634E-4</v>
      </c>
      <c r="G135" s="1"/>
      <c r="H135" s="1">
        <f>SUM(OSRRefH22_21x_0)</f>
        <v>150</v>
      </c>
      <c r="I135" s="1"/>
      <c r="J135" s="5">
        <f t="shared" si="85"/>
        <v>4.9854753056089579E-4</v>
      </c>
      <c r="K135" s="1"/>
      <c r="L135" s="1">
        <f t="shared" si="86"/>
        <v>-81.33</v>
      </c>
      <c r="M135" s="1"/>
      <c r="N135" s="5">
        <f t="shared" si="87"/>
        <v>-0.54220000000000002</v>
      </c>
      <c r="O135" s="13"/>
      <c r="P135" s="1">
        <f>SUM(OSRRefP22_21x_0)</f>
        <v>68.67</v>
      </c>
      <c r="Q135" s="1"/>
      <c r="R135" s="5">
        <f t="shared" si="88"/>
        <v>1.2378507838748225E-4</v>
      </c>
      <c r="S135" s="1"/>
      <c r="T135" s="1">
        <f>SUM(OSRRefT22_21x_0)</f>
        <v>260</v>
      </c>
      <c r="U135" s="1"/>
      <c r="V135" s="5">
        <f t="shared" si="89"/>
        <v>4.8961965241778652E-4</v>
      </c>
      <c r="W135" s="1"/>
      <c r="X135" s="1">
        <f t="shared" si="90"/>
        <v>-191.32999999999998</v>
      </c>
      <c r="Y135" s="1"/>
      <c r="Z135" s="5">
        <f t="shared" si="91"/>
        <v>-0.73588461538461536</v>
      </c>
    </row>
    <row r="136" spans="1:26" s="24" customFormat="1" hidden="1" outlineLevel="2" x14ac:dyDescent="0.25">
      <c r="A136" s="27"/>
      <c r="B136" s="11" t="str">
        <f>CONCATENATE("          ", "6294", " - ", "TRAVEL OPERATIONAL")</f>
        <v xml:space="preserve">          6294 - TRAVEL OPERATIONAL</v>
      </c>
      <c r="C136" s="11"/>
      <c r="D136" s="6">
        <v>68.67</v>
      </c>
      <c r="E136" s="2"/>
      <c r="F136" s="7">
        <f t="shared" si="84"/>
        <v>2.1284804351361634E-4</v>
      </c>
      <c r="G136" s="2"/>
      <c r="H136" s="6">
        <v>150</v>
      </c>
      <c r="I136" s="2"/>
      <c r="J136" s="7">
        <f t="shared" si="85"/>
        <v>4.9854753056089579E-4</v>
      </c>
      <c r="K136" s="2"/>
      <c r="L136" s="6">
        <f t="shared" si="86"/>
        <v>-81.33</v>
      </c>
      <c r="M136" s="2"/>
      <c r="N136" s="7">
        <f t="shared" si="87"/>
        <v>-0.54220000000000002</v>
      </c>
      <c r="O136" s="11"/>
      <c r="P136" s="6">
        <v>68.67</v>
      </c>
      <c r="Q136" s="2"/>
      <c r="R136" s="7">
        <f t="shared" si="88"/>
        <v>1.2378507838748225E-4</v>
      </c>
      <c r="S136" s="2"/>
      <c r="T136" s="6">
        <v>260</v>
      </c>
      <c r="U136" s="2"/>
      <c r="V136" s="7">
        <f t="shared" si="89"/>
        <v>4.8961965241778652E-4</v>
      </c>
      <c r="W136" s="2"/>
      <c r="X136" s="6">
        <f t="shared" si="90"/>
        <v>-191.32999999999998</v>
      </c>
      <c r="Y136" s="2"/>
      <c r="Z136" s="7">
        <f t="shared" si="91"/>
        <v>-0.73588461538461536</v>
      </c>
    </row>
    <row r="137" spans="1:26" s="26" customFormat="1" outlineLevel="1" collapsed="1" x14ac:dyDescent="0.25">
      <c r="A137" s="25"/>
      <c r="B137" s="13" t="str">
        <f>CONCATENATE("     ","Utilities                                         ")</f>
        <v xml:space="preserve">     Utilities                                         </v>
      </c>
      <c r="C137" s="13"/>
      <c r="D137" s="1">
        <f>SUM(OSRRefD22_22x_0)</f>
        <v>53.78</v>
      </c>
      <c r="E137" s="1"/>
      <c r="F137" s="5">
        <f t="shared" si="84"/>
        <v>1.6669532226827271E-4</v>
      </c>
      <c r="G137" s="1"/>
      <c r="H137" s="1">
        <f>SUM(OSRRefH22_22x_0)</f>
        <v>75</v>
      </c>
      <c r="I137" s="1"/>
      <c r="J137" s="5">
        <f t="shared" si="85"/>
        <v>2.492737652804479E-4</v>
      </c>
      <c r="K137" s="1"/>
      <c r="L137" s="1">
        <f t="shared" si="86"/>
        <v>-21.22</v>
      </c>
      <c r="M137" s="1"/>
      <c r="N137" s="5">
        <f t="shared" si="87"/>
        <v>-0.28293333333333331</v>
      </c>
      <c r="O137" s="13"/>
      <c r="P137" s="1">
        <f>SUM(OSRRefP22_22x_0)</f>
        <v>96.78</v>
      </c>
      <c r="Q137" s="1"/>
      <c r="R137" s="5">
        <f t="shared" si="88"/>
        <v>1.7445638395719427E-4</v>
      </c>
      <c r="S137" s="1"/>
      <c r="T137" s="1">
        <f>SUM(OSRRefT22_22x_0)</f>
        <v>175</v>
      </c>
      <c r="U137" s="1"/>
      <c r="V137" s="5">
        <f t="shared" si="89"/>
        <v>3.2955168912735634E-4</v>
      </c>
      <c r="W137" s="1"/>
      <c r="X137" s="1">
        <f t="shared" si="90"/>
        <v>-78.22</v>
      </c>
      <c r="Y137" s="1"/>
      <c r="Z137" s="5">
        <f t="shared" si="91"/>
        <v>-0.44697142857142858</v>
      </c>
    </row>
    <row r="138" spans="1:26" s="24" customFormat="1" hidden="1" outlineLevel="2" x14ac:dyDescent="0.25">
      <c r="A138" s="27"/>
      <c r="B138" s="11" t="str">
        <f>CONCATENATE("          ", "6274", " - ", "UTILITIES")</f>
        <v xml:space="preserve">          6274 - UTILITIES</v>
      </c>
      <c r="C138" s="11"/>
      <c r="D138" s="6">
        <v>53.78</v>
      </c>
      <c r="E138" s="2"/>
      <c r="F138" s="7">
        <f t="shared" si="84"/>
        <v>1.6669532226827271E-4</v>
      </c>
      <c r="G138" s="2"/>
      <c r="H138" s="6">
        <v>75</v>
      </c>
      <c r="I138" s="2"/>
      <c r="J138" s="7">
        <f t="shared" si="85"/>
        <v>2.492737652804479E-4</v>
      </c>
      <c r="K138" s="2"/>
      <c r="L138" s="6">
        <f t="shared" si="86"/>
        <v>-21.22</v>
      </c>
      <c r="M138" s="2"/>
      <c r="N138" s="7">
        <f t="shared" si="87"/>
        <v>-0.28293333333333331</v>
      </c>
      <c r="O138" s="11"/>
      <c r="P138" s="6">
        <v>96.78</v>
      </c>
      <c r="Q138" s="2"/>
      <c r="R138" s="7">
        <f t="shared" si="88"/>
        <v>1.7445638395719427E-4</v>
      </c>
      <c r="S138" s="2"/>
      <c r="T138" s="6">
        <v>175</v>
      </c>
      <c r="U138" s="2"/>
      <c r="V138" s="7">
        <f t="shared" si="89"/>
        <v>3.2955168912735634E-4</v>
      </c>
      <c r="W138" s="2"/>
      <c r="X138" s="6">
        <f t="shared" si="90"/>
        <v>-78.22</v>
      </c>
      <c r="Y138" s="2"/>
      <c r="Z138" s="7">
        <f t="shared" si="91"/>
        <v>-0.44697142857142858</v>
      </c>
    </row>
    <row r="139" spans="1:26" s="63" customFormat="1" x14ac:dyDescent="0.25">
      <c r="A139" s="36"/>
      <c r="B139" s="36"/>
      <c r="C139" s="36"/>
      <c r="D139" s="1"/>
      <c r="E139" s="1"/>
      <c r="F139" s="5"/>
      <c r="G139" s="1"/>
      <c r="H139" s="1"/>
      <c r="I139" s="1"/>
      <c r="J139" s="5"/>
      <c r="K139" s="1"/>
      <c r="L139" s="1"/>
      <c r="M139" s="1"/>
      <c r="N139" s="5"/>
      <c r="O139" s="36"/>
      <c r="P139" s="1"/>
      <c r="Q139" s="1"/>
      <c r="R139" s="5"/>
      <c r="S139" s="1"/>
      <c r="T139" s="1"/>
      <c r="U139" s="1"/>
      <c r="V139" s="5"/>
      <c r="W139" s="1"/>
      <c r="X139" s="1"/>
      <c r="Y139" s="1"/>
      <c r="Z139" s="5"/>
    </row>
    <row r="140" spans="1:26" s="23" customFormat="1" collapsed="1" x14ac:dyDescent="0.25">
      <c r="A140" s="10"/>
      <c r="B140" s="28" t="s">
        <v>0</v>
      </c>
      <c r="C140" s="10"/>
      <c r="D140" s="4">
        <f>SUM(OSRRefD25x_0)</f>
        <v>5022.16</v>
      </c>
      <c r="E140" s="4"/>
      <c r="F140" s="12">
        <f t="shared" ref="F140:F143" si="92">IF(D$12=0,0,D140/D$12)</f>
        <v>1.5566578275991604E-2</v>
      </c>
      <c r="G140" s="4"/>
      <c r="H140" s="4">
        <f>SUM(OSRRefH25x_0)</f>
        <v>8625</v>
      </c>
      <c r="I140" s="4"/>
      <c r="J140" s="12">
        <f t="shared" ref="J140:J143" si="93">IF(H$12=0,0,H140/H$12)</f>
        <v>2.8666483007251508E-2</v>
      </c>
      <c r="K140" s="4"/>
      <c r="L140" s="4">
        <f t="shared" ref="L140:L143" si="94">+D140-H140</f>
        <v>-3602.84</v>
      </c>
      <c r="M140" s="4"/>
      <c r="N140" s="12">
        <f t="shared" ref="N140:N143" si="95">IF(H140=0,0,L140/H140)</f>
        <v>-0.41772057971014492</v>
      </c>
      <c r="O140" s="10"/>
      <c r="P140" s="4">
        <f>SUM(OSRRefP25x_0)</f>
        <v>14396.98</v>
      </c>
      <c r="Q140" s="4"/>
      <c r="R140" s="12">
        <f t="shared" ref="R140:R143" si="96">IF(P$12=0,0,P140/P$12)</f>
        <v>2.5952108604092236E-2</v>
      </c>
      <c r="S140" s="4"/>
      <c r="T140" s="4">
        <f>SUM(OSRRefT25x_0)</f>
        <v>17250</v>
      </c>
      <c r="U140" s="4"/>
      <c r="V140" s="12">
        <f t="shared" ref="V140:V143" si="97">IF(T$12=0,0,T140/T$12)</f>
        <v>3.2484380785410841E-2</v>
      </c>
      <c r="W140" s="4"/>
      <c r="X140" s="4">
        <f t="shared" ref="X140:X143" si="98">+P140-T140</f>
        <v>-2853.0200000000004</v>
      </c>
      <c r="Y140" s="4"/>
      <c r="Z140" s="12">
        <f t="shared" ref="Z140:Z143" si="99">IF(T140=0,0,X140/T140)</f>
        <v>-0.16539246376811598</v>
      </c>
    </row>
    <row r="141" spans="1:26" s="24" customFormat="1" hidden="1" outlineLevel="1" x14ac:dyDescent="0.25">
      <c r="A141" s="46"/>
      <c r="B141" s="11" t="str">
        <f>CONCATENATE("          ", "9150", " - ", "MISC. INCOME")</f>
        <v xml:space="preserve">          9150 - MISC. INCOME</v>
      </c>
      <c r="C141" s="11"/>
      <c r="D141" s="2">
        <f>--5022.16</f>
        <v>5022.16</v>
      </c>
      <c r="E141" s="2"/>
      <c r="F141" s="21">
        <f t="shared" si="92"/>
        <v>1.5566578275991604E-2</v>
      </c>
      <c r="G141" s="2"/>
      <c r="H141" s="2">
        <v>7725</v>
      </c>
      <c r="I141" s="2"/>
      <c r="J141" s="21">
        <f t="shared" si="93"/>
        <v>2.5675197823886133E-2</v>
      </c>
      <c r="K141" s="2"/>
      <c r="L141" s="2">
        <f t="shared" si="94"/>
        <v>-2702.84</v>
      </c>
      <c r="M141" s="2"/>
      <c r="N141" s="21">
        <f t="shared" si="95"/>
        <v>-0.34988220064724923</v>
      </c>
      <c r="O141" s="11"/>
      <c r="P141" s="2">
        <f>--14396.98</f>
        <v>14396.98</v>
      </c>
      <c r="Q141" s="2"/>
      <c r="R141" s="21">
        <f t="shared" si="96"/>
        <v>2.5952108604092236E-2</v>
      </c>
      <c r="S141" s="2"/>
      <c r="T141" s="2">
        <v>15450</v>
      </c>
      <c r="U141" s="2"/>
      <c r="V141" s="21">
        <f t="shared" si="97"/>
        <v>2.9094706268672315E-2</v>
      </c>
      <c r="W141" s="2"/>
      <c r="X141" s="2">
        <f t="shared" si="98"/>
        <v>-1053.0200000000004</v>
      </c>
      <c r="Y141" s="2"/>
      <c r="Z141" s="21">
        <f t="shared" si="99"/>
        <v>-6.8156634304207153E-2</v>
      </c>
    </row>
    <row r="142" spans="1:26" s="24" customFormat="1" hidden="1" outlineLevel="1" x14ac:dyDescent="0.25">
      <c r="A142" s="46"/>
      <c r="B142" s="11" t="str">
        <f>CONCATENATE("          ", "9151", " - ", "MISC. INCOME")</f>
        <v xml:space="preserve">          9151 - MISC. INCOME</v>
      </c>
      <c r="C142" s="11"/>
      <c r="D142" s="2">
        <f t="shared" ref="D142:D143" si="100">0</f>
        <v>0</v>
      </c>
      <c r="E142" s="2"/>
      <c r="F142" s="21">
        <f t="shared" si="92"/>
        <v>0</v>
      </c>
      <c r="G142" s="2"/>
      <c r="H142" s="2">
        <v>100</v>
      </c>
      <c r="I142" s="2"/>
      <c r="J142" s="21">
        <f t="shared" si="93"/>
        <v>3.3236502037393056E-4</v>
      </c>
      <c r="K142" s="2"/>
      <c r="L142" s="2">
        <f t="shared" si="94"/>
        <v>-100</v>
      </c>
      <c r="M142" s="2"/>
      <c r="N142" s="21">
        <f t="shared" si="95"/>
        <v>-1</v>
      </c>
      <c r="O142" s="11"/>
      <c r="P142" s="2">
        <f t="shared" ref="P142:P143" si="101">0</f>
        <v>0</v>
      </c>
      <c r="Q142" s="2"/>
      <c r="R142" s="21">
        <f t="shared" si="96"/>
        <v>0</v>
      </c>
      <c r="S142" s="2"/>
      <c r="T142" s="2">
        <v>200</v>
      </c>
      <c r="U142" s="2"/>
      <c r="V142" s="21">
        <f t="shared" si="97"/>
        <v>3.7663050185983578E-4</v>
      </c>
      <c r="W142" s="2"/>
      <c r="X142" s="2">
        <f t="shared" si="98"/>
        <v>-200</v>
      </c>
      <c r="Y142" s="2"/>
      <c r="Z142" s="21">
        <f t="shared" si="99"/>
        <v>-1</v>
      </c>
    </row>
    <row r="143" spans="1:26" s="24" customFormat="1" hidden="1" outlineLevel="1" x14ac:dyDescent="0.25">
      <c r="A143" s="46"/>
      <c r="B143" s="11" t="str">
        <f>CONCATENATE("          ", "9160", " - ", "MISC. INCOME")</f>
        <v xml:space="preserve">          9160 - MISC. INCOME</v>
      </c>
      <c r="C143" s="11"/>
      <c r="D143" s="2">
        <f t="shared" si="100"/>
        <v>0</v>
      </c>
      <c r="E143" s="2"/>
      <c r="F143" s="21">
        <f t="shared" si="92"/>
        <v>0</v>
      </c>
      <c r="G143" s="2"/>
      <c r="H143" s="2">
        <v>800</v>
      </c>
      <c r="I143" s="2"/>
      <c r="J143" s="21">
        <f t="shared" si="93"/>
        <v>2.6589201629914445E-3</v>
      </c>
      <c r="K143" s="2"/>
      <c r="L143" s="2">
        <f t="shared" si="94"/>
        <v>-800</v>
      </c>
      <c r="M143" s="2"/>
      <c r="N143" s="21">
        <f t="shared" si="95"/>
        <v>-1</v>
      </c>
      <c r="O143" s="11"/>
      <c r="P143" s="2">
        <f t="shared" si="101"/>
        <v>0</v>
      </c>
      <c r="Q143" s="2"/>
      <c r="R143" s="21">
        <f t="shared" si="96"/>
        <v>0</v>
      </c>
      <c r="S143" s="2"/>
      <c r="T143" s="2">
        <v>1600</v>
      </c>
      <c r="U143" s="2"/>
      <c r="V143" s="21">
        <f t="shared" si="97"/>
        <v>3.0130440148786863E-3</v>
      </c>
      <c r="W143" s="2"/>
      <c r="X143" s="2">
        <f t="shared" si="98"/>
        <v>-1600</v>
      </c>
      <c r="Y143" s="2"/>
      <c r="Z143" s="21">
        <f t="shared" si="99"/>
        <v>-1</v>
      </c>
    </row>
    <row r="144" spans="1:26" x14ac:dyDescent="0.25">
      <c r="A144" s="9"/>
      <c r="B144" s="10"/>
      <c r="C144" s="10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O144" s="10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s="23" customFormat="1" x14ac:dyDescent="0.25">
      <c r="A145" s="10"/>
      <c r="B145" s="29" t="s">
        <v>3</v>
      </c>
      <c r="C145" s="29"/>
      <c r="D145" s="22">
        <f>+D61-D63+D140</f>
        <v>94739.159999999974</v>
      </c>
      <c r="E145" s="14"/>
      <c r="F145" s="20">
        <f>IF(D$12=0,0,D145/D$12)</f>
        <v>0.29365144677622623</v>
      </c>
      <c r="G145" s="14"/>
      <c r="H145" s="22">
        <f>+H61-H63+H140</f>
        <v>90189.094315424998</v>
      </c>
      <c r="I145" s="14"/>
      <c r="J145" s="20">
        <f>IF(H$12=0,0,H145/H$12)</f>
        <v>0.29975700169652575</v>
      </c>
      <c r="K145" s="15"/>
      <c r="L145" s="22">
        <f>+D145-H145</f>
        <v>4550.0656845749763</v>
      </c>
      <c r="M145" s="15"/>
      <c r="N145" s="20">
        <f>IF(H145=0,0,L145/H145)</f>
        <v>5.0450286912314415E-2</v>
      </c>
      <c r="O145" s="28"/>
      <c r="P145" s="22">
        <f>+P61-P63+P140</f>
        <v>144693.65999999989</v>
      </c>
      <c r="Q145" s="14"/>
      <c r="R145" s="20">
        <f>IF(P$12=0,0,P145/P$12)</f>
        <v>0.26082592173105706</v>
      </c>
      <c r="S145" s="14"/>
      <c r="T145" s="22">
        <f>+T61-T63+T140</f>
        <v>136810.51323845627</v>
      </c>
      <c r="U145" s="14"/>
      <c r="V145" s="20">
        <f>IF(T$12=0,0,T145/T$12)</f>
        <v>0.2576350613035075</v>
      </c>
      <c r="W145" s="15"/>
      <c r="X145" s="22">
        <f>+P145-T145</f>
        <v>7883.1467615436122</v>
      </c>
      <c r="Y145" s="15"/>
      <c r="Z145" s="20">
        <f>IF(T145=0,0,X145/T145)</f>
        <v>5.7620913590197151E-2</v>
      </c>
    </row>
    <row r="146" spans="1:26" x14ac:dyDescent="0.25">
      <c r="A146" s="9"/>
      <c r="B146" s="10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x14ac:dyDescent="0.25">
      <c r="A147" s="52"/>
      <c r="B147" s="10" t="s">
        <v>14</v>
      </c>
      <c r="C147" s="10"/>
      <c r="D147" s="4">
        <v>20901.329999999998</v>
      </c>
      <c r="E147" s="4"/>
      <c r="F147" s="12">
        <f>IF(D$12=0,0,D147/D$12)</f>
        <v>6.4785309412151659E-2</v>
      </c>
      <c r="G147" s="4"/>
      <c r="H147" s="4">
        <v>30151</v>
      </c>
      <c r="I147" s="4"/>
      <c r="J147" s="12">
        <f>IF(H$12=0,0,H147/H$12)</f>
        <v>0.1002113772929438</v>
      </c>
      <c r="K147" s="4"/>
      <c r="L147" s="4">
        <f>+D147-H147</f>
        <v>-9249.6700000000019</v>
      </c>
      <c r="M147" s="4"/>
      <c r="N147" s="12">
        <f>IF(H147=0,0,L147/H147)</f>
        <v>-0.30677821631123353</v>
      </c>
      <c r="O147" s="10"/>
      <c r="P147" s="4">
        <v>69167.44</v>
      </c>
      <c r="Q147" s="4"/>
      <c r="R147" s="12">
        <f>IF(P$12=0,0,P147/P$12)</f>
        <v>0.12468176761703036</v>
      </c>
      <c r="S147" s="4"/>
      <c r="T147" s="4">
        <v>86240</v>
      </c>
      <c r="U147" s="4"/>
      <c r="V147" s="12">
        <f>IF(T$12=0,0,T147/T$12)</f>
        <v>0.1624030724019612</v>
      </c>
      <c r="W147" s="4"/>
      <c r="X147" s="4">
        <f>+P147-T147</f>
        <v>-17072.559999999998</v>
      </c>
      <c r="Y147" s="4"/>
      <c r="Z147" s="12">
        <f>IF(T147=0,0,X147/T147)</f>
        <v>-0.19796567717996286</v>
      </c>
    </row>
    <row r="148" spans="1:26" x14ac:dyDescent="0.25">
      <c r="A148" s="9"/>
      <c r="B148" s="10"/>
      <c r="C148" s="10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O148" s="10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.75" thickBot="1" x14ac:dyDescent="0.3">
      <c r="A149" s="10"/>
      <c r="B149" s="29" t="s">
        <v>4</v>
      </c>
      <c r="C149" s="29"/>
      <c r="D149" s="31">
        <f>+D145-D147</f>
        <v>73837.829999999973</v>
      </c>
      <c r="E149" s="14"/>
      <c r="F149" s="32">
        <f>IF(D$12=0,0,D149/D$12)</f>
        <v>0.22886613736407455</v>
      </c>
      <c r="G149" s="14"/>
      <c r="H149" s="31">
        <f>+H145-H147</f>
        <v>60038.094315424998</v>
      </c>
      <c r="I149" s="14"/>
      <c r="J149" s="32">
        <f>IF(H$12=0,0,H149/H$12)</f>
        <v>0.19954562440358192</v>
      </c>
      <c r="K149" s="15"/>
      <c r="L149" s="31">
        <f>D149-H149</f>
        <v>13799.735684574975</v>
      </c>
      <c r="M149" s="15"/>
      <c r="N149" s="32">
        <f>IF(H149=0,0,L149/H149)</f>
        <v>0.22984966198418366</v>
      </c>
      <c r="O149" s="28"/>
      <c r="P149" s="31">
        <f>+P145-P147</f>
        <v>75526.219999999885</v>
      </c>
      <c r="Q149" s="14"/>
      <c r="R149" s="32">
        <f>IF(P$12=0,0,P149/P$12)</f>
        <v>0.13614415411402672</v>
      </c>
      <c r="S149" s="14"/>
      <c r="T149" s="31">
        <f>+T145-T147</f>
        <v>50570.513238456275</v>
      </c>
      <c r="U149" s="14"/>
      <c r="V149" s="32">
        <f>IF(T$12=0,0,T149/T$12)</f>
        <v>9.5231988901546286E-2</v>
      </c>
      <c r="W149" s="15"/>
      <c r="X149" s="31">
        <f>P149-T149</f>
        <v>24955.70676154361</v>
      </c>
      <c r="Y149" s="15"/>
      <c r="Z149" s="32">
        <f>IF(T149=0,0,X149/T149)</f>
        <v>0.49348335944049859</v>
      </c>
    </row>
    <row r="150" spans="1:26" ht="15.75" thickTop="1" x14ac:dyDescent="0.25">
      <c r="A150" s="9"/>
      <c r="B150" s="9"/>
      <c r="C150" s="9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x14ac:dyDescent="0.25">
      <c r="A151" s="9"/>
      <c r="B151" s="9"/>
      <c r="C151" s="9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ht="15.75" thickBot="1" x14ac:dyDescent="0.3">
      <c r="A152" s="10"/>
      <c r="B152" s="29" t="s">
        <v>5</v>
      </c>
      <c r="C152" s="29"/>
      <c r="D152" s="33">
        <f>SUM(D149:D151)</f>
        <v>73837.829999999973</v>
      </c>
      <c r="E152" s="14"/>
      <c r="F152" s="35">
        <f>IF(D$12=0,0,D152/D$12)</f>
        <v>0.22886613736407455</v>
      </c>
      <c r="G152" s="14"/>
      <c r="H152" s="33">
        <f>SUM(H149:H151)</f>
        <v>60038.094315424998</v>
      </c>
      <c r="I152" s="14"/>
      <c r="J152" s="35">
        <f>IF(H$12=0,0,H152/H$12)</f>
        <v>0.19954562440358192</v>
      </c>
      <c r="K152" s="15"/>
      <c r="L152" s="33">
        <f>+D152-H152</f>
        <v>13799.735684574975</v>
      </c>
      <c r="M152" s="15"/>
      <c r="N152" s="35">
        <f>IF(H152=0,0,L152/H152)</f>
        <v>0.22984966198418366</v>
      </c>
      <c r="O152" s="28"/>
      <c r="P152" s="33">
        <f>SUM(P149:P151)</f>
        <v>75526.219999999885</v>
      </c>
      <c r="Q152" s="14"/>
      <c r="R152" s="35">
        <f>IF(P$12=0,0,P152/P$12)</f>
        <v>0.13614415411402672</v>
      </c>
      <c r="S152" s="14"/>
      <c r="T152" s="33">
        <f>SUM(T149:T151)</f>
        <v>50570.513238456275</v>
      </c>
      <c r="U152" s="14"/>
      <c r="V152" s="35">
        <f>IF(T$12=0,0,T152/T$12)</f>
        <v>9.5231988901546286E-2</v>
      </c>
      <c r="W152" s="15"/>
      <c r="X152" s="33">
        <f>+P152-T152</f>
        <v>24955.70676154361</v>
      </c>
      <c r="Y152" s="15"/>
      <c r="Z152" s="35">
        <f>IF(T152=0,0,X152/T152)</f>
        <v>0.49348335944049859</v>
      </c>
    </row>
    <row r="153" spans="1:26" ht="15.75" thickTop="1" x14ac:dyDescent="0.25">
      <c r="A153" s="9"/>
      <c r="C153" s="9"/>
      <c r="D153" s="17"/>
      <c r="E153" s="17"/>
      <c r="G153" s="17"/>
      <c r="H153" s="17"/>
      <c r="I153" s="17"/>
      <c r="J153" s="42"/>
      <c r="K153" s="17"/>
      <c r="L153" s="17"/>
      <c r="M153" s="17"/>
      <c r="P153" s="17"/>
      <c r="Q153" s="17"/>
      <c r="R153" s="42"/>
      <c r="S153" s="17"/>
      <c r="T153" s="17"/>
      <c r="U153" s="17"/>
      <c r="V153" s="42"/>
      <c r="W153" s="17"/>
      <c r="X153" s="17"/>
    </row>
    <row r="154" spans="1:26" x14ac:dyDescent="0.25">
      <c r="A154" s="9"/>
      <c r="B154" s="61">
        <v>43732.705524849538</v>
      </c>
      <c r="D154" s="17"/>
      <c r="E154" s="17"/>
      <c r="G154" s="17"/>
      <c r="H154" s="17"/>
      <c r="I154" s="17"/>
      <c r="J154" s="42"/>
      <c r="K154" s="17"/>
      <c r="L154" s="17"/>
      <c r="M154" s="17"/>
      <c r="P154" s="17"/>
      <c r="Q154" s="17"/>
      <c r="R154" s="42"/>
      <c r="S154" s="17"/>
      <c r="T154" s="17"/>
      <c r="U154" s="17"/>
      <c r="V154" s="42"/>
      <c r="W154" s="17"/>
      <c r="X154" s="17"/>
    </row>
    <row r="155" spans="1:26" x14ac:dyDescent="0.25">
      <c r="A155" s="9"/>
      <c r="B155" s="62" t="s">
        <v>314</v>
      </c>
      <c r="D155" s="17"/>
      <c r="E155" s="17"/>
      <c r="G155" s="17"/>
      <c r="H155" s="17"/>
      <c r="I155" s="17"/>
      <c r="J155" s="42"/>
      <c r="K155" s="17"/>
      <c r="L155" s="17"/>
      <c r="M155" s="17"/>
      <c r="P155" s="17"/>
      <c r="Q155" s="17"/>
      <c r="R155" s="42"/>
      <c r="S155" s="17"/>
      <c r="T155" s="17"/>
      <c r="U155" s="17"/>
      <c r="V155" s="42"/>
      <c r="W155" s="17"/>
      <c r="X155" s="17"/>
    </row>
    <row r="156" spans="1:26" x14ac:dyDescent="0.25">
      <c r="A156" s="9"/>
      <c r="B156" s="58"/>
      <c r="D156" s="17"/>
      <c r="E156" s="17"/>
      <c r="G156" s="17"/>
      <c r="H156" s="17"/>
      <c r="I156" s="17"/>
      <c r="J156" s="42"/>
      <c r="K156" s="17"/>
      <c r="L156" s="17"/>
      <c r="M156" s="17"/>
      <c r="P156" s="17"/>
      <c r="Q156" s="17"/>
      <c r="R156" s="42"/>
      <c r="S156" s="17"/>
      <c r="T156" s="17"/>
      <c r="U156" s="17"/>
      <c r="V156" s="42"/>
      <c r="W156" s="17"/>
      <c r="X156" s="17"/>
    </row>
    <row r="157" spans="1:26" x14ac:dyDescent="0.25">
      <c r="D157" s="17"/>
      <c r="E157" s="17"/>
      <c r="G157" s="17"/>
      <c r="H157" s="17"/>
      <c r="I157" s="17"/>
      <c r="J157" s="42"/>
      <c r="K157" s="17"/>
      <c r="L157" s="17"/>
      <c r="M157" s="17"/>
      <c r="P157" s="17"/>
      <c r="Q157" s="17"/>
      <c r="R157" s="42"/>
      <c r="S157" s="17"/>
      <c r="T157" s="17"/>
      <c r="U157" s="17"/>
      <c r="V157" s="42"/>
      <c r="W157" s="17"/>
      <c r="X157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299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","315", " - ", "Beach Shop")</f>
        <v>Department 315 - Beach Shop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253130.69999999995</v>
      </c>
      <c r="E12" s="4"/>
      <c r="F12" s="12"/>
      <c r="G12" s="4"/>
      <c r="H12" s="4">
        <f>SUM(OSRRefH13x_0)</f>
        <v>249793</v>
      </c>
      <c r="I12" s="4"/>
      <c r="J12" s="12"/>
      <c r="K12" s="4"/>
      <c r="L12" s="4">
        <f t="shared" ref="L12:L31" si="0">+D12-H12</f>
        <v>3337.6999999999534</v>
      </c>
      <c r="M12" s="4"/>
      <c r="N12" s="12">
        <f t="shared" ref="N12:N31" si="1">IF(H12=0,0,L12/H12)</f>
        <v>1.3361863623079723E-2</v>
      </c>
      <c r="O12" s="10"/>
      <c r="P12" s="4">
        <f>SUM(OSRRefP13x_0)</f>
        <v>433775.86</v>
      </c>
      <c r="Q12" s="4"/>
      <c r="R12" s="12"/>
      <c r="S12" s="4"/>
      <c r="T12" s="4">
        <f>SUM(OSRRefT13x_0)</f>
        <v>422826</v>
      </c>
      <c r="U12" s="4"/>
      <c r="V12" s="12"/>
      <c r="W12" s="4"/>
      <c r="X12" s="4">
        <f t="shared" ref="X12:X31" si="2">+P12-T12</f>
        <v>10949.859999999986</v>
      </c>
      <c r="Y12" s="4"/>
      <c r="Z12" s="12">
        <f t="shared" ref="Z12:Z31" si="3">IF(T12=0,0,X12/T12)</f>
        <v>2.589684645693497E-2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249793</v>
      </c>
      <c r="I13" s="2"/>
      <c r="J13" s="21"/>
      <c r="K13" s="2"/>
      <c r="L13" s="2">
        <f t="shared" si="0"/>
        <v>-249793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422826</v>
      </c>
      <c r="U13" s="2"/>
      <c r="V13" s="21"/>
      <c r="W13" s="2"/>
      <c r="X13" s="2">
        <f t="shared" si="2"/>
        <v>-422826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"4040", " - ", "TAXABLE SALES-LOGO CLOTHING")</f>
        <v xml:space="preserve">          4040 - TAXABLE SALES-LOGO CLOTHING</v>
      </c>
      <c r="C14" s="11"/>
      <c r="D14" s="2">
        <f>--162637.27</f>
        <v>162637.26999999999</v>
      </c>
      <c r="E14" s="2"/>
      <c r="F14" s="21"/>
      <c r="G14" s="2"/>
      <c r="H14" s="2"/>
      <c r="I14" s="2"/>
      <c r="J14" s="21"/>
      <c r="K14" s="2"/>
      <c r="L14" s="2">
        <f t="shared" si="0"/>
        <v>162637.26999999999</v>
      </c>
      <c r="M14" s="2"/>
      <c r="N14" s="21">
        <f t="shared" si="1"/>
        <v>0</v>
      </c>
      <c r="O14" s="11"/>
      <c r="P14" s="2">
        <f>--289196.88</f>
        <v>289196.88</v>
      </c>
      <c r="Q14" s="2"/>
      <c r="R14" s="21"/>
      <c r="S14" s="2"/>
      <c r="T14" s="2"/>
      <c r="U14" s="2"/>
      <c r="V14" s="21"/>
      <c r="W14" s="2"/>
      <c r="X14" s="2">
        <f t="shared" si="2"/>
        <v>289196.88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"4041", " - ", "TAXABLE SALES-LOGO GIFTS")</f>
        <v xml:space="preserve">          4041 - TAXABLE SALES-LOGO GIFTS</v>
      </c>
      <c r="C15" s="11"/>
      <c r="D15" s="2">
        <f>--39506.72</f>
        <v>39506.720000000001</v>
      </c>
      <c r="E15" s="2"/>
      <c r="F15" s="21"/>
      <c r="G15" s="2"/>
      <c r="H15" s="2"/>
      <c r="I15" s="2"/>
      <c r="J15" s="21"/>
      <c r="K15" s="2"/>
      <c r="L15" s="2">
        <f t="shared" si="0"/>
        <v>39506.720000000001</v>
      </c>
      <c r="M15" s="2"/>
      <c r="N15" s="21">
        <f t="shared" si="1"/>
        <v>0</v>
      </c>
      <c r="O15" s="11"/>
      <c r="P15" s="2">
        <f>--63859.08</f>
        <v>63859.08</v>
      </c>
      <c r="Q15" s="2"/>
      <c r="R15" s="21"/>
      <c r="S15" s="2"/>
      <c r="T15" s="2"/>
      <c r="U15" s="2"/>
      <c r="V15" s="21"/>
      <c r="W15" s="2"/>
      <c r="X15" s="2">
        <f t="shared" si="2"/>
        <v>63859.08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"4042", " - ", "TAXABLE SALES-EVERYDAY GIFTS")</f>
        <v xml:space="preserve">          4042 - TAXABLE SALES-EVERYDAY GIFTS</v>
      </c>
      <c r="C16" s="11"/>
      <c r="D16" s="2">
        <f>--29699.27</f>
        <v>29699.27</v>
      </c>
      <c r="E16" s="2"/>
      <c r="F16" s="21"/>
      <c r="G16" s="2"/>
      <c r="H16" s="2"/>
      <c r="I16" s="2"/>
      <c r="J16" s="21"/>
      <c r="K16" s="2"/>
      <c r="L16" s="2">
        <f t="shared" si="0"/>
        <v>29699.27</v>
      </c>
      <c r="M16" s="2"/>
      <c r="N16" s="21">
        <f t="shared" si="1"/>
        <v>0</v>
      </c>
      <c r="O16" s="11"/>
      <c r="P16" s="2">
        <f>--38798.79</f>
        <v>38798.79</v>
      </c>
      <c r="Q16" s="2"/>
      <c r="R16" s="21"/>
      <c r="S16" s="2"/>
      <c r="T16" s="2"/>
      <c r="U16" s="2"/>
      <c r="V16" s="21"/>
      <c r="W16" s="2"/>
      <c r="X16" s="2">
        <f t="shared" si="2"/>
        <v>38798.79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"4043", " - ", "TAXABLE SALES-CARDS")</f>
        <v xml:space="preserve">          4043 - TAXABLE SALES-CARDS</v>
      </c>
      <c r="C17" s="11"/>
      <c r="D17" s="2">
        <f>--67.34</f>
        <v>67.34</v>
      </c>
      <c r="E17" s="2"/>
      <c r="F17" s="21"/>
      <c r="G17" s="2"/>
      <c r="H17" s="2"/>
      <c r="I17" s="2"/>
      <c r="J17" s="21"/>
      <c r="K17" s="2"/>
      <c r="L17" s="2">
        <f t="shared" si="0"/>
        <v>67.34</v>
      </c>
      <c r="M17" s="2"/>
      <c r="N17" s="21">
        <f t="shared" si="1"/>
        <v>0</v>
      </c>
      <c r="O17" s="11"/>
      <c r="P17" s="2">
        <f>--108.19</f>
        <v>108.19</v>
      </c>
      <c r="Q17" s="2"/>
      <c r="R17" s="21"/>
      <c r="S17" s="2"/>
      <c r="T17" s="2"/>
      <c r="U17" s="2"/>
      <c r="V17" s="21"/>
      <c r="W17" s="2"/>
      <c r="X17" s="2">
        <f t="shared" si="2"/>
        <v>108.19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"4044", " - ", "TAXABLE SALES-ACCESSORIES")</f>
        <v xml:space="preserve">          4044 - TAXABLE SALES-ACCESSORIES</v>
      </c>
      <c r="C18" s="11"/>
      <c r="D18" s="2">
        <f>--18920.67</f>
        <v>18920.669999999998</v>
      </c>
      <c r="E18" s="2"/>
      <c r="F18" s="21"/>
      <c r="G18" s="2"/>
      <c r="H18" s="2"/>
      <c r="I18" s="2"/>
      <c r="J18" s="21"/>
      <c r="K18" s="2"/>
      <c r="L18" s="2">
        <f t="shared" si="0"/>
        <v>18920.669999999998</v>
      </c>
      <c r="M18" s="2"/>
      <c r="N18" s="21">
        <f t="shared" si="1"/>
        <v>0</v>
      </c>
      <c r="O18" s="11"/>
      <c r="P18" s="2">
        <f>--21015.12</f>
        <v>21015.119999999999</v>
      </c>
      <c r="Q18" s="2"/>
      <c r="R18" s="21"/>
      <c r="S18" s="2"/>
      <c r="T18" s="2"/>
      <c r="U18" s="2"/>
      <c r="V18" s="21"/>
      <c r="W18" s="2"/>
      <c r="X18" s="2">
        <f t="shared" si="2"/>
        <v>21015.119999999999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"4045", " - ", "TAXABLE SALES-SPECIAL ORDERS")</f>
        <v xml:space="preserve">          4045 - TAXABLE SALES-SPECIAL ORDERS</v>
      </c>
      <c r="C19" s="11"/>
      <c r="D19" s="2">
        <f>--5973.45</f>
        <v>5973.45</v>
      </c>
      <c r="E19" s="2"/>
      <c r="F19" s="21"/>
      <c r="G19" s="2"/>
      <c r="H19" s="2"/>
      <c r="I19" s="2"/>
      <c r="J19" s="21"/>
      <c r="K19" s="2"/>
      <c r="L19" s="2">
        <f t="shared" si="0"/>
        <v>5973.45</v>
      </c>
      <c r="M19" s="2"/>
      <c r="N19" s="21">
        <f t="shared" si="1"/>
        <v>0</v>
      </c>
      <c r="O19" s="11"/>
      <c r="P19" s="2">
        <f>--25156.28</f>
        <v>25156.28</v>
      </c>
      <c r="Q19" s="2"/>
      <c r="R19" s="21"/>
      <c r="S19" s="2"/>
      <c r="T19" s="2"/>
      <c r="U19" s="2"/>
      <c r="V19" s="21"/>
      <c r="W19" s="2"/>
      <c r="X19" s="2">
        <f t="shared" si="2"/>
        <v>25156.28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"4140", " - ", "NON-TAXABLE SALES-LOGO CLOTHIN")</f>
        <v xml:space="preserve">          4140 - NON-TAXABLE SALES-LOGO CLOTHIN</v>
      </c>
      <c r="C20" s="11"/>
      <c r="D20" s="2">
        <f>--1979.29</f>
        <v>1979.29</v>
      </c>
      <c r="E20" s="2"/>
      <c r="F20" s="21"/>
      <c r="G20" s="2"/>
      <c r="H20" s="2"/>
      <c r="I20" s="2"/>
      <c r="J20" s="21"/>
      <c r="K20" s="2"/>
      <c r="L20" s="2">
        <f t="shared" si="0"/>
        <v>1979.29</v>
      </c>
      <c r="M20" s="2"/>
      <c r="N20" s="21">
        <f t="shared" si="1"/>
        <v>0</v>
      </c>
      <c r="O20" s="11"/>
      <c r="P20" s="2">
        <f>--5142.96</f>
        <v>5142.96</v>
      </c>
      <c r="Q20" s="2"/>
      <c r="R20" s="21"/>
      <c r="S20" s="2"/>
      <c r="T20" s="2"/>
      <c r="U20" s="2"/>
      <c r="V20" s="21"/>
      <c r="W20" s="2"/>
      <c r="X20" s="2">
        <f t="shared" si="2"/>
        <v>5142.96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--262.7</f>
        <v>262.7</v>
      </c>
      <c r="E21" s="2"/>
      <c r="F21" s="21"/>
      <c r="G21" s="2"/>
      <c r="H21" s="2"/>
      <c r="I21" s="2"/>
      <c r="J21" s="21"/>
      <c r="K21" s="2"/>
      <c r="L21" s="2">
        <f t="shared" si="0"/>
        <v>262.7</v>
      </c>
      <c r="M21" s="2"/>
      <c r="N21" s="21">
        <f t="shared" si="1"/>
        <v>0</v>
      </c>
      <c r="O21" s="11"/>
      <c r="P21" s="2">
        <f>--516.9</f>
        <v>516.9</v>
      </c>
      <c r="Q21" s="2"/>
      <c r="R21" s="21"/>
      <c r="S21" s="2"/>
      <c r="T21" s="2"/>
      <c r="U21" s="2"/>
      <c r="V21" s="21"/>
      <c r="W21" s="2"/>
      <c r="X21" s="2">
        <f t="shared" si="2"/>
        <v>516.9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--153.61</f>
        <v>153.61000000000001</v>
      </c>
      <c r="E22" s="2"/>
      <c r="F22" s="21"/>
      <c r="G22" s="2"/>
      <c r="H22" s="2"/>
      <c r="I22" s="2"/>
      <c r="J22" s="21"/>
      <c r="K22" s="2"/>
      <c r="L22" s="2">
        <f t="shared" si="0"/>
        <v>153.61000000000001</v>
      </c>
      <c r="M22" s="2"/>
      <c r="N22" s="21">
        <f t="shared" si="1"/>
        <v>0</v>
      </c>
      <c r="O22" s="11"/>
      <c r="P22" s="2">
        <f>--305.13</f>
        <v>305.13</v>
      </c>
      <c r="Q22" s="2"/>
      <c r="R22" s="21"/>
      <c r="S22" s="2"/>
      <c r="T22" s="2"/>
      <c r="U22" s="2"/>
      <c r="V22" s="21"/>
      <c r="W22" s="2"/>
      <c r="X22" s="2">
        <f t="shared" si="2"/>
        <v>305.13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"4144", " - ", "NON-TAXABLE SALES-ACCESSORIES")</f>
        <v xml:space="preserve">          4144 - NON-TAXABLE SALES-ACCESSORIES</v>
      </c>
      <c r="C23" s="11"/>
      <c r="D23" s="2">
        <f>--117.86</f>
        <v>117.86</v>
      </c>
      <c r="E23" s="2"/>
      <c r="F23" s="21"/>
      <c r="G23" s="2"/>
      <c r="H23" s="2"/>
      <c r="I23" s="2"/>
      <c r="J23" s="21"/>
      <c r="K23" s="2"/>
      <c r="L23" s="2">
        <f t="shared" si="0"/>
        <v>117.86</v>
      </c>
      <c r="M23" s="2"/>
      <c r="N23" s="21">
        <f t="shared" si="1"/>
        <v>0</v>
      </c>
      <c r="O23" s="11"/>
      <c r="P23" s="2">
        <f>--139.76</f>
        <v>139.76</v>
      </c>
      <c r="Q23" s="2"/>
      <c r="R23" s="21"/>
      <c r="S23" s="2"/>
      <c r="T23" s="2"/>
      <c r="U23" s="2"/>
      <c r="V23" s="21"/>
      <c r="W23" s="2"/>
      <c r="X23" s="2">
        <f t="shared" si="2"/>
        <v>139.76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"4145", " - ", "NON-TAXABLE SALES-SPECIAL ORDE")</f>
        <v xml:space="preserve">          4145 - NON-TAXABLE SALES-SPECIAL ORDE</v>
      </c>
      <c r="C24" s="11"/>
      <c r="D24" s="2">
        <f>--90</f>
        <v>90</v>
      </c>
      <c r="E24" s="2"/>
      <c r="F24" s="21"/>
      <c r="G24" s="2"/>
      <c r="H24" s="2"/>
      <c r="I24" s="2"/>
      <c r="J24" s="21"/>
      <c r="K24" s="2"/>
      <c r="L24" s="2">
        <f t="shared" si="0"/>
        <v>90</v>
      </c>
      <c r="M24" s="2"/>
      <c r="N24" s="21">
        <f t="shared" si="1"/>
        <v>0</v>
      </c>
      <c r="O24" s="11"/>
      <c r="P24" s="2">
        <f>--90</f>
        <v>90</v>
      </c>
      <c r="Q24" s="2"/>
      <c r="R24" s="21"/>
      <c r="S24" s="2"/>
      <c r="T24" s="2"/>
      <c r="U24" s="2"/>
      <c r="V24" s="21"/>
      <c r="W24" s="2"/>
      <c r="X24" s="2">
        <f t="shared" si="2"/>
        <v>90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-5099.76</f>
        <v>-5099.76</v>
      </c>
      <c r="E25" s="2"/>
      <c r="F25" s="21"/>
      <c r="G25" s="2"/>
      <c r="H25" s="2"/>
      <c r="I25" s="2"/>
      <c r="J25" s="21"/>
      <c r="K25" s="2"/>
      <c r="L25" s="2">
        <f t="shared" si="0"/>
        <v>-5099.76</v>
      </c>
      <c r="M25" s="2"/>
      <c r="N25" s="21">
        <f t="shared" si="1"/>
        <v>0</v>
      </c>
      <c r="O25" s="11"/>
      <c r="P25" s="2">
        <f>-8188.65</f>
        <v>-8188.65</v>
      </c>
      <c r="Q25" s="2"/>
      <c r="R25" s="21"/>
      <c r="S25" s="2"/>
      <c r="T25" s="2"/>
      <c r="U25" s="2"/>
      <c r="V25" s="21"/>
      <c r="W25" s="2"/>
      <c r="X25" s="2">
        <f t="shared" si="2"/>
        <v>-8188.65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-348.61</f>
        <v>-348.61</v>
      </c>
      <c r="E26" s="2"/>
      <c r="F26" s="21"/>
      <c r="G26" s="2"/>
      <c r="H26" s="2"/>
      <c r="I26" s="2"/>
      <c r="J26" s="21"/>
      <c r="K26" s="2"/>
      <c r="L26" s="2">
        <f t="shared" si="0"/>
        <v>-348.61</v>
      </c>
      <c r="M26" s="2"/>
      <c r="N26" s="21">
        <f t="shared" si="1"/>
        <v>0</v>
      </c>
      <c r="O26" s="11"/>
      <c r="P26" s="2">
        <f>-890.3</f>
        <v>-890.3</v>
      </c>
      <c r="Q26" s="2"/>
      <c r="R26" s="21"/>
      <c r="S26" s="2"/>
      <c r="T26" s="2"/>
      <c r="U26" s="2"/>
      <c r="V26" s="21"/>
      <c r="W26" s="2"/>
      <c r="X26" s="2">
        <f t="shared" si="2"/>
        <v>-890.3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-349.49</f>
        <v>-349.49</v>
      </c>
      <c r="E27" s="2"/>
      <c r="F27" s="21"/>
      <c r="G27" s="2"/>
      <c r="H27" s="2"/>
      <c r="I27" s="2"/>
      <c r="J27" s="21"/>
      <c r="K27" s="2"/>
      <c r="L27" s="2">
        <f t="shared" si="0"/>
        <v>-349.49</v>
      </c>
      <c r="M27" s="2"/>
      <c r="N27" s="21">
        <f t="shared" si="1"/>
        <v>0</v>
      </c>
      <c r="O27" s="11"/>
      <c r="P27" s="2">
        <f>-664.32</f>
        <v>-664.32</v>
      </c>
      <c r="Q27" s="2"/>
      <c r="R27" s="21"/>
      <c r="S27" s="2"/>
      <c r="T27" s="2"/>
      <c r="U27" s="2"/>
      <c r="V27" s="21"/>
      <c r="W27" s="2"/>
      <c r="X27" s="2">
        <f t="shared" si="2"/>
        <v>-664.32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"4244", " - ", "SALES RETURN TAXABLE-ACCESSORI")</f>
        <v xml:space="preserve">          4244 - SALES RETURN TAXABLE-ACCESSORI</v>
      </c>
      <c r="C28" s="11"/>
      <c r="D28" s="2">
        <f>-420.73</f>
        <v>-420.73</v>
      </c>
      <c r="E28" s="2"/>
      <c r="F28" s="21"/>
      <c r="G28" s="2"/>
      <c r="H28" s="2"/>
      <c r="I28" s="2"/>
      <c r="J28" s="21"/>
      <c r="K28" s="2"/>
      <c r="L28" s="2">
        <f t="shared" si="0"/>
        <v>-420.73</v>
      </c>
      <c r="M28" s="2"/>
      <c r="N28" s="21">
        <f t="shared" si="1"/>
        <v>0</v>
      </c>
      <c r="O28" s="11"/>
      <c r="P28" s="2">
        <f>-527.52</f>
        <v>-527.52</v>
      </c>
      <c r="Q28" s="2"/>
      <c r="R28" s="21"/>
      <c r="S28" s="2"/>
      <c r="T28" s="2"/>
      <c r="U28" s="2"/>
      <c r="V28" s="21"/>
      <c r="W28" s="2"/>
      <c r="X28" s="2">
        <f t="shared" si="2"/>
        <v>-527.52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"4245", " - ", "SALES RETURN TAXABLE-SPECIAL O")</f>
        <v xml:space="preserve">          4245 - SALES RETURN TAXABLE-SPECIAL O</v>
      </c>
      <c r="C29" s="11"/>
      <c r="D29" s="2">
        <f>-9.99</f>
        <v>-9.99</v>
      </c>
      <c r="E29" s="2"/>
      <c r="F29" s="21"/>
      <c r="G29" s="2"/>
      <c r="H29" s="2"/>
      <c r="I29" s="2"/>
      <c r="J29" s="21"/>
      <c r="K29" s="2"/>
      <c r="L29" s="2">
        <f t="shared" si="0"/>
        <v>-9.99</v>
      </c>
      <c r="M29" s="2"/>
      <c r="N29" s="21">
        <f t="shared" si="1"/>
        <v>0</v>
      </c>
      <c r="O29" s="11"/>
      <c r="P29" s="2">
        <f>-9.99</f>
        <v>-9.99</v>
      </c>
      <c r="Q29" s="2"/>
      <c r="R29" s="21"/>
      <c r="S29" s="2"/>
      <c r="T29" s="2"/>
      <c r="U29" s="2"/>
      <c r="V29" s="21"/>
      <c r="W29" s="2"/>
      <c r="X29" s="2">
        <f t="shared" si="2"/>
        <v>-9.99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"4340", " - ", "SALES RETURN NON TAXABLE-LOGO")</f>
        <v xml:space="preserve">          4340 - SALES RETURN NON TAXABLE-LOGO</v>
      </c>
      <c r="C30" s="11"/>
      <c r="D30" s="2">
        <f>-44.95</f>
        <v>-44.95</v>
      </c>
      <c r="E30" s="2"/>
      <c r="F30" s="21"/>
      <c r="G30" s="2"/>
      <c r="H30" s="2"/>
      <c r="I30" s="2"/>
      <c r="J30" s="21"/>
      <c r="K30" s="2"/>
      <c r="L30" s="2">
        <f t="shared" si="0"/>
        <v>-44.95</v>
      </c>
      <c r="M30" s="2"/>
      <c r="N30" s="21">
        <f t="shared" si="1"/>
        <v>0</v>
      </c>
      <c r="O30" s="11"/>
      <c r="P30" s="2">
        <f>-268.5</f>
        <v>-268.5</v>
      </c>
      <c r="Q30" s="2"/>
      <c r="R30" s="21"/>
      <c r="S30" s="2"/>
      <c r="T30" s="2"/>
      <c r="U30" s="2"/>
      <c r="V30" s="21"/>
      <c r="W30" s="2"/>
      <c r="X30" s="2">
        <f t="shared" si="2"/>
        <v>-268.5</v>
      </c>
      <c r="Y30" s="2"/>
      <c r="Z30" s="21">
        <f t="shared" si="3"/>
        <v>0</v>
      </c>
    </row>
    <row r="31" spans="1:26" s="24" customFormat="1" hidden="1" outlineLevel="1" x14ac:dyDescent="0.25">
      <c r="A31" s="46"/>
      <c r="B31" s="11" t="str">
        <f>CONCATENATE("          ", "4341", " - ", "SALES RETURN NON TAXABLE-LOGO")</f>
        <v xml:space="preserve">          4341 - SALES RETURN NON TAXABLE-LOGO</v>
      </c>
      <c r="C31" s="11"/>
      <c r="D31" s="2">
        <f>-3.95</f>
        <v>-3.95</v>
      </c>
      <c r="E31" s="2"/>
      <c r="F31" s="21"/>
      <c r="G31" s="2"/>
      <c r="H31" s="2"/>
      <c r="I31" s="2"/>
      <c r="J31" s="21"/>
      <c r="K31" s="2"/>
      <c r="L31" s="2">
        <f t="shared" si="0"/>
        <v>-3.95</v>
      </c>
      <c r="M31" s="2"/>
      <c r="N31" s="21">
        <f t="shared" si="1"/>
        <v>0</v>
      </c>
      <c r="O31" s="11"/>
      <c r="P31" s="2">
        <f>-3.95</f>
        <v>-3.95</v>
      </c>
      <c r="Q31" s="2"/>
      <c r="R31" s="21"/>
      <c r="S31" s="2"/>
      <c r="T31" s="2"/>
      <c r="U31" s="2"/>
      <c r="V31" s="21"/>
      <c r="W31" s="2"/>
      <c r="X31" s="2">
        <f t="shared" si="2"/>
        <v>-3.95</v>
      </c>
      <c r="Y31" s="2"/>
      <c r="Z31" s="21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8" t="s">
        <v>8</v>
      </c>
      <c r="C33" s="10"/>
      <c r="D33" s="4">
        <f>SUM(OSRRefD16x_0)</f>
        <v>115676.49999999999</v>
      </c>
      <c r="E33" s="4"/>
      <c r="F33" s="12">
        <f t="shared" ref="F33:F48" si="4">IF(D$12=0,0,D33/D$12)</f>
        <v>0.45698328966024276</v>
      </c>
      <c r="G33" s="4"/>
      <c r="H33" s="4">
        <f>SUM(OSRRefH16x_0)</f>
        <v>116167</v>
      </c>
      <c r="I33" s="4"/>
      <c r="J33" s="12">
        <f t="shared" ref="J33:J48" si="5">IF(H$12=0,0,H33/H$12)</f>
        <v>0.46505306393693979</v>
      </c>
      <c r="K33" s="4"/>
      <c r="L33" s="4">
        <f t="shared" ref="L33:L48" si="6">+D33-H33</f>
        <v>-490.50000000001455</v>
      </c>
      <c r="M33" s="4"/>
      <c r="N33" s="12">
        <f t="shared" ref="N33:N48" si="7">IF(H33=0,0,L33/H33)</f>
        <v>-4.2223695197432538E-3</v>
      </c>
      <c r="O33" s="10"/>
      <c r="P33" s="4">
        <f>SUM(OSRRefP16x_0)</f>
        <v>201523.28000000003</v>
      </c>
      <c r="Q33" s="4"/>
      <c r="R33" s="12">
        <f t="shared" ref="R33:R48" si="8">IF(P$12=0,0,P33/P$12)</f>
        <v>0.46457928756109212</v>
      </c>
      <c r="S33" s="4"/>
      <c r="T33" s="4">
        <f>SUM(OSRRefT16x_0)</f>
        <v>200270</v>
      </c>
      <c r="U33" s="4"/>
      <c r="V33" s="12">
        <f t="shared" ref="V33:V48" si="9">IF(T$12=0,0,T33/T$12)</f>
        <v>0.47364636990156705</v>
      </c>
      <c r="W33" s="4"/>
      <c r="X33" s="4">
        <f t="shared" ref="X33:X48" si="10">+P33-T33</f>
        <v>1253.2800000000279</v>
      </c>
      <c r="Y33" s="4"/>
      <c r="Z33" s="12">
        <f t="shared" ref="Z33:Z48" si="11">IF(T33=0,0,X33/T33)</f>
        <v>6.2579517651172312E-3</v>
      </c>
    </row>
    <row r="34" spans="1:26" s="24" customFormat="1" hidden="1" outlineLevel="1" x14ac:dyDescent="0.25">
      <c r="A34" s="46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21">
        <f t="shared" si="4"/>
        <v>0</v>
      </c>
      <c r="G34" s="2"/>
      <c r="H34" s="2">
        <v>116167</v>
      </c>
      <c r="I34" s="2"/>
      <c r="J34" s="21">
        <f t="shared" si="5"/>
        <v>0.46505306393693979</v>
      </c>
      <c r="K34" s="2"/>
      <c r="L34" s="2">
        <f t="shared" si="6"/>
        <v>-116167</v>
      </c>
      <c r="M34" s="2"/>
      <c r="N34" s="21">
        <f t="shared" si="7"/>
        <v>-1</v>
      </c>
      <c r="O34" s="11"/>
      <c r="P34" s="2"/>
      <c r="Q34" s="2"/>
      <c r="R34" s="21">
        <f t="shared" si="8"/>
        <v>0</v>
      </c>
      <c r="S34" s="2"/>
      <c r="T34" s="2">
        <v>200270</v>
      </c>
      <c r="U34" s="2"/>
      <c r="V34" s="21">
        <f t="shared" si="9"/>
        <v>0.47364636990156705</v>
      </c>
      <c r="W34" s="2"/>
      <c r="X34" s="2">
        <f t="shared" si="10"/>
        <v>-200270</v>
      </c>
      <c r="Y34" s="2"/>
      <c r="Z34" s="21">
        <f t="shared" si="11"/>
        <v>-1</v>
      </c>
    </row>
    <row r="35" spans="1:26" s="24" customFormat="1" hidden="1" outlineLevel="1" x14ac:dyDescent="0.25">
      <c r="A35" s="46"/>
      <c r="B35" s="11" t="str">
        <f>CONCATENATE("          ", "5040", " - ", "PURCHASES @ COST-LOGO CLOTHING")</f>
        <v xml:space="preserve">          5040 - PURCHASES @ COST-LOGO CLOTHING</v>
      </c>
      <c r="C35" s="11"/>
      <c r="D35" s="2">
        <v>73580.819999999992</v>
      </c>
      <c r="E35" s="2"/>
      <c r="F35" s="21">
        <f t="shared" si="4"/>
        <v>0.29068311350618475</v>
      </c>
      <c r="G35" s="2"/>
      <c r="H35" s="2"/>
      <c r="I35" s="2"/>
      <c r="J35" s="21">
        <f t="shared" si="5"/>
        <v>0</v>
      </c>
      <c r="K35" s="2"/>
      <c r="L35" s="2">
        <f t="shared" si="6"/>
        <v>73580.819999999992</v>
      </c>
      <c r="M35" s="2"/>
      <c r="N35" s="21">
        <f t="shared" si="7"/>
        <v>0</v>
      </c>
      <c r="O35" s="11"/>
      <c r="P35" s="2">
        <v>127717.81</v>
      </c>
      <c r="Q35" s="2"/>
      <c r="R35" s="21">
        <f t="shared" si="8"/>
        <v>0.2944327284602698</v>
      </c>
      <c r="S35" s="2"/>
      <c r="T35" s="2"/>
      <c r="U35" s="2"/>
      <c r="V35" s="21">
        <f t="shared" si="9"/>
        <v>0</v>
      </c>
      <c r="W35" s="2"/>
      <c r="X35" s="2">
        <f t="shared" si="10"/>
        <v>127717.81</v>
      </c>
      <c r="Y35" s="2"/>
      <c r="Z35" s="21">
        <f t="shared" si="11"/>
        <v>0</v>
      </c>
    </row>
    <row r="36" spans="1:26" s="24" customFormat="1" hidden="1" outlineLevel="1" x14ac:dyDescent="0.25">
      <c r="A36" s="46"/>
      <c r="B36" s="11" t="str">
        <f>CONCATENATE("          ", "5041", " - ", "PURCHASES @ COST-LOGO GIFTS")</f>
        <v xml:space="preserve">          5041 - PURCHASES @ COST-LOGO GIFTS</v>
      </c>
      <c r="C36" s="11"/>
      <c r="D36" s="2">
        <v>13295.03</v>
      </c>
      <c r="E36" s="2"/>
      <c r="F36" s="21">
        <f t="shared" si="4"/>
        <v>5.2522392582171992E-2</v>
      </c>
      <c r="G36" s="2"/>
      <c r="H36" s="2"/>
      <c r="I36" s="2"/>
      <c r="J36" s="21">
        <f t="shared" si="5"/>
        <v>0</v>
      </c>
      <c r="K36" s="2"/>
      <c r="L36" s="2">
        <f t="shared" si="6"/>
        <v>13295.03</v>
      </c>
      <c r="M36" s="2"/>
      <c r="N36" s="21">
        <f t="shared" si="7"/>
        <v>0</v>
      </c>
      <c r="O36" s="11"/>
      <c r="P36" s="2">
        <v>20062.54</v>
      </c>
      <c r="Q36" s="2"/>
      <c r="R36" s="21">
        <f t="shared" si="8"/>
        <v>4.6250937062288347E-2</v>
      </c>
      <c r="S36" s="2"/>
      <c r="T36" s="2"/>
      <c r="U36" s="2"/>
      <c r="V36" s="21">
        <f t="shared" si="9"/>
        <v>0</v>
      </c>
      <c r="W36" s="2"/>
      <c r="X36" s="2">
        <f t="shared" si="10"/>
        <v>20062.54</v>
      </c>
      <c r="Y36" s="2"/>
      <c r="Z36" s="21">
        <f t="shared" si="11"/>
        <v>0</v>
      </c>
    </row>
    <row r="37" spans="1:26" s="24" customFormat="1" hidden="1" outlineLevel="1" x14ac:dyDescent="0.25">
      <c r="A37" s="46"/>
      <c r="B37" s="11" t="str">
        <f>CONCATENATE("          ", "5042", " - ", "PURCHASES @ COST-EVERYDAY GIFT")</f>
        <v xml:space="preserve">          5042 - PURCHASES @ COST-EVERYDAY GIFT</v>
      </c>
      <c r="C37" s="11"/>
      <c r="D37" s="2">
        <v>12210.66</v>
      </c>
      <c r="E37" s="2"/>
      <c r="F37" s="21">
        <f t="shared" si="4"/>
        <v>4.8238558183578688E-2</v>
      </c>
      <c r="G37" s="2"/>
      <c r="H37" s="2"/>
      <c r="I37" s="2"/>
      <c r="J37" s="21">
        <f t="shared" si="5"/>
        <v>0</v>
      </c>
      <c r="K37" s="2"/>
      <c r="L37" s="2">
        <f t="shared" si="6"/>
        <v>12210.66</v>
      </c>
      <c r="M37" s="2"/>
      <c r="N37" s="21">
        <f t="shared" si="7"/>
        <v>0</v>
      </c>
      <c r="O37" s="11"/>
      <c r="P37" s="2">
        <v>17343.7</v>
      </c>
      <c r="Q37" s="2"/>
      <c r="R37" s="21">
        <f t="shared" si="8"/>
        <v>3.9983091728525419E-2</v>
      </c>
      <c r="S37" s="2"/>
      <c r="T37" s="2"/>
      <c r="U37" s="2"/>
      <c r="V37" s="21">
        <f t="shared" si="9"/>
        <v>0</v>
      </c>
      <c r="W37" s="2"/>
      <c r="X37" s="2">
        <f t="shared" si="10"/>
        <v>17343.7</v>
      </c>
      <c r="Y37" s="2"/>
      <c r="Z37" s="21">
        <f t="shared" si="11"/>
        <v>0</v>
      </c>
    </row>
    <row r="38" spans="1:26" s="24" customFormat="1" hidden="1" outlineLevel="1" x14ac:dyDescent="0.25">
      <c r="A38" s="46"/>
      <c r="B38" s="11" t="str">
        <f>CONCATENATE("          ", "5043", " - ", "PURCHASES @ COST-CARDS")</f>
        <v xml:space="preserve">          5043 - PURCHASES @ COST-CARDS</v>
      </c>
      <c r="C38" s="11"/>
      <c r="D38" s="2">
        <v>15.24</v>
      </c>
      <c r="E38" s="2"/>
      <c r="F38" s="21">
        <f t="shared" si="4"/>
        <v>6.0206051656318267E-5</v>
      </c>
      <c r="G38" s="2"/>
      <c r="H38" s="2"/>
      <c r="I38" s="2"/>
      <c r="J38" s="21">
        <f t="shared" si="5"/>
        <v>0</v>
      </c>
      <c r="K38" s="2"/>
      <c r="L38" s="2">
        <f t="shared" si="6"/>
        <v>15.24</v>
      </c>
      <c r="M38" s="2"/>
      <c r="N38" s="21">
        <f t="shared" si="7"/>
        <v>0</v>
      </c>
      <c r="O38" s="11"/>
      <c r="P38" s="2">
        <v>513.5</v>
      </c>
      <c r="Q38" s="2"/>
      <c r="R38" s="21">
        <f t="shared" si="8"/>
        <v>1.1837910943223074E-3</v>
      </c>
      <c r="S38" s="2"/>
      <c r="T38" s="2"/>
      <c r="U38" s="2"/>
      <c r="V38" s="21">
        <f t="shared" si="9"/>
        <v>0</v>
      </c>
      <c r="W38" s="2"/>
      <c r="X38" s="2">
        <f t="shared" si="10"/>
        <v>513.5</v>
      </c>
      <c r="Y38" s="2"/>
      <c r="Z38" s="21">
        <f t="shared" si="11"/>
        <v>0</v>
      </c>
    </row>
    <row r="39" spans="1:26" s="24" customFormat="1" hidden="1" outlineLevel="1" x14ac:dyDescent="0.25">
      <c r="A39" s="46"/>
      <c r="B39" s="11" t="str">
        <f>CONCATENATE("          ", "5044", " - ", "PURCHASES @ COST-ACCESSORIES")</f>
        <v xml:space="preserve">          5044 - PURCHASES @ COST-ACCESSORIES</v>
      </c>
      <c r="C39" s="11"/>
      <c r="D39" s="2">
        <v>12089.9</v>
      </c>
      <c r="E39" s="2"/>
      <c r="F39" s="21">
        <f t="shared" si="4"/>
        <v>4.7761492383183869E-2</v>
      </c>
      <c r="G39" s="2"/>
      <c r="H39" s="2"/>
      <c r="I39" s="2"/>
      <c r="J39" s="21">
        <f t="shared" si="5"/>
        <v>0</v>
      </c>
      <c r="K39" s="2"/>
      <c r="L39" s="2">
        <f t="shared" si="6"/>
        <v>12089.9</v>
      </c>
      <c r="M39" s="2"/>
      <c r="N39" s="21">
        <f t="shared" si="7"/>
        <v>0</v>
      </c>
      <c r="O39" s="11"/>
      <c r="P39" s="2">
        <v>16594.79</v>
      </c>
      <c r="Q39" s="2"/>
      <c r="R39" s="21">
        <f t="shared" si="8"/>
        <v>3.825660100126365E-2</v>
      </c>
      <c r="S39" s="2"/>
      <c r="T39" s="2"/>
      <c r="U39" s="2"/>
      <c r="V39" s="21">
        <f t="shared" si="9"/>
        <v>0</v>
      </c>
      <c r="W39" s="2"/>
      <c r="X39" s="2">
        <f t="shared" si="10"/>
        <v>16594.79</v>
      </c>
      <c r="Y39" s="2"/>
      <c r="Z39" s="21">
        <f t="shared" si="11"/>
        <v>0</v>
      </c>
    </row>
    <row r="40" spans="1:26" s="24" customFormat="1" hidden="1" outlineLevel="1" x14ac:dyDescent="0.25">
      <c r="A40" s="46"/>
      <c r="B40" s="11" t="str">
        <f>CONCATENATE("          ", "5045", " - ", "PURCHASES @ COST-SPECIAL ORDER")</f>
        <v xml:space="preserve">          5045 - PURCHASES @ COST-SPECIAL ORDER</v>
      </c>
      <c r="C40" s="11"/>
      <c r="D40" s="2">
        <v>3898.78</v>
      </c>
      <c r="E40" s="2"/>
      <c r="F40" s="21">
        <f t="shared" si="4"/>
        <v>1.5402240818675889E-2</v>
      </c>
      <c r="G40" s="2"/>
      <c r="H40" s="2"/>
      <c r="I40" s="2"/>
      <c r="J40" s="21">
        <f t="shared" si="5"/>
        <v>0</v>
      </c>
      <c r="K40" s="2"/>
      <c r="L40" s="2">
        <f t="shared" si="6"/>
        <v>3898.78</v>
      </c>
      <c r="M40" s="2"/>
      <c r="N40" s="21">
        <f t="shared" si="7"/>
        <v>0</v>
      </c>
      <c r="O40" s="11"/>
      <c r="P40" s="2">
        <v>19846.63</v>
      </c>
      <c r="Q40" s="2"/>
      <c r="R40" s="21">
        <f t="shared" si="8"/>
        <v>4.5753191521538339E-2</v>
      </c>
      <c r="S40" s="2"/>
      <c r="T40" s="2"/>
      <c r="U40" s="2"/>
      <c r="V40" s="21">
        <f t="shared" si="9"/>
        <v>0</v>
      </c>
      <c r="W40" s="2"/>
      <c r="X40" s="2">
        <f t="shared" si="10"/>
        <v>19846.63</v>
      </c>
      <c r="Y40" s="2"/>
      <c r="Z40" s="21">
        <f t="shared" si="11"/>
        <v>0</v>
      </c>
    </row>
    <row r="41" spans="1:26" s="24" customFormat="1" hidden="1" outlineLevel="1" x14ac:dyDescent="0.25">
      <c r="A41" s="46"/>
      <c r="B41" s="11" t="str">
        <f>CONCATENATE("          ", "5200", " - ", "PURCHASES OFFSET")</f>
        <v xml:space="preserve">          5200 - PURCHASES OFFSET</v>
      </c>
      <c r="C41" s="11"/>
      <c r="D41" s="2">
        <v>-117616</v>
      </c>
      <c r="E41" s="2"/>
      <c r="F41" s="21">
        <f t="shared" si="4"/>
        <v>-0.46464533934445734</v>
      </c>
      <c r="G41" s="2"/>
      <c r="H41" s="2"/>
      <c r="I41" s="2"/>
      <c r="J41" s="21">
        <f t="shared" si="5"/>
        <v>0</v>
      </c>
      <c r="K41" s="2"/>
      <c r="L41" s="2">
        <f t="shared" si="6"/>
        <v>-117616</v>
      </c>
      <c r="M41" s="2"/>
      <c r="N41" s="21">
        <f t="shared" si="7"/>
        <v>0</v>
      </c>
      <c r="O41" s="11"/>
      <c r="P41" s="2">
        <v>-205588</v>
      </c>
      <c r="Q41" s="2"/>
      <c r="R41" s="21">
        <f t="shared" si="8"/>
        <v>-0.47394984128439055</v>
      </c>
      <c r="S41" s="2"/>
      <c r="T41" s="2"/>
      <c r="U41" s="2"/>
      <c r="V41" s="21">
        <f t="shared" si="9"/>
        <v>0</v>
      </c>
      <c r="W41" s="2"/>
      <c r="X41" s="2">
        <f t="shared" si="10"/>
        <v>-205588</v>
      </c>
      <c r="Y41" s="2"/>
      <c r="Z41" s="21">
        <f t="shared" si="11"/>
        <v>0</v>
      </c>
    </row>
    <row r="42" spans="1:26" s="24" customFormat="1" hidden="1" outlineLevel="1" x14ac:dyDescent="0.25">
      <c r="A42" s="46"/>
      <c r="B42" s="11" t="str">
        <f>CONCATENATE("          ", "5300", " - ", "COG$ OFFSET")</f>
        <v xml:space="preserve">          5300 - COG$ OFFSET</v>
      </c>
      <c r="C42" s="11"/>
      <c r="D42" s="2">
        <v>115678</v>
      </c>
      <c r="E42" s="2"/>
      <c r="F42" s="21">
        <f t="shared" si="4"/>
        <v>0.45698921545272864</v>
      </c>
      <c r="G42" s="2"/>
      <c r="H42" s="2"/>
      <c r="I42" s="2"/>
      <c r="J42" s="21">
        <f t="shared" si="5"/>
        <v>0</v>
      </c>
      <c r="K42" s="2"/>
      <c r="L42" s="2">
        <f t="shared" si="6"/>
        <v>115678</v>
      </c>
      <c r="M42" s="2"/>
      <c r="N42" s="21">
        <f t="shared" si="7"/>
        <v>0</v>
      </c>
      <c r="O42" s="11"/>
      <c r="P42" s="2">
        <v>201525</v>
      </c>
      <c r="Q42" s="2"/>
      <c r="R42" s="21">
        <f t="shared" si="8"/>
        <v>0.46458325274255696</v>
      </c>
      <c r="S42" s="2"/>
      <c r="T42" s="2"/>
      <c r="U42" s="2"/>
      <c r="V42" s="21">
        <f t="shared" si="9"/>
        <v>0</v>
      </c>
      <c r="W42" s="2"/>
      <c r="X42" s="2">
        <f t="shared" si="10"/>
        <v>201525</v>
      </c>
      <c r="Y42" s="2"/>
      <c r="Z42" s="21">
        <f t="shared" si="11"/>
        <v>0</v>
      </c>
    </row>
    <row r="43" spans="1:26" s="24" customFormat="1" hidden="1" outlineLevel="1" x14ac:dyDescent="0.25">
      <c r="A43" s="46"/>
      <c r="B43" s="11" t="str">
        <f>CONCATENATE("          ", "5540", " - ", "FREIGHT-IN-LOGO CLOTHING")</f>
        <v xml:space="preserve">          5540 - FREIGHT-IN-LOGO CLOTHING</v>
      </c>
      <c r="C43" s="11"/>
      <c r="D43" s="2">
        <v>1936.72</v>
      </c>
      <c r="E43" s="2"/>
      <c r="F43" s="21">
        <f t="shared" si="4"/>
        <v>7.6510672154740632E-3</v>
      </c>
      <c r="G43" s="2"/>
      <c r="H43" s="2"/>
      <c r="I43" s="2"/>
      <c r="J43" s="21">
        <f t="shared" si="5"/>
        <v>0</v>
      </c>
      <c r="K43" s="2"/>
      <c r="L43" s="2">
        <f t="shared" si="6"/>
        <v>1936.72</v>
      </c>
      <c r="M43" s="2"/>
      <c r="N43" s="21">
        <f t="shared" si="7"/>
        <v>0</v>
      </c>
      <c r="O43" s="11"/>
      <c r="P43" s="2">
        <v>2331.94</v>
      </c>
      <c r="Q43" s="2"/>
      <c r="R43" s="21">
        <f t="shared" si="8"/>
        <v>5.3759100379629247E-3</v>
      </c>
      <c r="S43" s="2"/>
      <c r="T43" s="2"/>
      <c r="U43" s="2"/>
      <c r="V43" s="21">
        <f t="shared" si="9"/>
        <v>0</v>
      </c>
      <c r="W43" s="2"/>
      <c r="X43" s="2">
        <f t="shared" si="10"/>
        <v>2331.94</v>
      </c>
      <c r="Y43" s="2"/>
      <c r="Z43" s="21">
        <f t="shared" si="11"/>
        <v>0</v>
      </c>
    </row>
    <row r="44" spans="1:26" s="24" customFormat="1" hidden="1" outlineLevel="1" x14ac:dyDescent="0.25">
      <c r="A44" s="46"/>
      <c r="B44" s="11" t="str">
        <f>CONCATENATE("          ", "5541", " - ", "FREIGHT-IN-LOGO GIFTS")</f>
        <v xml:space="preserve">          5541 - FREIGHT-IN-LOGO GIFTS</v>
      </c>
      <c r="C44" s="11"/>
      <c r="D44" s="2">
        <v>405.92</v>
      </c>
      <c r="E44" s="2"/>
      <c r="F44" s="21">
        <f t="shared" si="4"/>
        <v>1.6035984572396794E-3</v>
      </c>
      <c r="G44" s="2"/>
      <c r="H44" s="2"/>
      <c r="I44" s="2"/>
      <c r="J44" s="21">
        <f t="shared" si="5"/>
        <v>0</v>
      </c>
      <c r="K44" s="2"/>
      <c r="L44" s="2">
        <f t="shared" si="6"/>
        <v>405.92</v>
      </c>
      <c r="M44" s="2"/>
      <c r="N44" s="21">
        <f t="shared" si="7"/>
        <v>0</v>
      </c>
      <c r="O44" s="11"/>
      <c r="P44" s="2">
        <v>720.41</v>
      </c>
      <c r="Q44" s="2"/>
      <c r="R44" s="21">
        <f t="shared" si="8"/>
        <v>1.6607885925233369E-3</v>
      </c>
      <c r="S44" s="2"/>
      <c r="T44" s="2"/>
      <c r="U44" s="2"/>
      <c r="V44" s="21">
        <f t="shared" si="9"/>
        <v>0</v>
      </c>
      <c r="W44" s="2"/>
      <c r="X44" s="2">
        <f t="shared" si="10"/>
        <v>720.41</v>
      </c>
      <c r="Y44" s="2"/>
      <c r="Z44" s="21">
        <f t="shared" si="11"/>
        <v>0</v>
      </c>
    </row>
    <row r="45" spans="1:26" s="24" customFormat="1" hidden="1" outlineLevel="1" x14ac:dyDescent="0.25">
      <c r="A45" s="46"/>
      <c r="B45" s="11" t="str">
        <f>CONCATENATE("          ", "5542", " - ", "FREIGHT-IN-EVERYDAY GIFTS")</f>
        <v xml:space="preserve">          5542 - FREIGHT-IN-EVERYDAY GIFTS</v>
      </c>
      <c r="C45" s="11"/>
      <c r="D45" s="2">
        <v>83.05</v>
      </c>
      <c r="E45" s="2"/>
      <c r="F45" s="21">
        <f t="shared" si="4"/>
        <v>3.2809137730034328E-4</v>
      </c>
      <c r="G45" s="2"/>
      <c r="H45" s="2"/>
      <c r="I45" s="2"/>
      <c r="J45" s="21">
        <f t="shared" si="5"/>
        <v>0</v>
      </c>
      <c r="K45" s="2"/>
      <c r="L45" s="2">
        <f t="shared" si="6"/>
        <v>83.05</v>
      </c>
      <c r="M45" s="2"/>
      <c r="N45" s="21">
        <f t="shared" si="7"/>
        <v>0</v>
      </c>
      <c r="O45" s="11"/>
      <c r="P45" s="2">
        <v>112.77</v>
      </c>
      <c r="Q45" s="2"/>
      <c r="R45" s="21">
        <f t="shared" si="8"/>
        <v>2.5997297313870809E-4</v>
      </c>
      <c r="S45" s="2"/>
      <c r="T45" s="2"/>
      <c r="U45" s="2"/>
      <c r="V45" s="21">
        <f t="shared" si="9"/>
        <v>0</v>
      </c>
      <c r="W45" s="2"/>
      <c r="X45" s="2">
        <f t="shared" si="10"/>
        <v>112.77</v>
      </c>
      <c r="Y45" s="2"/>
      <c r="Z45" s="21">
        <f t="shared" si="11"/>
        <v>0</v>
      </c>
    </row>
    <row r="46" spans="1:26" s="24" customFormat="1" hidden="1" outlineLevel="1" x14ac:dyDescent="0.25">
      <c r="A46" s="46"/>
      <c r="B46" s="11" t="str">
        <f>CONCATENATE("          ", "5543", " - ", "FREIGHT-IN-CARDS")</f>
        <v xml:space="preserve">          5543 - FREIGHT-IN-CARDS</v>
      </c>
      <c r="C46" s="11"/>
      <c r="D46" s="2">
        <v>4.58</v>
      </c>
      <c r="E46" s="2"/>
      <c r="F46" s="21">
        <f t="shared" si="4"/>
        <v>1.8093419723486725E-5</v>
      </c>
      <c r="G46" s="2"/>
      <c r="H46" s="2"/>
      <c r="I46" s="2"/>
      <c r="J46" s="21">
        <f t="shared" si="5"/>
        <v>0</v>
      </c>
      <c r="K46" s="2"/>
      <c r="L46" s="2">
        <f t="shared" si="6"/>
        <v>4.58</v>
      </c>
      <c r="M46" s="2"/>
      <c r="N46" s="21">
        <f t="shared" si="7"/>
        <v>0</v>
      </c>
      <c r="O46" s="11"/>
      <c r="P46" s="2">
        <v>4.58</v>
      </c>
      <c r="Q46" s="2"/>
      <c r="R46" s="21">
        <f t="shared" si="8"/>
        <v>1.0558448319369363E-5</v>
      </c>
      <c r="S46" s="2"/>
      <c r="T46" s="2"/>
      <c r="U46" s="2"/>
      <c r="V46" s="21">
        <f t="shared" si="9"/>
        <v>0</v>
      </c>
      <c r="W46" s="2"/>
      <c r="X46" s="2">
        <f t="shared" si="10"/>
        <v>4.58</v>
      </c>
      <c r="Y46" s="2"/>
      <c r="Z46" s="21">
        <f t="shared" si="11"/>
        <v>0</v>
      </c>
    </row>
    <row r="47" spans="1:26" s="24" customFormat="1" hidden="1" outlineLevel="1" x14ac:dyDescent="0.25">
      <c r="A47" s="46"/>
      <c r="B47" s="11" t="str">
        <f>CONCATENATE("          ", "5544", " - ", "FREIGHT-IN-ACCESSORIES")</f>
        <v xml:space="preserve">          5544 - FREIGHT-IN-ACCESSORIES</v>
      </c>
      <c r="C47" s="11"/>
      <c r="D47" s="2">
        <v>84.93</v>
      </c>
      <c r="E47" s="2"/>
      <c r="F47" s="21">
        <f t="shared" si="4"/>
        <v>3.3551837054928552E-4</v>
      </c>
      <c r="G47" s="2"/>
      <c r="H47" s="2"/>
      <c r="I47" s="2"/>
      <c r="J47" s="21">
        <f t="shared" si="5"/>
        <v>0</v>
      </c>
      <c r="K47" s="2"/>
      <c r="L47" s="2">
        <f t="shared" si="6"/>
        <v>84.93</v>
      </c>
      <c r="M47" s="2"/>
      <c r="N47" s="21">
        <f t="shared" si="7"/>
        <v>0</v>
      </c>
      <c r="O47" s="11"/>
      <c r="P47" s="2">
        <v>101.66</v>
      </c>
      <c r="Q47" s="2"/>
      <c r="R47" s="21">
        <f t="shared" si="8"/>
        <v>2.3436066728102389E-4</v>
      </c>
      <c r="S47" s="2"/>
      <c r="T47" s="2"/>
      <c r="U47" s="2"/>
      <c r="V47" s="21">
        <f t="shared" si="9"/>
        <v>0</v>
      </c>
      <c r="W47" s="2"/>
      <c r="X47" s="2">
        <f t="shared" si="10"/>
        <v>101.66</v>
      </c>
      <c r="Y47" s="2"/>
      <c r="Z47" s="21">
        <f t="shared" si="11"/>
        <v>0</v>
      </c>
    </row>
    <row r="48" spans="1:26" s="24" customFormat="1" hidden="1" outlineLevel="1" x14ac:dyDescent="0.25">
      <c r="A48" s="46"/>
      <c r="B48" s="11" t="str">
        <f>CONCATENATE("          ", "5545", " - ", "FREIGHT-IN-SPECIAL ORDERS")</f>
        <v xml:space="preserve">          5545 - FREIGHT-IN-SPECIAL ORDERS</v>
      </c>
      <c r="C48" s="11"/>
      <c r="D48" s="2">
        <v>8.8699999999999992</v>
      </c>
      <c r="E48" s="2"/>
      <c r="F48" s="21">
        <f t="shared" si="4"/>
        <v>3.5041186233040882E-5</v>
      </c>
      <c r="G48" s="2"/>
      <c r="H48" s="2"/>
      <c r="I48" s="2"/>
      <c r="J48" s="21">
        <f t="shared" si="5"/>
        <v>0</v>
      </c>
      <c r="K48" s="2"/>
      <c r="L48" s="2">
        <f t="shared" si="6"/>
        <v>8.8699999999999992</v>
      </c>
      <c r="M48" s="2"/>
      <c r="N48" s="21">
        <f t="shared" si="7"/>
        <v>0</v>
      </c>
      <c r="O48" s="11"/>
      <c r="P48" s="2">
        <v>235.95</v>
      </c>
      <c r="Q48" s="2"/>
      <c r="R48" s="21">
        <f t="shared" si="8"/>
        <v>5.43944515492402E-4</v>
      </c>
      <c r="S48" s="2"/>
      <c r="T48" s="2"/>
      <c r="U48" s="2"/>
      <c r="V48" s="21">
        <f t="shared" si="9"/>
        <v>0</v>
      </c>
      <c r="W48" s="2"/>
      <c r="X48" s="2">
        <f t="shared" si="10"/>
        <v>235.95</v>
      </c>
      <c r="Y48" s="2"/>
      <c r="Z48" s="21">
        <f t="shared" si="11"/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25">
      <c r="A50" s="10"/>
      <c r="B50" s="29" t="s">
        <v>6</v>
      </c>
      <c r="C50" s="29"/>
      <c r="D50" s="22">
        <f>D12-D33</f>
        <v>137454.19999999995</v>
      </c>
      <c r="E50" s="14"/>
      <c r="F50" s="20">
        <f>IF(D$12=0,0,D50/D$12)</f>
        <v>0.54301671033975718</v>
      </c>
      <c r="G50" s="14"/>
      <c r="H50" s="22">
        <f>H12-H33</f>
        <v>133626</v>
      </c>
      <c r="I50" s="14"/>
      <c r="J50" s="20">
        <f>IF(H$12=0,0,H50/H$12)</f>
        <v>0.53494693606306021</v>
      </c>
      <c r="K50" s="15"/>
      <c r="L50" s="22">
        <f>+D50-H50</f>
        <v>3828.1999999999534</v>
      </c>
      <c r="M50" s="15"/>
      <c r="N50" s="20">
        <f>IF(H50=0,0,L50/H50)</f>
        <v>2.8648616287249139E-2</v>
      </c>
      <c r="O50" s="28"/>
      <c r="P50" s="22">
        <f>P12-P33</f>
        <v>232252.57999999996</v>
      </c>
      <c r="Q50" s="14"/>
      <c r="R50" s="20">
        <f>IF(P$12=0,0,P50/P$12)</f>
        <v>0.53542071243890788</v>
      </c>
      <c r="S50" s="14"/>
      <c r="T50" s="22">
        <f>T12-T33</f>
        <v>222556</v>
      </c>
      <c r="U50" s="14"/>
      <c r="V50" s="20">
        <f>IF(T$12=0,0,T50/T$12)</f>
        <v>0.52635363009843295</v>
      </c>
      <c r="W50" s="15"/>
      <c r="X50" s="22">
        <f>+P50-T50</f>
        <v>9696.5799999999581</v>
      </c>
      <c r="Y50" s="15"/>
      <c r="Z50" s="20">
        <f>IF(T50=0,0,X50/T50)</f>
        <v>4.3569169107999593E-2</v>
      </c>
    </row>
    <row r="51" spans="1:26" x14ac:dyDescent="0.25">
      <c r="A51" s="9"/>
      <c r="B51" s="10"/>
      <c r="C51" s="9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6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x14ac:dyDescent="0.25">
      <c r="A52" s="10"/>
      <c r="B52" s="28" t="s">
        <v>9</v>
      </c>
      <c r="C52" s="10"/>
      <c r="D52" s="19">
        <f>SUM(OSRRefD22x_0)</f>
        <v>50269.74</v>
      </c>
      <c r="E52" s="19"/>
      <c r="F52" s="34">
        <f t="shared" ref="F52:F62" si="12">IF(D$12=0,0,D52/D$12)</f>
        <v>0.19859203170536013</v>
      </c>
      <c r="G52" s="19"/>
      <c r="H52" s="19">
        <f>SUM(OSRRefH22x_0)</f>
        <v>53997.505176244231</v>
      </c>
      <c r="I52" s="19"/>
      <c r="J52" s="34">
        <f t="shared" ref="J52:J62" si="13">IF(H$12=0,0,H52/H$12)</f>
        <v>0.21616900864413427</v>
      </c>
      <c r="K52" s="4"/>
      <c r="L52" s="19">
        <f t="shared" ref="L52:L62" si="14">+D52-H52</f>
        <v>-3727.7651762442329</v>
      </c>
      <c r="M52" s="4"/>
      <c r="N52" s="34">
        <f t="shared" ref="N52:N62" si="15">IF(H52=0,0,L52/H52)</f>
        <v>-6.9035877936898332E-2</v>
      </c>
      <c r="O52" s="10"/>
      <c r="P52" s="19">
        <f>SUM(OSRRefP22x_0)</f>
        <v>107002.96000000002</v>
      </c>
      <c r="Q52" s="19"/>
      <c r="R52" s="34">
        <f t="shared" ref="R52:R62" si="16">IF(P$12=0,0,P52/P$12)</f>
        <v>0.24667799632741211</v>
      </c>
      <c r="S52" s="19"/>
      <c r="T52" s="19">
        <f>SUM(OSRRefT22x_0)</f>
        <v>108689.66470654952</v>
      </c>
      <c r="U52" s="19"/>
      <c r="V52" s="34">
        <f t="shared" ref="V52:V62" si="17">IF(T$12=0,0,T52/T$12)</f>
        <v>0.25705530101400936</v>
      </c>
      <c r="W52" s="4"/>
      <c r="X52" s="19">
        <f t="shared" ref="X52:X62" si="18">+P52-T52</f>
        <v>-1686.704706549499</v>
      </c>
      <c r="Y52" s="4"/>
      <c r="Z52" s="34">
        <f t="shared" ref="Z52:Z62" si="19">IF(T52=0,0,X52/T52)</f>
        <v>-1.5518538134268988E-2</v>
      </c>
    </row>
    <row r="53" spans="1:26" s="26" customFormat="1" outlineLevel="1" collapsed="1" x14ac:dyDescent="0.25">
      <c r="A53" s="25"/>
      <c r="B53" s="13" t="str">
        <f>CONCATENATE("     ","*Benefits                                         ")</f>
        <v xml:space="preserve">     *Benefits                                         </v>
      </c>
      <c r="C53" s="13"/>
      <c r="D53" s="1">
        <f>SUM(OSRRefD22_0x_0)</f>
        <v>5904.8899999999994</v>
      </c>
      <c r="E53" s="1"/>
      <c r="F53" s="5">
        <f t="shared" si="12"/>
        <v>2.3327435194545745E-2</v>
      </c>
      <c r="G53" s="1"/>
      <c r="H53" s="1">
        <f>SUM(OSRRefH22_0x_0)</f>
        <v>5009.977320474999</v>
      </c>
      <c r="I53" s="1"/>
      <c r="J53" s="5">
        <f t="shared" si="13"/>
        <v>2.0056516077211928E-2</v>
      </c>
      <c r="K53" s="1"/>
      <c r="L53" s="1">
        <f t="shared" si="14"/>
        <v>894.91267952500039</v>
      </c>
      <c r="M53" s="1"/>
      <c r="N53" s="5">
        <f t="shared" si="15"/>
        <v>0.17862609394809659</v>
      </c>
      <c r="O53" s="13"/>
      <c r="P53" s="1">
        <f>SUM(OSRRefP22_0x_0)</f>
        <v>14523.439999999999</v>
      </c>
      <c r="Q53" s="1"/>
      <c r="R53" s="5">
        <f t="shared" si="16"/>
        <v>3.348143900861611E-2</v>
      </c>
      <c r="S53" s="1"/>
      <c r="T53" s="1">
        <f>SUM(OSRRefT22_0x_0)</f>
        <v>10383.227031068753</v>
      </c>
      <c r="U53" s="1"/>
      <c r="V53" s="5">
        <f t="shared" si="17"/>
        <v>2.4556737360211418E-2</v>
      </c>
      <c r="W53" s="1"/>
      <c r="X53" s="1">
        <f t="shared" si="18"/>
        <v>4140.212968931246</v>
      </c>
      <c r="Y53" s="1"/>
      <c r="Z53" s="5">
        <f t="shared" si="19"/>
        <v>0.39874048371887433</v>
      </c>
    </row>
    <row r="54" spans="1:26" s="24" customFormat="1" hidden="1" outlineLevel="2" x14ac:dyDescent="0.25">
      <c r="A54" s="27"/>
      <c r="B54" s="11" t="str">
        <f>CONCATENATE("          ", "6111", " - ", "F.I.C.A.")</f>
        <v xml:space="preserve">          6111 - F.I.C.A.</v>
      </c>
      <c r="C54" s="11"/>
      <c r="D54" s="6">
        <v>1775.23</v>
      </c>
      <c r="E54" s="2"/>
      <c r="F54" s="7">
        <f t="shared" si="12"/>
        <v>7.0130963964465803E-3</v>
      </c>
      <c r="G54" s="2"/>
      <c r="H54" s="6">
        <v>1586.6114092442301</v>
      </c>
      <c r="I54" s="2"/>
      <c r="J54" s="7">
        <f t="shared" si="13"/>
        <v>6.3517048485915543E-3</v>
      </c>
      <c r="K54" s="2"/>
      <c r="L54" s="6">
        <f t="shared" si="14"/>
        <v>188.6185907557699</v>
      </c>
      <c r="M54" s="2"/>
      <c r="N54" s="7">
        <f t="shared" si="15"/>
        <v>0.11888140325778754</v>
      </c>
      <c r="O54" s="11"/>
      <c r="P54" s="6">
        <v>3397.81</v>
      </c>
      <c r="Q54" s="2"/>
      <c r="R54" s="7">
        <f t="shared" si="16"/>
        <v>7.8331007170385179E-3</v>
      </c>
      <c r="S54" s="2"/>
      <c r="T54" s="6">
        <v>3272.3270307995199</v>
      </c>
      <c r="U54" s="2"/>
      <c r="V54" s="7">
        <f t="shared" si="17"/>
        <v>7.7391812017225054E-3</v>
      </c>
      <c r="W54" s="2"/>
      <c r="X54" s="6">
        <f t="shared" si="18"/>
        <v>125.48296920048006</v>
      </c>
      <c r="Y54" s="2"/>
      <c r="Z54" s="7">
        <f t="shared" si="19"/>
        <v>3.8346708021362128E-2</v>
      </c>
    </row>
    <row r="55" spans="1:26" s="24" customFormat="1" hidden="1" outlineLevel="2" x14ac:dyDescent="0.25">
      <c r="A55" s="27"/>
      <c r="B55" s="11" t="str">
        <f>CONCATENATE("          ", "6112", " - ", "COMPENSATION INSURANCE")</f>
        <v xml:space="preserve">          6112 - COMPENSATION INSURANCE</v>
      </c>
      <c r="C55" s="11"/>
      <c r="D55" s="6">
        <v>525.63</v>
      </c>
      <c r="E55" s="2"/>
      <c r="F55" s="7">
        <f t="shared" si="12"/>
        <v>2.0765162028943945E-3</v>
      </c>
      <c r="G55" s="2"/>
      <c r="H55" s="6">
        <v>393.90587711538501</v>
      </c>
      <c r="I55" s="2"/>
      <c r="J55" s="7">
        <f t="shared" si="13"/>
        <v>1.5769292058439789E-3</v>
      </c>
      <c r="K55" s="2"/>
      <c r="L55" s="6">
        <f t="shared" si="14"/>
        <v>131.72412288461499</v>
      </c>
      <c r="M55" s="2"/>
      <c r="N55" s="7">
        <f t="shared" si="15"/>
        <v>0.33440507120443308</v>
      </c>
      <c r="O55" s="11"/>
      <c r="P55" s="6">
        <v>882.11</v>
      </c>
      <c r="Q55" s="2"/>
      <c r="R55" s="7">
        <f t="shared" si="16"/>
        <v>2.0335617569866614E-3</v>
      </c>
      <c r="S55" s="2"/>
      <c r="T55" s="6">
        <v>812.41622350961597</v>
      </c>
      <c r="U55" s="2"/>
      <c r="V55" s="7">
        <f t="shared" si="17"/>
        <v>1.9213960908497018E-3</v>
      </c>
      <c r="W55" s="2"/>
      <c r="X55" s="6">
        <f t="shared" si="18"/>
        <v>69.693776490384039</v>
      </c>
      <c r="Y55" s="2"/>
      <c r="Z55" s="7">
        <f t="shared" si="19"/>
        <v>8.5785801013806465E-2</v>
      </c>
    </row>
    <row r="56" spans="1:26" s="24" customFormat="1" hidden="1" outlineLevel="2" x14ac:dyDescent="0.25">
      <c r="A56" s="27"/>
      <c r="B56" s="11" t="str">
        <f>CONCATENATE("          ", "6113", " - ", "GROUP INSURANCE")</f>
        <v xml:space="preserve">          6113 - GROUP INSURANCE</v>
      </c>
      <c r="C56" s="11"/>
      <c r="D56" s="6">
        <v>1818.68</v>
      </c>
      <c r="E56" s="2"/>
      <c r="F56" s="7">
        <f t="shared" si="12"/>
        <v>7.1847468521202698E-3</v>
      </c>
      <c r="G56" s="2"/>
      <c r="H56" s="6">
        <v>1875.25</v>
      </c>
      <c r="I56" s="2"/>
      <c r="J56" s="7">
        <f t="shared" si="13"/>
        <v>7.5072159748271567E-3</v>
      </c>
      <c r="K56" s="2"/>
      <c r="L56" s="6">
        <f t="shared" si="14"/>
        <v>-56.569999999999936</v>
      </c>
      <c r="M56" s="2"/>
      <c r="N56" s="7">
        <f t="shared" si="15"/>
        <v>-3.0166644447406979E-2</v>
      </c>
      <c r="O56" s="11"/>
      <c r="P56" s="6">
        <v>4572.66</v>
      </c>
      <c r="Q56" s="2"/>
      <c r="R56" s="7">
        <f t="shared" si="16"/>
        <v>1.054152713800164E-2</v>
      </c>
      <c r="S56" s="2"/>
      <c r="T56" s="6">
        <v>3750.5</v>
      </c>
      <c r="U56" s="2"/>
      <c r="V56" s="7">
        <f t="shared" si="17"/>
        <v>8.8700789450033828E-3</v>
      </c>
      <c r="W56" s="2"/>
      <c r="X56" s="6">
        <f t="shared" si="18"/>
        <v>822.15999999999985</v>
      </c>
      <c r="Y56" s="2"/>
      <c r="Z56" s="7">
        <f t="shared" si="19"/>
        <v>0.21921343820823885</v>
      </c>
    </row>
    <row r="57" spans="1:26" s="24" customFormat="1" hidden="1" outlineLevel="2" x14ac:dyDescent="0.25">
      <c r="A57" s="27"/>
      <c r="B57" s="11" t="str">
        <f>CONCATENATE("          ", "6114", " - ", "STATE UNEMPLOYMENT INSURANCE")</f>
        <v xml:space="preserve">          6114 - STATE UNEMPLOYMENT INSURANCE</v>
      </c>
      <c r="C57" s="11"/>
      <c r="D57" s="6">
        <v>63.2</v>
      </c>
      <c r="E57" s="2"/>
      <c r="F57" s="7">
        <f t="shared" si="12"/>
        <v>2.4967339007082119E-4</v>
      </c>
      <c r="G57" s="2"/>
      <c r="H57" s="6">
        <v>53.9029095</v>
      </c>
      <c r="I57" s="2"/>
      <c r="J57" s="7">
        <f t="shared" si="13"/>
        <v>2.1579031237864952E-4</v>
      </c>
      <c r="K57" s="2"/>
      <c r="L57" s="6">
        <f t="shared" si="14"/>
        <v>9.297090500000003</v>
      </c>
      <c r="M57" s="2"/>
      <c r="N57" s="7">
        <f t="shared" si="15"/>
        <v>0.17247845406192783</v>
      </c>
      <c r="O57" s="11"/>
      <c r="P57" s="6">
        <v>111.98</v>
      </c>
      <c r="Q57" s="2"/>
      <c r="R57" s="7">
        <f t="shared" si="16"/>
        <v>2.5815175607051991E-4</v>
      </c>
      <c r="S57" s="2"/>
      <c r="T57" s="6">
        <v>111.172746375</v>
      </c>
      <c r="U57" s="2"/>
      <c r="V57" s="7">
        <f t="shared" si="17"/>
        <v>2.629278861162748E-4</v>
      </c>
      <c r="W57" s="2"/>
      <c r="X57" s="6">
        <f t="shared" si="18"/>
        <v>0.80725362500000131</v>
      </c>
      <c r="Y57" s="2"/>
      <c r="Z57" s="7">
        <f t="shared" si="19"/>
        <v>7.2612546808642365E-3</v>
      </c>
    </row>
    <row r="58" spans="1:26" s="24" customFormat="1" hidden="1" outlineLevel="2" x14ac:dyDescent="0.25">
      <c r="A58" s="27"/>
      <c r="B58" s="11" t="str">
        <f>CONCATENATE("          ", "6115", " - ", "P.E.R.S.")</f>
        <v xml:space="preserve">          6115 - P.E.R.S.</v>
      </c>
      <c r="C58" s="11"/>
      <c r="D58" s="6">
        <v>691.92</v>
      </c>
      <c r="E58" s="2"/>
      <c r="F58" s="7">
        <f t="shared" si="12"/>
        <v>2.7334495578766231E-3</v>
      </c>
      <c r="G58" s="2"/>
      <c r="H58" s="6">
        <v>609.49991115384591</v>
      </c>
      <c r="I58" s="2"/>
      <c r="J58" s="7">
        <f t="shared" si="13"/>
        <v>2.4400199811597839E-3</v>
      </c>
      <c r="K58" s="2"/>
      <c r="L58" s="6">
        <f t="shared" si="14"/>
        <v>82.420088846154044</v>
      </c>
      <c r="M58" s="2"/>
      <c r="N58" s="7">
        <f t="shared" si="15"/>
        <v>0.13522576023042293</v>
      </c>
      <c r="O58" s="11"/>
      <c r="P58" s="6">
        <v>1364.79</v>
      </c>
      <c r="Q58" s="2"/>
      <c r="R58" s="7">
        <f t="shared" si="16"/>
        <v>3.1463023322690202E-3</v>
      </c>
      <c r="S58" s="2"/>
      <c r="T58" s="6">
        <v>1371.3748000961541</v>
      </c>
      <c r="U58" s="2"/>
      <c r="V58" s="7">
        <f t="shared" si="17"/>
        <v>3.2433549500176292E-3</v>
      </c>
      <c r="W58" s="2"/>
      <c r="X58" s="6">
        <f t="shared" si="18"/>
        <v>-6.5848000961541402</v>
      </c>
      <c r="Y58" s="2"/>
      <c r="Z58" s="7">
        <f t="shared" si="19"/>
        <v>-4.8016049993717591E-3</v>
      </c>
    </row>
    <row r="59" spans="1:26" s="24" customFormat="1" hidden="1" outlineLevel="2" x14ac:dyDescent="0.25">
      <c r="A59" s="27"/>
      <c r="B59" s="11" t="str">
        <f>CONCATENATE("          ", "6116", " - ", "EDUCATIONAL BENEFITS")</f>
        <v xml:space="preserve">          6116 - EDUCATIONAL BENEFITS</v>
      </c>
      <c r="C59" s="11"/>
      <c r="D59" s="6"/>
      <c r="E59" s="2"/>
      <c r="F59" s="7">
        <f t="shared" si="12"/>
        <v>0</v>
      </c>
      <c r="G59" s="2"/>
      <c r="H59" s="6">
        <v>0</v>
      </c>
      <c r="I59" s="2"/>
      <c r="J59" s="7">
        <f t="shared" si="13"/>
        <v>0</v>
      </c>
      <c r="K59" s="2"/>
      <c r="L59" s="6">
        <f t="shared" si="14"/>
        <v>0</v>
      </c>
      <c r="M59" s="2"/>
      <c r="N59" s="7">
        <f t="shared" si="15"/>
        <v>0</v>
      </c>
      <c r="O59" s="11"/>
      <c r="P59" s="6"/>
      <c r="Q59" s="2"/>
      <c r="R59" s="7">
        <f t="shared" si="16"/>
        <v>0</v>
      </c>
      <c r="S59" s="2"/>
      <c r="T59" s="6">
        <v>0</v>
      </c>
      <c r="U59" s="2"/>
      <c r="V59" s="7">
        <f t="shared" si="17"/>
        <v>0</v>
      </c>
      <c r="W59" s="2"/>
      <c r="X59" s="6">
        <f t="shared" si="18"/>
        <v>0</v>
      </c>
      <c r="Y59" s="2"/>
      <c r="Z59" s="7">
        <f t="shared" si="19"/>
        <v>0</v>
      </c>
    </row>
    <row r="60" spans="1:26" s="24" customFormat="1" hidden="1" outlineLevel="2" x14ac:dyDescent="0.25">
      <c r="A60" s="27"/>
      <c r="B60" s="11" t="str">
        <f>CONCATENATE("          ", "6118", " - ", "VACATION")</f>
        <v xml:space="preserve">          6118 - VACATION</v>
      </c>
      <c r="C60" s="11"/>
      <c r="D60" s="6">
        <v>556.86</v>
      </c>
      <c r="E60" s="2"/>
      <c r="F60" s="7">
        <f t="shared" si="12"/>
        <v>2.1998912024499603E-3</v>
      </c>
      <c r="G60" s="2"/>
      <c r="H60" s="6">
        <v>212.616248076923</v>
      </c>
      <c r="I60" s="2"/>
      <c r="J60" s="7">
        <f t="shared" si="13"/>
        <v>8.5116976086969216E-4</v>
      </c>
      <c r="K60" s="2"/>
      <c r="L60" s="6">
        <f t="shared" si="14"/>
        <v>344.24375192307701</v>
      </c>
      <c r="M60" s="2"/>
      <c r="N60" s="7">
        <f t="shared" si="15"/>
        <v>1.6190848772692674</v>
      </c>
      <c r="O60" s="11"/>
      <c r="P60" s="6">
        <v>1519.01</v>
      </c>
      <c r="Q60" s="2"/>
      <c r="R60" s="7">
        <f t="shared" si="16"/>
        <v>3.5018315680360821E-3</v>
      </c>
      <c r="S60" s="2"/>
      <c r="T60" s="6">
        <v>478.38655817307699</v>
      </c>
      <c r="U60" s="2"/>
      <c r="V60" s="7">
        <f t="shared" si="17"/>
        <v>1.1314028895410334E-3</v>
      </c>
      <c r="W60" s="2"/>
      <c r="X60" s="6">
        <f t="shared" si="18"/>
        <v>1040.623441826923</v>
      </c>
      <c r="Y60" s="2"/>
      <c r="Z60" s="7">
        <f t="shared" si="19"/>
        <v>2.1752773443321387</v>
      </c>
    </row>
    <row r="61" spans="1:26" s="24" customFormat="1" hidden="1" outlineLevel="2" x14ac:dyDescent="0.25">
      <c r="A61" s="27"/>
      <c r="B61" s="11" t="str">
        <f>CONCATENATE("          ", "6119", " - ", "SICK LEAVE")</f>
        <v xml:space="preserve">          6119 - SICK LEAVE</v>
      </c>
      <c r="C61" s="11"/>
      <c r="D61" s="6">
        <v>326.89</v>
      </c>
      <c r="E61" s="2"/>
      <c r="F61" s="7">
        <f t="shared" si="12"/>
        <v>1.2913882038014357E-3</v>
      </c>
      <c r="G61" s="2"/>
      <c r="H61" s="6">
        <v>278.19096538461503</v>
      </c>
      <c r="I61" s="2"/>
      <c r="J61" s="7">
        <f t="shared" si="13"/>
        <v>1.1136859935411121E-3</v>
      </c>
      <c r="K61" s="2"/>
      <c r="L61" s="6">
        <f t="shared" si="14"/>
        <v>48.69903461538496</v>
      </c>
      <c r="M61" s="2"/>
      <c r="N61" s="7">
        <f t="shared" si="15"/>
        <v>0.17505613292673161</v>
      </c>
      <c r="O61" s="11"/>
      <c r="P61" s="6">
        <v>2380.5</v>
      </c>
      <c r="Q61" s="2"/>
      <c r="R61" s="7">
        <f t="shared" si="16"/>
        <v>5.4878572542049718E-3</v>
      </c>
      <c r="S61" s="2"/>
      <c r="T61" s="6">
        <v>587.04967211538406</v>
      </c>
      <c r="U61" s="2"/>
      <c r="V61" s="7">
        <f t="shared" si="17"/>
        <v>1.3883953969608871E-3</v>
      </c>
      <c r="W61" s="2"/>
      <c r="X61" s="6">
        <f t="shared" si="18"/>
        <v>1793.4503278846159</v>
      </c>
      <c r="Y61" s="2"/>
      <c r="Z61" s="7">
        <f t="shared" si="19"/>
        <v>3.0550231318962648</v>
      </c>
    </row>
    <row r="62" spans="1:26" s="24" customFormat="1" hidden="1" outlineLevel="2" x14ac:dyDescent="0.25">
      <c r="A62" s="27"/>
      <c r="B62" s="11" t="str">
        <f>CONCATENATE("          ", "6156", " - ", "EMPLOYEE MEALS")</f>
        <v xml:space="preserve">          6156 - EMPLOYEE MEALS</v>
      </c>
      <c r="C62" s="11"/>
      <c r="D62" s="6">
        <v>146.47999999999999</v>
      </c>
      <c r="E62" s="2"/>
      <c r="F62" s="7">
        <f t="shared" si="12"/>
        <v>5.7867338888566264E-4</v>
      </c>
      <c r="G62" s="2"/>
      <c r="H62" s="6"/>
      <c r="I62" s="2"/>
      <c r="J62" s="7">
        <f t="shared" si="13"/>
        <v>0</v>
      </c>
      <c r="K62" s="2"/>
      <c r="L62" s="6">
        <f t="shared" si="14"/>
        <v>146.47999999999999</v>
      </c>
      <c r="M62" s="2"/>
      <c r="N62" s="7">
        <f t="shared" si="15"/>
        <v>0</v>
      </c>
      <c r="O62" s="11"/>
      <c r="P62" s="6">
        <v>294.58</v>
      </c>
      <c r="Q62" s="2"/>
      <c r="R62" s="7">
        <f t="shared" si="16"/>
        <v>6.7910648600869581E-4</v>
      </c>
      <c r="S62" s="2"/>
      <c r="T62" s="6"/>
      <c r="U62" s="2"/>
      <c r="V62" s="7">
        <f t="shared" si="17"/>
        <v>0</v>
      </c>
      <c r="W62" s="2"/>
      <c r="X62" s="6">
        <f t="shared" si="18"/>
        <v>294.58</v>
      </c>
      <c r="Y62" s="2"/>
      <c r="Z62" s="7">
        <f t="shared" si="19"/>
        <v>0</v>
      </c>
    </row>
    <row r="63" spans="1:26" s="26" customFormat="1" outlineLevel="1" collapsed="1" x14ac:dyDescent="0.25">
      <c r="A63" s="25"/>
      <c r="B63" s="13" t="str">
        <f>CONCATENATE("     ","*Payroll                                          ")</f>
        <v xml:space="preserve">     *Payroll                                          </v>
      </c>
      <c r="C63" s="13"/>
      <c r="D63" s="1">
        <f>SUM(OSRRefD22_1x_0)</f>
        <v>23952.43</v>
      </c>
      <c r="E63" s="1"/>
      <c r="F63" s="5">
        <f t="shared" ref="F63:F73" si="20">IF(D$12=0,0,D63/D$12)</f>
        <v>9.4624753141361373E-2</v>
      </c>
      <c r="G63" s="1"/>
      <c r="H63" s="1">
        <f>SUM(OSRRefH22_1x_0)</f>
        <v>20377.527855769229</v>
      </c>
      <c r="I63" s="1"/>
      <c r="J63" s="5">
        <f t="shared" ref="J63:J73" si="21">IF(H$12=0,0,H63/H$12)</f>
        <v>8.157765772367212E-2</v>
      </c>
      <c r="K63" s="1"/>
      <c r="L63" s="1">
        <f t="shared" ref="L63:L73" si="22">+D63-H63</f>
        <v>3574.9021442307712</v>
      </c>
      <c r="M63" s="1"/>
      <c r="N63" s="5">
        <f t="shared" ref="N63:N73" si="23">IF(H63=0,0,L63/H63)</f>
        <v>0.1754335545279922</v>
      </c>
      <c r="O63" s="13"/>
      <c r="P63" s="1">
        <f>SUM(OSRRefP22_1x_0)</f>
        <v>49132.070000000007</v>
      </c>
      <c r="Q63" s="1"/>
      <c r="R63" s="5">
        <f t="shared" ref="R63:R73" si="24">IF(P$12=0,0,P63/P$12)</f>
        <v>0.11326603098660218</v>
      </c>
      <c r="S63" s="1"/>
      <c r="T63" s="1">
        <f>SUM(OSRRefT22_1x_0)</f>
        <v>41961.437675480767</v>
      </c>
      <c r="U63" s="1"/>
      <c r="V63" s="5">
        <f t="shared" ref="V63:V73" si="25">IF(T$12=0,0,T63/T$12)</f>
        <v>9.9240438562152672E-2</v>
      </c>
      <c r="W63" s="1"/>
      <c r="X63" s="1">
        <f t="shared" ref="X63:X73" si="26">+P63-T63</f>
        <v>7170.6323245192398</v>
      </c>
      <c r="Y63" s="1"/>
      <c r="Z63" s="5">
        <f t="shared" ref="Z63:Z73" si="27">IF(T63=0,0,X63/T63)</f>
        <v>0.17088624036133154</v>
      </c>
    </row>
    <row r="64" spans="1:26" s="24" customFormat="1" hidden="1" outlineLevel="2" x14ac:dyDescent="0.25">
      <c r="A64" s="27"/>
      <c r="B64" s="11" t="str">
        <f>CONCATENATE("          ", "6001", " - ", "ADMINISTRATIVE SALARIES")</f>
        <v xml:space="preserve">          6001 - ADMINISTRATIVE SALARIES</v>
      </c>
      <c r="C64" s="11"/>
      <c r="D64" s="6"/>
      <c r="E64" s="2"/>
      <c r="F64" s="7">
        <f t="shared" si="20"/>
        <v>0</v>
      </c>
      <c r="G64" s="2"/>
      <c r="H64" s="6">
        <v>0</v>
      </c>
      <c r="I64" s="2"/>
      <c r="J64" s="7">
        <f t="shared" si="21"/>
        <v>0</v>
      </c>
      <c r="K64" s="2"/>
      <c r="L64" s="6">
        <f t="shared" si="22"/>
        <v>0</v>
      </c>
      <c r="M64" s="2"/>
      <c r="N64" s="7">
        <f t="shared" si="23"/>
        <v>0</v>
      </c>
      <c r="O64" s="11"/>
      <c r="P64" s="6"/>
      <c r="Q64" s="2"/>
      <c r="R64" s="7">
        <f t="shared" si="24"/>
        <v>0</v>
      </c>
      <c r="S64" s="2"/>
      <c r="T64" s="6">
        <v>0</v>
      </c>
      <c r="U64" s="2"/>
      <c r="V64" s="7">
        <f t="shared" si="25"/>
        <v>0</v>
      </c>
      <c r="W64" s="2"/>
      <c r="X64" s="6">
        <f t="shared" si="26"/>
        <v>0</v>
      </c>
      <c r="Y64" s="2"/>
      <c r="Z64" s="7">
        <f t="shared" si="27"/>
        <v>0</v>
      </c>
    </row>
    <row r="65" spans="1:26" s="24" customFormat="1" hidden="1" outlineLevel="2" x14ac:dyDescent="0.25">
      <c r="A65" s="27"/>
      <c r="B65" s="11" t="str">
        <f>CONCATENATE("          ", "6002", " - ", "STAFF SALARIES")</f>
        <v xml:space="preserve">          6002 - STAFF SALARIES</v>
      </c>
      <c r="C65" s="11"/>
      <c r="D65" s="6">
        <v>6858.33</v>
      </c>
      <c r="E65" s="2"/>
      <c r="F65" s="7">
        <f t="shared" si="20"/>
        <v>2.7094026919690109E-2</v>
      </c>
      <c r="G65" s="2"/>
      <c r="H65" s="6">
        <v>6732.8478557692297</v>
      </c>
      <c r="I65" s="2"/>
      <c r="J65" s="7">
        <f t="shared" si="21"/>
        <v>2.6953709094206923E-2</v>
      </c>
      <c r="K65" s="2"/>
      <c r="L65" s="6">
        <f t="shared" si="22"/>
        <v>125.48214423077025</v>
      </c>
      <c r="M65" s="2"/>
      <c r="N65" s="7">
        <f t="shared" si="23"/>
        <v>1.8637305775927693E-2</v>
      </c>
      <c r="O65" s="11"/>
      <c r="P65" s="6">
        <v>15620.070000000002</v>
      </c>
      <c r="Q65" s="2"/>
      <c r="R65" s="7">
        <f t="shared" si="24"/>
        <v>3.6009541886447997E-2</v>
      </c>
      <c r="S65" s="2"/>
      <c r="T65" s="6">
        <v>15148.907675480768</v>
      </c>
      <c r="U65" s="2"/>
      <c r="V65" s="7">
        <f t="shared" si="25"/>
        <v>3.5827758168799385E-2</v>
      </c>
      <c r="W65" s="2"/>
      <c r="X65" s="6">
        <f t="shared" si="26"/>
        <v>471.16232451923315</v>
      </c>
      <c r="Y65" s="2"/>
      <c r="Z65" s="7">
        <f t="shared" si="27"/>
        <v>3.1102065879101758E-2</v>
      </c>
    </row>
    <row r="66" spans="1:26" s="24" customFormat="1" hidden="1" outlineLevel="2" x14ac:dyDescent="0.25">
      <c r="A66" s="27"/>
      <c r="B66" s="11" t="str">
        <f>CONCATENATE("          ", "6003", " - ", "STAFF HOURLY-9 MONTH")</f>
        <v xml:space="preserve">          6003 - STAFF HOURLY-9 MONTH</v>
      </c>
      <c r="C66" s="11"/>
      <c r="D66" s="6"/>
      <c r="E66" s="2"/>
      <c r="F66" s="7">
        <f t="shared" si="20"/>
        <v>0</v>
      </c>
      <c r="G66" s="2"/>
      <c r="H66" s="6">
        <v>0</v>
      </c>
      <c r="I66" s="2"/>
      <c r="J66" s="7">
        <f t="shared" si="21"/>
        <v>0</v>
      </c>
      <c r="K66" s="2"/>
      <c r="L66" s="6">
        <f t="shared" si="22"/>
        <v>0</v>
      </c>
      <c r="M66" s="2"/>
      <c r="N66" s="7">
        <f t="shared" si="23"/>
        <v>0</v>
      </c>
      <c r="O66" s="11"/>
      <c r="P66" s="6"/>
      <c r="Q66" s="2"/>
      <c r="R66" s="7">
        <f t="shared" si="24"/>
        <v>0</v>
      </c>
      <c r="S66" s="2"/>
      <c r="T66" s="6">
        <v>0</v>
      </c>
      <c r="U66" s="2"/>
      <c r="V66" s="7">
        <f t="shared" si="25"/>
        <v>0</v>
      </c>
      <c r="W66" s="2"/>
      <c r="X66" s="6">
        <f t="shared" si="26"/>
        <v>0</v>
      </c>
      <c r="Y66" s="2"/>
      <c r="Z66" s="7">
        <f t="shared" si="27"/>
        <v>0</v>
      </c>
    </row>
    <row r="67" spans="1:26" s="24" customFormat="1" hidden="1" outlineLevel="2" x14ac:dyDescent="0.25">
      <c r="A67" s="27"/>
      <c r="B67" s="11" t="str">
        <f>CONCATENATE("          ", "6004", " - ", "STAFF HOURLY")</f>
        <v xml:space="preserve">          6004 - STAFF HOURLY</v>
      </c>
      <c r="C67" s="11"/>
      <c r="D67" s="6"/>
      <c r="E67" s="2"/>
      <c r="F67" s="7">
        <f t="shared" si="20"/>
        <v>0</v>
      </c>
      <c r="G67" s="2"/>
      <c r="H67" s="6">
        <v>1911.68</v>
      </c>
      <c r="I67" s="2"/>
      <c r="J67" s="7">
        <f t="shared" si="21"/>
        <v>7.6530567309732464E-3</v>
      </c>
      <c r="K67" s="2"/>
      <c r="L67" s="6">
        <f t="shared" si="22"/>
        <v>-1911.68</v>
      </c>
      <c r="M67" s="2"/>
      <c r="N67" s="7">
        <f t="shared" si="23"/>
        <v>-1</v>
      </c>
      <c r="O67" s="11"/>
      <c r="P67" s="6"/>
      <c r="Q67" s="2"/>
      <c r="R67" s="7">
        <f t="shared" si="24"/>
        <v>0</v>
      </c>
      <c r="S67" s="2"/>
      <c r="T67" s="6">
        <v>4301.28</v>
      </c>
      <c r="U67" s="2"/>
      <c r="V67" s="7">
        <f t="shared" si="25"/>
        <v>1.0172695151196946E-2</v>
      </c>
      <c r="W67" s="2"/>
      <c r="X67" s="6">
        <f t="shared" si="26"/>
        <v>-4301.28</v>
      </c>
      <c r="Y67" s="2"/>
      <c r="Z67" s="7">
        <f t="shared" si="27"/>
        <v>-1</v>
      </c>
    </row>
    <row r="68" spans="1:26" s="24" customFormat="1" hidden="1" outlineLevel="2" x14ac:dyDescent="0.25">
      <c r="A68" s="27"/>
      <c r="B68" s="11" t="str">
        <f>CONCATENATE("          ", "6005", " - ", "TEMPORARY WAGES-HOURLY")</f>
        <v xml:space="preserve">          6005 - TEMPORARY WAGES-HOURLY</v>
      </c>
      <c r="C68" s="11"/>
      <c r="D68" s="6">
        <v>3471.22</v>
      </c>
      <c r="E68" s="2"/>
      <c r="F68" s="7">
        <f t="shared" si="20"/>
        <v>1.3713152928506896E-2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3471.22</v>
      </c>
      <c r="M68" s="2"/>
      <c r="N68" s="7">
        <f t="shared" si="23"/>
        <v>0</v>
      </c>
      <c r="O68" s="11"/>
      <c r="P68" s="6">
        <v>7664.59</v>
      </c>
      <c r="Q68" s="2"/>
      <c r="R68" s="7">
        <f t="shared" si="24"/>
        <v>1.766947104894219E-2</v>
      </c>
      <c r="S68" s="2"/>
      <c r="T68" s="6">
        <v>0</v>
      </c>
      <c r="U68" s="2"/>
      <c r="V68" s="7">
        <f t="shared" si="25"/>
        <v>0</v>
      </c>
      <c r="W68" s="2"/>
      <c r="X68" s="6">
        <f t="shared" si="26"/>
        <v>7664.59</v>
      </c>
      <c r="Y68" s="2"/>
      <c r="Z68" s="7">
        <f t="shared" si="27"/>
        <v>0</v>
      </c>
    </row>
    <row r="69" spans="1:26" s="24" customFormat="1" hidden="1" outlineLevel="2" x14ac:dyDescent="0.25">
      <c r="A69" s="27"/>
      <c r="B69" s="11" t="str">
        <f>CONCATENATE("          ", "6006", " - ", "TEMPORARY PART TIME")</f>
        <v xml:space="preserve">          6006 - TEMPORARY PART TIME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4" customFormat="1" hidden="1" outlineLevel="2" x14ac:dyDescent="0.25">
      <c r="A70" s="27"/>
      <c r="B70" s="11" t="str">
        <f>CONCATENATE("          ", "6007", " - ", "STUDENT HOURLY")</f>
        <v xml:space="preserve">          6007 - STUDENT HOURLY</v>
      </c>
      <c r="C70" s="11"/>
      <c r="D70" s="6">
        <v>13427.88</v>
      </c>
      <c r="E70" s="2"/>
      <c r="F70" s="7">
        <f t="shared" si="20"/>
        <v>5.3047220270002818E-2</v>
      </c>
      <c r="G70" s="2"/>
      <c r="H70" s="6">
        <v>11733</v>
      </c>
      <c r="I70" s="2"/>
      <c r="J70" s="7">
        <f t="shared" si="21"/>
        <v>4.6970891898491948E-2</v>
      </c>
      <c r="K70" s="2"/>
      <c r="L70" s="6">
        <f t="shared" si="22"/>
        <v>1694.8799999999992</v>
      </c>
      <c r="M70" s="2"/>
      <c r="N70" s="7">
        <f t="shared" si="23"/>
        <v>0.14445410380976725</v>
      </c>
      <c r="O70" s="11"/>
      <c r="P70" s="6">
        <v>25652.41</v>
      </c>
      <c r="Q70" s="2"/>
      <c r="R70" s="7">
        <f t="shared" si="24"/>
        <v>5.9137477129317433E-2</v>
      </c>
      <c r="S70" s="2"/>
      <c r="T70" s="6">
        <v>22511.25</v>
      </c>
      <c r="U70" s="2"/>
      <c r="V70" s="7">
        <f t="shared" si="25"/>
        <v>5.3239985242156347E-2</v>
      </c>
      <c r="W70" s="2"/>
      <c r="X70" s="6">
        <f t="shared" si="26"/>
        <v>3141.16</v>
      </c>
      <c r="Y70" s="2"/>
      <c r="Z70" s="7">
        <f t="shared" si="27"/>
        <v>0.13953734243989116</v>
      </c>
    </row>
    <row r="71" spans="1:26" s="24" customFormat="1" hidden="1" outlineLevel="2" x14ac:dyDescent="0.25">
      <c r="A71" s="27"/>
      <c r="B71" s="11" t="str">
        <f>CONCATENATE("          ", "6008", " - ", "STUDENT HOURLY-FICA EXEMPT")</f>
        <v xml:space="preserve">          6008 - STUDENT HOURLY-FICA EXEMPT</v>
      </c>
      <c r="C71" s="11"/>
      <c r="D71" s="6">
        <v>195</v>
      </c>
      <c r="E71" s="2"/>
      <c r="F71" s="7">
        <f t="shared" si="20"/>
        <v>7.7035302316155263E-4</v>
      </c>
      <c r="G71" s="2"/>
      <c r="H71" s="6">
        <v>0</v>
      </c>
      <c r="I71" s="2"/>
      <c r="J71" s="7">
        <f t="shared" si="21"/>
        <v>0</v>
      </c>
      <c r="K71" s="2"/>
      <c r="L71" s="6">
        <f t="shared" si="22"/>
        <v>195</v>
      </c>
      <c r="M71" s="2"/>
      <c r="N71" s="7">
        <f t="shared" si="23"/>
        <v>0</v>
      </c>
      <c r="O71" s="11"/>
      <c r="P71" s="6">
        <v>195</v>
      </c>
      <c r="Q71" s="2"/>
      <c r="R71" s="7">
        <f t="shared" si="24"/>
        <v>4.4954092189454715E-4</v>
      </c>
      <c r="S71" s="2"/>
      <c r="T71" s="6">
        <v>0</v>
      </c>
      <c r="U71" s="2"/>
      <c r="V71" s="7">
        <f t="shared" si="25"/>
        <v>0</v>
      </c>
      <c r="W71" s="2"/>
      <c r="X71" s="6">
        <f t="shared" si="26"/>
        <v>195</v>
      </c>
      <c r="Y71" s="2"/>
      <c r="Z71" s="7">
        <f t="shared" si="27"/>
        <v>0</v>
      </c>
    </row>
    <row r="72" spans="1:26" s="24" customFormat="1" hidden="1" outlineLevel="2" x14ac:dyDescent="0.25">
      <c r="A72" s="27"/>
      <c r="B72" s="11" t="str">
        <f>CONCATENATE("          ", "6009", " - ", "TEMPORARY-SEASONAL")</f>
        <v xml:space="preserve">          6009 - TEMPORARY-SEASONAL</v>
      </c>
      <c r="C72" s="11"/>
      <c r="D72" s="6"/>
      <c r="E72" s="2"/>
      <c r="F72" s="7">
        <f t="shared" si="20"/>
        <v>0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0</v>
      </c>
      <c r="M72" s="2"/>
      <c r="N72" s="7">
        <f t="shared" si="23"/>
        <v>0</v>
      </c>
      <c r="O72" s="11"/>
      <c r="P72" s="6"/>
      <c r="Q72" s="2"/>
      <c r="R72" s="7">
        <f t="shared" si="24"/>
        <v>0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0</v>
      </c>
      <c r="Y72" s="2"/>
      <c r="Z72" s="7">
        <f t="shared" si="27"/>
        <v>0</v>
      </c>
    </row>
    <row r="73" spans="1:26" s="24" customFormat="1" hidden="1" outlineLevel="2" x14ac:dyDescent="0.25">
      <c r="A73" s="27"/>
      <c r="B73" s="11" t="str">
        <f>CONCATENATE("          ", "6010", " - ", "GRATUITY")</f>
        <v xml:space="preserve">          6010 - GRATUITY</v>
      </c>
      <c r="C73" s="11"/>
      <c r="D73" s="6"/>
      <c r="E73" s="2"/>
      <c r="F73" s="7">
        <f t="shared" si="20"/>
        <v>0</v>
      </c>
      <c r="G73" s="2"/>
      <c r="H73" s="6">
        <v>0</v>
      </c>
      <c r="I73" s="2"/>
      <c r="J73" s="7">
        <f t="shared" si="21"/>
        <v>0</v>
      </c>
      <c r="K73" s="2"/>
      <c r="L73" s="6">
        <f t="shared" si="22"/>
        <v>0</v>
      </c>
      <c r="M73" s="2"/>
      <c r="N73" s="7">
        <f t="shared" si="23"/>
        <v>0</v>
      </c>
      <c r="O73" s="11"/>
      <c r="P73" s="6"/>
      <c r="Q73" s="2"/>
      <c r="R73" s="7">
        <f t="shared" si="24"/>
        <v>0</v>
      </c>
      <c r="S73" s="2"/>
      <c r="T73" s="6">
        <v>0</v>
      </c>
      <c r="U73" s="2"/>
      <c r="V73" s="7">
        <f t="shared" si="25"/>
        <v>0</v>
      </c>
      <c r="W73" s="2"/>
      <c r="X73" s="6">
        <f t="shared" si="26"/>
        <v>0</v>
      </c>
      <c r="Y73" s="2"/>
      <c r="Z73" s="7">
        <f t="shared" si="27"/>
        <v>0</v>
      </c>
    </row>
    <row r="74" spans="1:26" s="26" customFormat="1" outlineLevel="1" collapsed="1" x14ac:dyDescent="0.25">
      <c r="A74" s="25"/>
      <c r="B74" s="13" t="str">
        <f>CONCATENATE("     ","Advertising/Promo                                 ")</f>
        <v xml:space="preserve">     Advertising/Promo                                 </v>
      </c>
      <c r="C74" s="13"/>
      <c r="D74" s="1">
        <f>SUM(OSRRefD22_2x_0)</f>
        <v>2173.7800000000002</v>
      </c>
      <c r="E74" s="1"/>
      <c r="F74" s="5">
        <f t="shared" ref="F74:F93" si="28">IF(D$12=0,0,D74/D$12)</f>
        <v>8.5875794599390778E-3</v>
      </c>
      <c r="G74" s="1"/>
      <c r="H74" s="1">
        <f>SUM(OSRRefH22_2x_0)</f>
        <v>400</v>
      </c>
      <c r="I74" s="1"/>
      <c r="J74" s="5">
        <f t="shared" ref="J74:J93" si="29">IF(H$12=0,0,H74/H$12)</f>
        <v>1.6013258978434144E-3</v>
      </c>
      <c r="K74" s="1"/>
      <c r="L74" s="1">
        <f t="shared" ref="L74:L93" si="30">+D74-H74</f>
        <v>1773.7800000000002</v>
      </c>
      <c r="M74" s="1"/>
      <c r="N74" s="5">
        <f t="shared" ref="N74:N93" si="31">IF(H74=0,0,L74/H74)</f>
        <v>4.4344500000000009</v>
      </c>
      <c r="O74" s="13"/>
      <c r="P74" s="1">
        <f>SUM(OSRRefP22_2x_0)</f>
        <v>2365.7800000000002</v>
      </c>
      <c r="Q74" s="1"/>
      <c r="R74" s="5">
        <f t="shared" ref="R74:R93" si="32">IF(P$12=0,0,P74/P$12)</f>
        <v>5.4539226779470864E-3</v>
      </c>
      <c r="S74" s="1"/>
      <c r="T74" s="1">
        <f>SUM(OSRRefT22_2x_0)</f>
        <v>800</v>
      </c>
      <c r="U74" s="1"/>
      <c r="V74" s="5">
        <f t="shared" ref="V74:V93" si="33">IF(T$12=0,0,T74/T$12)</f>
        <v>1.8920312374357301E-3</v>
      </c>
      <c r="W74" s="1"/>
      <c r="X74" s="1">
        <f t="shared" ref="X74:X93" si="34">+P74-T74</f>
        <v>1565.7800000000002</v>
      </c>
      <c r="Y74" s="1"/>
      <c r="Z74" s="5">
        <f t="shared" ref="Z74:Z93" si="35">IF(T74=0,0,X74/T74)</f>
        <v>1.9572250000000002</v>
      </c>
    </row>
    <row r="75" spans="1:26" s="24" customFormat="1" hidden="1" outlineLevel="2" x14ac:dyDescent="0.25">
      <c r="A75" s="27"/>
      <c r="B75" s="11" t="str">
        <f>CONCATENATE("          ", "6362", " - ", "ADVERTISING EXPENSE")</f>
        <v xml:space="preserve">          6362 - ADVERTISING EXPENSE</v>
      </c>
      <c r="C75" s="11"/>
      <c r="D75" s="6">
        <v>2173.7800000000002</v>
      </c>
      <c r="E75" s="2"/>
      <c r="F75" s="7">
        <f t="shared" si="28"/>
        <v>8.5875794599390778E-3</v>
      </c>
      <c r="G75" s="2"/>
      <c r="H75" s="6">
        <v>400</v>
      </c>
      <c r="I75" s="2"/>
      <c r="J75" s="7">
        <f t="shared" si="29"/>
        <v>1.6013258978434144E-3</v>
      </c>
      <c r="K75" s="2"/>
      <c r="L75" s="6">
        <f t="shared" si="30"/>
        <v>1773.7800000000002</v>
      </c>
      <c r="M75" s="2"/>
      <c r="N75" s="7">
        <f t="shared" si="31"/>
        <v>4.4344500000000009</v>
      </c>
      <c r="O75" s="11"/>
      <c r="P75" s="6">
        <v>2365.7800000000002</v>
      </c>
      <c r="Q75" s="2"/>
      <c r="R75" s="7">
        <f t="shared" si="32"/>
        <v>5.4539226779470864E-3</v>
      </c>
      <c r="S75" s="2"/>
      <c r="T75" s="6">
        <v>800</v>
      </c>
      <c r="U75" s="2"/>
      <c r="V75" s="7">
        <f t="shared" si="33"/>
        <v>1.8920312374357301E-3</v>
      </c>
      <c r="W75" s="2"/>
      <c r="X75" s="6">
        <f t="shared" si="34"/>
        <v>1565.7800000000002</v>
      </c>
      <c r="Y75" s="2"/>
      <c r="Z75" s="7">
        <f t="shared" si="35"/>
        <v>1.9572250000000002</v>
      </c>
    </row>
    <row r="76" spans="1:26" s="26" customFormat="1" outlineLevel="1" collapsed="1" x14ac:dyDescent="0.25">
      <c r="A76" s="25"/>
      <c r="B76" s="13" t="str">
        <f>CONCATENATE("     ","Discounts and Markdowns                           ")</f>
        <v xml:space="preserve">     Discounts and Markdowns                           </v>
      </c>
      <c r="C76" s="13"/>
      <c r="D76" s="1">
        <f>SUM(OSRRefD22_3x_0)</f>
        <v>14457.36</v>
      </c>
      <c r="E76" s="1"/>
      <c r="F76" s="5">
        <f t="shared" si="28"/>
        <v>5.7114210168896951E-2</v>
      </c>
      <c r="G76" s="1"/>
      <c r="H76" s="1">
        <f>SUM(OSRRefH22_3x_0)</f>
        <v>17500</v>
      </c>
      <c r="I76" s="1"/>
      <c r="J76" s="5">
        <f t="shared" si="29"/>
        <v>7.0058008030649377E-2</v>
      </c>
      <c r="K76" s="1"/>
      <c r="L76" s="1">
        <f t="shared" si="30"/>
        <v>-3042.6399999999994</v>
      </c>
      <c r="M76" s="1"/>
      <c r="N76" s="5">
        <f t="shared" si="31"/>
        <v>-0.17386514285714283</v>
      </c>
      <c r="O76" s="13"/>
      <c r="P76" s="1">
        <f>SUM(OSRRefP22_3x_0)</f>
        <v>28295</v>
      </c>
      <c r="Q76" s="1"/>
      <c r="R76" s="5">
        <f t="shared" si="32"/>
        <v>6.5229540435929281E-2</v>
      </c>
      <c r="S76" s="1"/>
      <c r="T76" s="1">
        <f>SUM(OSRRefT22_3x_0)</f>
        <v>31000</v>
      </c>
      <c r="U76" s="1"/>
      <c r="V76" s="5">
        <f t="shared" si="33"/>
        <v>7.3316210450634536E-2</v>
      </c>
      <c r="W76" s="1"/>
      <c r="X76" s="1">
        <f t="shared" si="34"/>
        <v>-2705</v>
      </c>
      <c r="Y76" s="1"/>
      <c r="Z76" s="5">
        <f t="shared" si="35"/>
        <v>-8.7258064516129039E-2</v>
      </c>
    </row>
    <row r="77" spans="1:26" s="24" customFormat="1" hidden="1" outlineLevel="2" x14ac:dyDescent="0.25">
      <c r="A77" s="27"/>
      <c r="B77" s="11" t="str">
        <f>CONCATENATE("          ", "6382", " - ", "DISCOUNTS/MARK DOWNS")</f>
        <v xml:space="preserve">          6382 - DISCOUNTS/MARK DOWNS</v>
      </c>
      <c r="C77" s="11"/>
      <c r="D77" s="6">
        <v>14457.36</v>
      </c>
      <c r="E77" s="2"/>
      <c r="F77" s="7">
        <f t="shared" si="28"/>
        <v>5.7114210168896951E-2</v>
      </c>
      <c r="G77" s="2"/>
      <c r="H77" s="6">
        <v>17500</v>
      </c>
      <c r="I77" s="2"/>
      <c r="J77" s="7">
        <f t="shared" si="29"/>
        <v>7.0058008030649377E-2</v>
      </c>
      <c r="K77" s="2"/>
      <c r="L77" s="6">
        <f t="shared" si="30"/>
        <v>-3042.6399999999994</v>
      </c>
      <c r="M77" s="2"/>
      <c r="N77" s="7">
        <f t="shared" si="31"/>
        <v>-0.17386514285714283</v>
      </c>
      <c r="O77" s="11"/>
      <c r="P77" s="6">
        <v>28295</v>
      </c>
      <c r="Q77" s="2"/>
      <c r="R77" s="7">
        <f t="shared" si="32"/>
        <v>6.5229540435929281E-2</v>
      </c>
      <c r="S77" s="2"/>
      <c r="T77" s="6">
        <v>31000</v>
      </c>
      <c r="U77" s="2"/>
      <c r="V77" s="7">
        <f t="shared" si="33"/>
        <v>7.3316210450634536E-2</v>
      </c>
      <c r="W77" s="2"/>
      <c r="X77" s="6">
        <f t="shared" si="34"/>
        <v>-2705</v>
      </c>
      <c r="Y77" s="2"/>
      <c r="Z77" s="7">
        <f t="shared" si="35"/>
        <v>-8.7258064516129039E-2</v>
      </c>
    </row>
    <row r="78" spans="1:26" s="26" customFormat="1" outlineLevel="1" collapsed="1" x14ac:dyDescent="0.25">
      <c r="A78" s="25"/>
      <c r="B78" s="13" t="str">
        <f>CONCATENATE("     ","Employees' Appreciation                           ")</f>
        <v xml:space="preserve">     Employees' Appreciation                           </v>
      </c>
      <c r="C78" s="13"/>
      <c r="D78" s="1">
        <f>SUM(OSRRefD22_4x_0)</f>
        <v>0</v>
      </c>
      <c r="E78" s="1"/>
      <c r="F78" s="5">
        <f t="shared" si="28"/>
        <v>0</v>
      </c>
      <c r="G78" s="1"/>
      <c r="H78" s="1">
        <f>SUM(OSRRefH22_4x_0)</f>
        <v>150</v>
      </c>
      <c r="I78" s="1"/>
      <c r="J78" s="5">
        <f t="shared" si="29"/>
        <v>6.0049721169128036E-4</v>
      </c>
      <c r="K78" s="1"/>
      <c r="L78" s="1">
        <f t="shared" si="30"/>
        <v>-150</v>
      </c>
      <c r="M78" s="1"/>
      <c r="N78" s="5">
        <f t="shared" si="31"/>
        <v>-1</v>
      </c>
      <c r="O78" s="13"/>
      <c r="P78" s="1">
        <f>SUM(OSRRefP22_4x_0)</f>
        <v>12.98</v>
      </c>
      <c r="Q78" s="1"/>
      <c r="R78" s="5">
        <f t="shared" si="32"/>
        <v>2.9923288031749857E-5</v>
      </c>
      <c r="S78" s="1"/>
      <c r="T78" s="1">
        <f>SUM(OSRRefT22_4x_0)</f>
        <v>300</v>
      </c>
      <c r="U78" s="1"/>
      <c r="V78" s="5">
        <f t="shared" si="33"/>
        <v>7.0951171403839874E-4</v>
      </c>
      <c r="W78" s="1"/>
      <c r="X78" s="1">
        <f t="shared" si="34"/>
        <v>-287.02</v>
      </c>
      <c r="Y78" s="1"/>
      <c r="Z78" s="5">
        <f t="shared" si="35"/>
        <v>-0.95673333333333332</v>
      </c>
    </row>
    <row r="79" spans="1:26" s="24" customFormat="1" hidden="1" outlineLevel="2" x14ac:dyDescent="0.25">
      <c r="A79" s="27"/>
      <c r="B79" s="11" t="str">
        <f>CONCATENATE("          ", "6277", " - ", "EMPLOYEE APPRECIATION")</f>
        <v xml:space="preserve">          6277 - EMPLOYEE APPRECIATION</v>
      </c>
      <c r="C79" s="11"/>
      <c r="D79" s="6"/>
      <c r="E79" s="2"/>
      <c r="F79" s="7">
        <f t="shared" si="28"/>
        <v>0</v>
      </c>
      <c r="G79" s="2"/>
      <c r="H79" s="6">
        <v>150</v>
      </c>
      <c r="I79" s="2"/>
      <c r="J79" s="7">
        <f t="shared" si="29"/>
        <v>6.0049721169128036E-4</v>
      </c>
      <c r="K79" s="2"/>
      <c r="L79" s="6">
        <f t="shared" si="30"/>
        <v>-150</v>
      </c>
      <c r="M79" s="2"/>
      <c r="N79" s="7">
        <f t="shared" si="31"/>
        <v>-1</v>
      </c>
      <c r="O79" s="11"/>
      <c r="P79" s="6">
        <v>12.98</v>
      </c>
      <c r="Q79" s="2"/>
      <c r="R79" s="7">
        <f t="shared" si="32"/>
        <v>2.9923288031749857E-5</v>
      </c>
      <c r="S79" s="2"/>
      <c r="T79" s="6">
        <v>300</v>
      </c>
      <c r="U79" s="2"/>
      <c r="V79" s="7">
        <f t="shared" si="33"/>
        <v>7.0951171403839874E-4</v>
      </c>
      <c r="W79" s="2"/>
      <c r="X79" s="6">
        <f t="shared" si="34"/>
        <v>-287.02</v>
      </c>
      <c r="Y79" s="2"/>
      <c r="Z79" s="7">
        <f t="shared" si="35"/>
        <v>-0.95673333333333332</v>
      </c>
    </row>
    <row r="80" spans="1:26" s="26" customFormat="1" outlineLevel="1" collapsed="1" x14ac:dyDescent="0.25">
      <c r="A80" s="25"/>
      <c r="B80" s="13" t="str">
        <f>CONCATENATE("     ","Freight out/Postage                               ")</f>
        <v xml:space="preserve">     Freight out/Postage                               </v>
      </c>
      <c r="C80" s="13"/>
      <c r="D80" s="1">
        <f>SUM(OSRRefD22_5x_0)</f>
        <v>0</v>
      </c>
      <c r="E80" s="1"/>
      <c r="F80" s="5">
        <f t="shared" si="28"/>
        <v>0</v>
      </c>
      <c r="G80" s="1"/>
      <c r="H80" s="1">
        <f>SUM(OSRRefH22_5x_0)</f>
        <v>50</v>
      </c>
      <c r="I80" s="1"/>
      <c r="J80" s="5">
        <f t="shared" si="29"/>
        <v>2.001657372304268E-4</v>
      </c>
      <c r="K80" s="1"/>
      <c r="L80" s="1">
        <f t="shared" si="30"/>
        <v>-50</v>
      </c>
      <c r="M80" s="1"/>
      <c r="N80" s="5">
        <f t="shared" si="31"/>
        <v>-1</v>
      </c>
      <c r="O80" s="13"/>
      <c r="P80" s="1">
        <f>SUM(OSRRefP22_5x_0)</f>
        <v>0</v>
      </c>
      <c r="Q80" s="1"/>
      <c r="R80" s="5">
        <f t="shared" si="32"/>
        <v>0</v>
      </c>
      <c r="S80" s="1"/>
      <c r="T80" s="1">
        <f>SUM(OSRRefT22_5x_0)</f>
        <v>100</v>
      </c>
      <c r="U80" s="1"/>
      <c r="V80" s="5">
        <f t="shared" si="33"/>
        <v>2.3650390467946626E-4</v>
      </c>
      <c r="W80" s="1"/>
      <c r="X80" s="1">
        <f t="shared" si="34"/>
        <v>-100</v>
      </c>
      <c r="Y80" s="1"/>
      <c r="Z80" s="5">
        <f t="shared" si="35"/>
        <v>-1</v>
      </c>
    </row>
    <row r="81" spans="1:26" s="24" customFormat="1" hidden="1" outlineLevel="2" x14ac:dyDescent="0.25">
      <c r="A81" s="27"/>
      <c r="B81" s="11" t="str">
        <f>CONCATENATE("          ", "6305", " - ", "FREIGHT OUT")</f>
        <v xml:space="preserve">          6305 - FREIGHT OUT</v>
      </c>
      <c r="C81" s="11"/>
      <c r="D81" s="6"/>
      <c r="E81" s="2"/>
      <c r="F81" s="7">
        <f t="shared" si="28"/>
        <v>0</v>
      </c>
      <c r="G81" s="2"/>
      <c r="H81" s="6">
        <v>50</v>
      </c>
      <c r="I81" s="2"/>
      <c r="J81" s="7">
        <f t="shared" si="29"/>
        <v>2.001657372304268E-4</v>
      </c>
      <c r="K81" s="2"/>
      <c r="L81" s="6">
        <f t="shared" si="30"/>
        <v>-50</v>
      </c>
      <c r="M81" s="2"/>
      <c r="N81" s="7">
        <f t="shared" si="31"/>
        <v>-1</v>
      </c>
      <c r="O81" s="11"/>
      <c r="P81" s="6"/>
      <c r="Q81" s="2"/>
      <c r="R81" s="7">
        <f t="shared" si="32"/>
        <v>0</v>
      </c>
      <c r="S81" s="2"/>
      <c r="T81" s="6">
        <v>100</v>
      </c>
      <c r="U81" s="2"/>
      <c r="V81" s="7">
        <f t="shared" si="33"/>
        <v>2.3650390467946626E-4</v>
      </c>
      <c r="W81" s="2"/>
      <c r="X81" s="6">
        <f t="shared" si="34"/>
        <v>-100</v>
      </c>
      <c r="Y81" s="2"/>
      <c r="Z81" s="7">
        <f t="shared" si="35"/>
        <v>-1</v>
      </c>
    </row>
    <row r="82" spans="1:26" s="26" customFormat="1" outlineLevel="1" collapsed="1" x14ac:dyDescent="0.25">
      <c r="A82" s="25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SUM(OSRRefD22_6x_0)</f>
        <v>0</v>
      </c>
      <c r="E82" s="1"/>
      <c r="F82" s="5">
        <f t="shared" si="28"/>
        <v>0</v>
      </c>
      <c r="G82" s="1"/>
      <c r="H82" s="1">
        <f>SUM(OSRRefH22_6x_0)</f>
        <v>0</v>
      </c>
      <c r="I82" s="1"/>
      <c r="J82" s="5">
        <f t="shared" si="29"/>
        <v>0</v>
      </c>
      <c r="K82" s="1"/>
      <c r="L82" s="1">
        <f t="shared" si="30"/>
        <v>0</v>
      </c>
      <c r="M82" s="1"/>
      <c r="N82" s="5">
        <f t="shared" si="31"/>
        <v>0</v>
      </c>
      <c r="O82" s="13"/>
      <c r="P82" s="1">
        <f>SUM(OSRRefP22_6x_0)</f>
        <v>0</v>
      </c>
      <c r="Q82" s="1"/>
      <c r="R82" s="5">
        <f t="shared" si="32"/>
        <v>0</v>
      </c>
      <c r="S82" s="1"/>
      <c r="T82" s="1">
        <f>SUM(OSRRefT22_6x_0)</f>
        <v>0</v>
      </c>
      <c r="U82" s="1"/>
      <c r="V82" s="5">
        <f t="shared" si="33"/>
        <v>0</v>
      </c>
      <c r="W82" s="1"/>
      <c r="X82" s="1">
        <f t="shared" si="34"/>
        <v>0</v>
      </c>
      <c r="Y82" s="1"/>
      <c r="Z82" s="5">
        <f t="shared" si="35"/>
        <v>0</v>
      </c>
    </row>
    <row r="83" spans="1:26" s="24" customFormat="1" hidden="1" outlineLevel="2" x14ac:dyDescent="0.25">
      <c r="A83" s="27"/>
      <c r="B83" s="11" t="str">
        <f>CONCATENATE("          ", "6279", " - ", "GENERAL EXPENSE")</f>
        <v xml:space="preserve">          6279 - GENERAL EXPENSE</v>
      </c>
      <c r="C83" s="11"/>
      <c r="D83" s="6"/>
      <c r="E83" s="2"/>
      <c r="F83" s="7">
        <f t="shared" si="28"/>
        <v>0</v>
      </c>
      <c r="G83" s="2"/>
      <c r="H83" s="6">
        <v>0</v>
      </c>
      <c r="I83" s="2"/>
      <c r="J83" s="7">
        <f t="shared" si="29"/>
        <v>0</v>
      </c>
      <c r="K83" s="2"/>
      <c r="L83" s="6">
        <f t="shared" si="30"/>
        <v>0</v>
      </c>
      <c r="M83" s="2"/>
      <c r="N83" s="7">
        <f t="shared" si="31"/>
        <v>0</v>
      </c>
      <c r="O83" s="11"/>
      <c r="P83" s="6"/>
      <c r="Q83" s="2"/>
      <c r="R83" s="7">
        <f t="shared" si="32"/>
        <v>0</v>
      </c>
      <c r="S83" s="2"/>
      <c r="T83" s="6">
        <v>0</v>
      </c>
      <c r="U83" s="2"/>
      <c r="V83" s="7">
        <f t="shared" si="33"/>
        <v>0</v>
      </c>
      <c r="W83" s="2"/>
      <c r="X83" s="6">
        <f t="shared" si="34"/>
        <v>0</v>
      </c>
      <c r="Y83" s="2"/>
      <c r="Z83" s="7">
        <f t="shared" si="35"/>
        <v>0</v>
      </c>
    </row>
    <row r="84" spans="1:26" s="26" customFormat="1" outlineLevel="1" collapsed="1" x14ac:dyDescent="0.25">
      <c r="A84" s="25"/>
      <c r="B84" s="13" t="str">
        <f>CONCATENATE("     ","Inventory Adjustment                              ")</f>
        <v xml:space="preserve">     Inventory Adjustment                              </v>
      </c>
      <c r="C84" s="13"/>
      <c r="D84" s="1">
        <f>SUM(OSRRefD22_7x_0)</f>
        <v>2850</v>
      </c>
      <c r="E84" s="1"/>
      <c r="F84" s="5">
        <f t="shared" si="28"/>
        <v>1.1259005723130384E-2</v>
      </c>
      <c r="G84" s="1"/>
      <c r="H84" s="1">
        <f>SUM(OSRRefH22_7x_0)</f>
        <v>2850</v>
      </c>
      <c r="I84" s="1"/>
      <c r="J84" s="5">
        <f t="shared" si="29"/>
        <v>1.1409447022134327E-2</v>
      </c>
      <c r="K84" s="1"/>
      <c r="L84" s="1">
        <f t="shared" si="30"/>
        <v>0</v>
      </c>
      <c r="M84" s="1"/>
      <c r="N84" s="5">
        <f t="shared" si="31"/>
        <v>0</v>
      </c>
      <c r="O84" s="13"/>
      <c r="P84" s="1">
        <f>SUM(OSRRefP22_7x_0)</f>
        <v>5700</v>
      </c>
      <c r="Q84" s="1"/>
      <c r="R84" s="5">
        <f t="shared" si="32"/>
        <v>1.3140426947686763E-2</v>
      </c>
      <c r="S84" s="1"/>
      <c r="T84" s="1">
        <f>SUM(OSRRefT22_7x_0)</f>
        <v>5700</v>
      </c>
      <c r="U84" s="1"/>
      <c r="V84" s="5">
        <f t="shared" si="33"/>
        <v>1.3480722566729577E-2</v>
      </c>
      <c r="W84" s="1"/>
      <c r="X84" s="1">
        <f t="shared" si="34"/>
        <v>0</v>
      </c>
      <c r="Y84" s="1"/>
      <c r="Z84" s="5">
        <f t="shared" si="35"/>
        <v>0</v>
      </c>
    </row>
    <row r="85" spans="1:26" s="24" customFormat="1" hidden="1" outlineLevel="2" x14ac:dyDescent="0.25">
      <c r="A85" s="27"/>
      <c r="B85" s="11" t="str">
        <f>CONCATENATE("          ", "6408", " - ", "INVENTORY ADJUSTMENT")</f>
        <v xml:space="preserve">          6408 - INVENTORY ADJUSTMENT</v>
      </c>
      <c r="C85" s="11"/>
      <c r="D85" s="6">
        <v>2850</v>
      </c>
      <c r="E85" s="2"/>
      <c r="F85" s="7">
        <f t="shared" si="28"/>
        <v>1.1259005723130384E-2</v>
      </c>
      <c r="G85" s="2"/>
      <c r="H85" s="6">
        <v>2850</v>
      </c>
      <c r="I85" s="2"/>
      <c r="J85" s="7">
        <f t="shared" si="29"/>
        <v>1.1409447022134327E-2</v>
      </c>
      <c r="K85" s="2"/>
      <c r="L85" s="6">
        <f t="shared" si="30"/>
        <v>0</v>
      </c>
      <c r="M85" s="2"/>
      <c r="N85" s="7">
        <f t="shared" si="31"/>
        <v>0</v>
      </c>
      <c r="O85" s="11"/>
      <c r="P85" s="6">
        <v>5700</v>
      </c>
      <c r="Q85" s="2"/>
      <c r="R85" s="7">
        <f t="shared" si="32"/>
        <v>1.3140426947686763E-2</v>
      </c>
      <c r="S85" s="2"/>
      <c r="T85" s="6">
        <v>5700</v>
      </c>
      <c r="U85" s="2"/>
      <c r="V85" s="7">
        <f t="shared" si="33"/>
        <v>1.3480722566729577E-2</v>
      </c>
      <c r="W85" s="2"/>
      <c r="X85" s="6">
        <f t="shared" si="34"/>
        <v>0</v>
      </c>
      <c r="Y85" s="2"/>
      <c r="Z85" s="7">
        <f t="shared" si="35"/>
        <v>0</v>
      </c>
    </row>
    <row r="86" spans="1:26" s="26" customFormat="1" outlineLevel="1" collapsed="1" x14ac:dyDescent="0.25">
      <c r="A86" s="25"/>
      <c r="B86" s="13" t="str">
        <f>CONCATENATE("     ","Professional Services                             ")</f>
        <v xml:space="preserve">     Professional Services                             </v>
      </c>
      <c r="C86" s="13"/>
      <c r="D86" s="1">
        <f>SUM(OSRRefD22_8x_0)</f>
        <v>0</v>
      </c>
      <c r="E86" s="1"/>
      <c r="F86" s="5">
        <f t="shared" si="28"/>
        <v>0</v>
      </c>
      <c r="G86" s="1"/>
      <c r="H86" s="1">
        <f>SUM(OSRRefH22_8x_0)</f>
        <v>0</v>
      </c>
      <c r="I86" s="1"/>
      <c r="J86" s="5">
        <f t="shared" si="29"/>
        <v>0</v>
      </c>
      <c r="K86" s="1"/>
      <c r="L86" s="1">
        <f t="shared" si="30"/>
        <v>0</v>
      </c>
      <c r="M86" s="1"/>
      <c r="N86" s="5">
        <f t="shared" si="31"/>
        <v>0</v>
      </c>
      <c r="O86" s="13"/>
      <c r="P86" s="1">
        <f>SUM(OSRRefP22_8x_0)</f>
        <v>0</v>
      </c>
      <c r="Q86" s="1"/>
      <c r="R86" s="5">
        <f t="shared" si="32"/>
        <v>0</v>
      </c>
      <c r="S86" s="1"/>
      <c r="T86" s="1">
        <f>SUM(OSRRefT22_8x_0)</f>
        <v>1500</v>
      </c>
      <c r="U86" s="1"/>
      <c r="V86" s="5">
        <f t="shared" si="33"/>
        <v>3.547558570191994E-3</v>
      </c>
      <c r="W86" s="1"/>
      <c r="X86" s="1">
        <f t="shared" si="34"/>
        <v>-1500</v>
      </c>
      <c r="Y86" s="1"/>
      <c r="Z86" s="5">
        <f t="shared" si="35"/>
        <v>-1</v>
      </c>
    </row>
    <row r="87" spans="1:26" s="24" customFormat="1" hidden="1" outlineLevel="2" x14ac:dyDescent="0.25">
      <c r="A87" s="27"/>
      <c r="B87" s="11" t="str">
        <f>CONCATENATE("          ", "6336", " - ", "PROFESSIONAL SERVICES")</f>
        <v xml:space="preserve">          6336 - PROFESSIONAL SERVICES</v>
      </c>
      <c r="C87" s="11"/>
      <c r="D87" s="6"/>
      <c r="E87" s="2"/>
      <c r="F87" s="7">
        <f t="shared" si="28"/>
        <v>0</v>
      </c>
      <c r="G87" s="2"/>
      <c r="H87" s="6">
        <v>0</v>
      </c>
      <c r="I87" s="2"/>
      <c r="J87" s="7">
        <f t="shared" si="29"/>
        <v>0</v>
      </c>
      <c r="K87" s="2"/>
      <c r="L87" s="6">
        <f t="shared" si="30"/>
        <v>0</v>
      </c>
      <c r="M87" s="2"/>
      <c r="N87" s="7">
        <f t="shared" si="31"/>
        <v>0</v>
      </c>
      <c r="O87" s="11"/>
      <c r="P87" s="6"/>
      <c r="Q87" s="2"/>
      <c r="R87" s="7">
        <f t="shared" si="32"/>
        <v>0</v>
      </c>
      <c r="S87" s="2"/>
      <c r="T87" s="6">
        <v>1500</v>
      </c>
      <c r="U87" s="2"/>
      <c r="V87" s="7">
        <f t="shared" si="33"/>
        <v>3.547558570191994E-3</v>
      </c>
      <c r="W87" s="2"/>
      <c r="X87" s="6">
        <f t="shared" si="34"/>
        <v>-1500</v>
      </c>
      <c r="Y87" s="2"/>
      <c r="Z87" s="7">
        <f t="shared" si="35"/>
        <v>-1</v>
      </c>
    </row>
    <row r="88" spans="1:26" s="26" customFormat="1" outlineLevel="1" collapsed="1" x14ac:dyDescent="0.25">
      <c r="A88" s="25"/>
      <c r="B88" s="13" t="str">
        <f>CONCATENATE("     ","Repair and Maintenance                            ")</f>
        <v xml:space="preserve">     Repair and Maintenance                            </v>
      </c>
      <c r="C88" s="13"/>
      <c r="D88" s="1">
        <f>SUM(OSRRefD22_9x_0)</f>
        <v>0</v>
      </c>
      <c r="E88" s="1"/>
      <c r="F88" s="5">
        <f t="shared" si="28"/>
        <v>0</v>
      </c>
      <c r="G88" s="1"/>
      <c r="H88" s="1">
        <f>SUM(OSRRefH22_9x_0)</f>
        <v>50</v>
      </c>
      <c r="I88" s="1"/>
      <c r="J88" s="5">
        <f t="shared" si="29"/>
        <v>2.001657372304268E-4</v>
      </c>
      <c r="K88" s="1"/>
      <c r="L88" s="1">
        <f t="shared" si="30"/>
        <v>-50</v>
      </c>
      <c r="M88" s="1"/>
      <c r="N88" s="5">
        <f t="shared" si="31"/>
        <v>-1</v>
      </c>
      <c r="O88" s="13"/>
      <c r="P88" s="1">
        <f>SUM(OSRRefP22_9x_0)</f>
        <v>0</v>
      </c>
      <c r="Q88" s="1"/>
      <c r="R88" s="5">
        <f t="shared" si="32"/>
        <v>0</v>
      </c>
      <c r="S88" s="1"/>
      <c r="T88" s="1">
        <f>SUM(OSRRefT22_9x_0)</f>
        <v>100</v>
      </c>
      <c r="U88" s="1"/>
      <c r="V88" s="5">
        <f t="shared" si="33"/>
        <v>2.3650390467946626E-4</v>
      </c>
      <c r="W88" s="1"/>
      <c r="X88" s="1">
        <f t="shared" si="34"/>
        <v>-100</v>
      </c>
      <c r="Y88" s="1"/>
      <c r="Z88" s="5">
        <f t="shared" si="35"/>
        <v>-1</v>
      </c>
    </row>
    <row r="89" spans="1:26" s="24" customFormat="1" hidden="1" outlineLevel="2" x14ac:dyDescent="0.25">
      <c r="A89" s="27"/>
      <c r="B89" s="11" t="str">
        <f>CONCATENATE("          ", "6375", " - ", "OUTSIDE REPAIRS &amp; MAINTENANCE")</f>
        <v xml:space="preserve">          6375 - OUTSIDE REPAIRS &amp; MAINTENANCE</v>
      </c>
      <c r="C89" s="11"/>
      <c r="D89" s="6"/>
      <c r="E89" s="2"/>
      <c r="F89" s="7">
        <f t="shared" si="28"/>
        <v>0</v>
      </c>
      <c r="G89" s="2"/>
      <c r="H89" s="6">
        <v>50</v>
      </c>
      <c r="I89" s="2"/>
      <c r="J89" s="7">
        <f t="shared" si="29"/>
        <v>2.001657372304268E-4</v>
      </c>
      <c r="K89" s="2"/>
      <c r="L89" s="6">
        <f t="shared" si="30"/>
        <v>-50</v>
      </c>
      <c r="M89" s="2"/>
      <c r="N89" s="7">
        <f t="shared" si="31"/>
        <v>-1</v>
      </c>
      <c r="O89" s="11"/>
      <c r="P89" s="6"/>
      <c r="Q89" s="2"/>
      <c r="R89" s="7">
        <f t="shared" si="32"/>
        <v>0</v>
      </c>
      <c r="S89" s="2"/>
      <c r="T89" s="6">
        <v>100</v>
      </c>
      <c r="U89" s="2"/>
      <c r="V89" s="7">
        <f t="shared" si="33"/>
        <v>2.3650390467946626E-4</v>
      </c>
      <c r="W89" s="2"/>
      <c r="X89" s="6">
        <f t="shared" si="34"/>
        <v>-100</v>
      </c>
      <c r="Y89" s="2"/>
      <c r="Z89" s="7">
        <f t="shared" si="35"/>
        <v>-1</v>
      </c>
    </row>
    <row r="90" spans="1:26" s="26" customFormat="1" outlineLevel="1" collapsed="1" x14ac:dyDescent="0.25">
      <c r="A90" s="25"/>
      <c r="B90" s="13" t="str">
        <f>CONCATENATE("     ","Royalty &amp; Commissions                             ")</f>
        <v xml:space="preserve">     Royalty &amp; Commissions                             </v>
      </c>
      <c r="C90" s="13"/>
      <c r="D90" s="1">
        <f>SUM(OSRRefD22_10x_0)</f>
        <v>136.4</v>
      </c>
      <c r="E90" s="1"/>
      <c r="F90" s="5">
        <f t="shared" si="28"/>
        <v>5.3885206338069635E-4</v>
      </c>
      <c r="G90" s="1"/>
      <c r="H90" s="1">
        <f>SUM(OSRRefH22_10x_0)</f>
        <v>5485</v>
      </c>
      <c r="I90" s="1"/>
      <c r="J90" s="5">
        <f t="shared" si="29"/>
        <v>2.1958181374177821E-2</v>
      </c>
      <c r="K90" s="1"/>
      <c r="L90" s="1">
        <f t="shared" si="30"/>
        <v>-5348.6</v>
      </c>
      <c r="M90" s="1"/>
      <c r="N90" s="5">
        <f t="shared" si="31"/>
        <v>-0.97513217866909763</v>
      </c>
      <c r="O90" s="13"/>
      <c r="P90" s="1">
        <f>SUM(OSRRefP22_10x_0)</f>
        <v>4617.4399999999996</v>
      </c>
      <c r="Q90" s="1"/>
      <c r="R90" s="5">
        <f t="shared" si="32"/>
        <v>1.0644760176373115E-2</v>
      </c>
      <c r="S90" s="1"/>
      <c r="T90" s="1">
        <f>SUM(OSRRefT22_10x_0)</f>
        <v>10970</v>
      </c>
      <c r="U90" s="1"/>
      <c r="V90" s="5">
        <f t="shared" si="33"/>
        <v>2.5944478343337449E-2</v>
      </c>
      <c r="W90" s="1"/>
      <c r="X90" s="1">
        <f t="shared" si="34"/>
        <v>-6352.56</v>
      </c>
      <c r="Y90" s="1"/>
      <c r="Z90" s="5">
        <f t="shared" si="35"/>
        <v>-0.57908477666362812</v>
      </c>
    </row>
    <row r="91" spans="1:26" s="24" customFormat="1" hidden="1" outlineLevel="2" x14ac:dyDescent="0.25">
      <c r="A91" s="27"/>
      <c r="B91" s="11" t="str">
        <f>CONCATENATE("          ", "6252", " - ", "ROYALTY DUE CSTV")</f>
        <v xml:space="preserve">          6252 - ROYALTY DUE CSTV</v>
      </c>
      <c r="C91" s="11"/>
      <c r="D91" s="6"/>
      <c r="E91" s="2"/>
      <c r="F91" s="7">
        <f t="shared" si="28"/>
        <v>0</v>
      </c>
      <c r="G91" s="2"/>
      <c r="H91" s="6">
        <v>1085</v>
      </c>
      <c r="I91" s="2"/>
      <c r="J91" s="7">
        <f t="shared" si="29"/>
        <v>4.3435964979002617E-3</v>
      </c>
      <c r="K91" s="2"/>
      <c r="L91" s="6">
        <f t="shared" si="30"/>
        <v>-1085</v>
      </c>
      <c r="M91" s="2"/>
      <c r="N91" s="7">
        <f t="shared" si="31"/>
        <v>-1</v>
      </c>
      <c r="O91" s="11"/>
      <c r="P91" s="6"/>
      <c r="Q91" s="2"/>
      <c r="R91" s="7">
        <f t="shared" si="32"/>
        <v>0</v>
      </c>
      <c r="S91" s="2"/>
      <c r="T91" s="6">
        <v>2170</v>
      </c>
      <c r="U91" s="2"/>
      <c r="V91" s="7">
        <f t="shared" si="33"/>
        <v>5.1321347315444179E-3</v>
      </c>
      <c r="W91" s="2"/>
      <c r="X91" s="6">
        <f t="shared" si="34"/>
        <v>-2170</v>
      </c>
      <c r="Y91" s="2"/>
      <c r="Z91" s="7">
        <f t="shared" si="35"/>
        <v>-1</v>
      </c>
    </row>
    <row r="92" spans="1:26" s="24" customFormat="1" hidden="1" outlineLevel="2" x14ac:dyDescent="0.25">
      <c r="A92" s="27"/>
      <c r="B92" s="11" t="str">
        <f>CONCATENATE("          ", "6253", " - ", "ROYALTY DUE ATHLETICS-LRG")</f>
        <v xml:space="preserve">          6253 - ROYALTY DUE ATHLETICS-LRG</v>
      </c>
      <c r="C92" s="11"/>
      <c r="D92" s="6"/>
      <c r="E92" s="2"/>
      <c r="F92" s="7">
        <f t="shared" si="28"/>
        <v>0</v>
      </c>
      <c r="G92" s="2"/>
      <c r="H92" s="6">
        <v>3700</v>
      </c>
      <c r="I92" s="2"/>
      <c r="J92" s="7">
        <f t="shared" si="29"/>
        <v>1.4812264555051583E-2</v>
      </c>
      <c r="K92" s="2"/>
      <c r="L92" s="6">
        <f t="shared" si="30"/>
        <v>-3700</v>
      </c>
      <c r="M92" s="2"/>
      <c r="N92" s="7">
        <f t="shared" si="31"/>
        <v>-1</v>
      </c>
      <c r="O92" s="11"/>
      <c r="P92" s="6">
        <v>4366.95</v>
      </c>
      <c r="Q92" s="2"/>
      <c r="R92" s="7">
        <f t="shared" si="32"/>
        <v>1.0067296045473807E-2</v>
      </c>
      <c r="S92" s="2"/>
      <c r="T92" s="6">
        <v>7400</v>
      </c>
      <c r="U92" s="2"/>
      <c r="V92" s="7">
        <f t="shared" si="33"/>
        <v>1.7501288946280502E-2</v>
      </c>
      <c r="W92" s="2"/>
      <c r="X92" s="6">
        <f t="shared" si="34"/>
        <v>-3033.05</v>
      </c>
      <c r="Y92" s="2"/>
      <c r="Z92" s="7">
        <f t="shared" si="35"/>
        <v>-0.40987162162162166</v>
      </c>
    </row>
    <row r="93" spans="1:26" s="24" customFormat="1" hidden="1" outlineLevel="2" x14ac:dyDescent="0.25">
      <c r="A93" s="27"/>
      <c r="B93" s="11" t="str">
        <f>CONCATENATE("          ", "6254", " - ", "ROYALTY &amp; COMMISSIONS")</f>
        <v xml:space="preserve">          6254 - ROYALTY &amp; COMMISSIONS</v>
      </c>
      <c r="C93" s="11"/>
      <c r="D93" s="6">
        <v>136.4</v>
      </c>
      <c r="E93" s="2"/>
      <c r="F93" s="7">
        <f t="shared" si="28"/>
        <v>5.3885206338069635E-4</v>
      </c>
      <c r="G93" s="2"/>
      <c r="H93" s="6">
        <v>700</v>
      </c>
      <c r="I93" s="2"/>
      <c r="J93" s="7">
        <f t="shared" si="29"/>
        <v>2.8023203212259751E-3</v>
      </c>
      <c r="K93" s="2"/>
      <c r="L93" s="6">
        <f t="shared" si="30"/>
        <v>-563.6</v>
      </c>
      <c r="M93" s="2"/>
      <c r="N93" s="7">
        <f t="shared" si="31"/>
        <v>-0.80514285714285716</v>
      </c>
      <c r="O93" s="11"/>
      <c r="P93" s="6">
        <v>250.49</v>
      </c>
      <c r="Q93" s="2"/>
      <c r="R93" s="7">
        <f t="shared" si="32"/>
        <v>5.7746413089930829E-4</v>
      </c>
      <c r="S93" s="2"/>
      <c r="T93" s="6">
        <v>1400</v>
      </c>
      <c r="U93" s="2"/>
      <c r="V93" s="7">
        <f t="shared" si="33"/>
        <v>3.3110546655125278E-3</v>
      </c>
      <c r="W93" s="2"/>
      <c r="X93" s="6">
        <f t="shared" si="34"/>
        <v>-1149.51</v>
      </c>
      <c r="Y93" s="2"/>
      <c r="Z93" s="7">
        <f t="shared" si="35"/>
        <v>-0.82107857142857144</v>
      </c>
    </row>
    <row r="94" spans="1:26" s="26" customFormat="1" outlineLevel="1" collapsed="1" x14ac:dyDescent="0.25">
      <c r="A94" s="25"/>
      <c r="B94" s="13" t="str">
        <f>CONCATENATE("     ","Subscriptions &amp; Dues                              ")</f>
        <v xml:space="preserve">     Subscriptions &amp; Dues                              </v>
      </c>
      <c r="C94" s="13"/>
      <c r="D94" s="1">
        <f>SUM(OSRRefD22_11x_0)</f>
        <v>0</v>
      </c>
      <c r="E94" s="1"/>
      <c r="F94" s="5">
        <f t="shared" ref="F94:F96" si="36">IF(D$12=0,0,D94/D$12)</f>
        <v>0</v>
      </c>
      <c r="G94" s="1"/>
      <c r="H94" s="1">
        <f>SUM(OSRRefH22_11x_0)</f>
        <v>300</v>
      </c>
      <c r="I94" s="1"/>
      <c r="J94" s="5">
        <f t="shared" ref="J94:J96" si="37">IF(H$12=0,0,H94/H$12)</f>
        <v>1.2009944233825607E-3</v>
      </c>
      <c r="K94" s="1"/>
      <c r="L94" s="1">
        <f t="shared" ref="L94:L96" si="38">+D94-H94</f>
        <v>-300</v>
      </c>
      <c r="M94" s="1"/>
      <c r="N94" s="5">
        <f t="shared" ref="N94:N96" si="39">IF(H94=0,0,L94/H94)</f>
        <v>-1</v>
      </c>
      <c r="O94" s="13"/>
      <c r="P94" s="1">
        <f>SUM(OSRRefP22_11x_0)</f>
        <v>0</v>
      </c>
      <c r="Q94" s="1"/>
      <c r="R94" s="5">
        <f t="shared" ref="R94:R96" si="40">IF(P$12=0,0,P94/P$12)</f>
        <v>0</v>
      </c>
      <c r="S94" s="1"/>
      <c r="T94" s="1">
        <f>SUM(OSRRefT22_11x_0)</f>
        <v>1800</v>
      </c>
      <c r="U94" s="1"/>
      <c r="V94" s="5">
        <f t="shared" ref="V94:V96" si="41">IF(T$12=0,0,T94/T$12)</f>
        <v>4.2570702842303926E-3</v>
      </c>
      <c r="W94" s="1"/>
      <c r="X94" s="1">
        <f t="shared" ref="X94:X96" si="42">+P94-T94</f>
        <v>-1800</v>
      </c>
      <c r="Y94" s="1"/>
      <c r="Z94" s="5">
        <f t="shared" ref="Z94:Z96" si="43">IF(T94=0,0,X94/T94)</f>
        <v>-1</v>
      </c>
    </row>
    <row r="95" spans="1:26" s="24" customFormat="1" hidden="1" outlineLevel="2" x14ac:dyDescent="0.25">
      <c r="A95" s="27"/>
      <c r="B95" s="11" t="str">
        <f>CONCATENATE("          ", "6258", " - ", "MEMBERSHIP DUES")</f>
        <v xml:space="preserve">          6258 - MEMBERSHIP DUES</v>
      </c>
      <c r="C95" s="11"/>
      <c r="D95" s="6"/>
      <c r="E95" s="2"/>
      <c r="F95" s="7">
        <f t="shared" si="36"/>
        <v>0</v>
      </c>
      <c r="G95" s="2"/>
      <c r="H95" s="6">
        <v>0</v>
      </c>
      <c r="I95" s="2"/>
      <c r="J95" s="7">
        <f t="shared" si="37"/>
        <v>0</v>
      </c>
      <c r="K95" s="2"/>
      <c r="L95" s="6">
        <f t="shared" si="38"/>
        <v>0</v>
      </c>
      <c r="M95" s="2"/>
      <c r="N95" s="7">
        <f t="shared" si="39"/>
        <v>0</v>
      </c>
      <c r="O95" s="11"/>
      <c r="P95" s="6"/>
      <c r="Q95" s="2"/>
      <c r="R95" s="7">
        <f t="shared" si="40"/>
        <v>0</v>
      </c>
      <c r="S95" s="2"/>
      <c r="T95" s="6">
        <v>1000</v>
      </c>
      <c r="U95" s="2"/>
      <c r="V95" s="7">
        <f t="shared" si="41"/>
        <v>2.3650390467946625E-3</v>
      </c>
      <c r="W95" s="2"/>
      <c r="X95" s="6">
        <f t="shared" si="42"/>
        <v>-1000</v>
      </c>
      <c r="Y95" s="2"/>
      <c r="Z95" s="7">
        <f t="shared" si="43"/>
        <v>-1</v>
      </c>
    </row>
    <row r="96" spans="1:26" s="24" customFormat="1" hidden="1" outlineLevel="2" x14ac:dyDescent="0.25">
      <c r="A96" s="27"/>
      <c r="B96" s="11" t="str">
        <f>CONCATENATE("          ", "6275", " - ", "SUBSCRIPTIONS")</f>
        <v xml:space="preserve">          6275 - SUBSCRIPTIONS</v>
      </c>
      <c r="C96" s="11"/>
      <c r="D96" s="6"/>
      <c r="E96" s="2"/>
      <c r="F96" s="7">
        <f t="shared" si="36"/>
        <v>0</v>
      </c>
      <c r="G96" s="2"/>
      <c r="H96" s="6">
        <v>300</v>
      </c>
      <c r="I96" s="2"/>
      <c r="J96" s="7">
        <f t="shared" si="37"/>
        <v>1.2009944233825607E-3</v>
      </c>
      <c r="K96" s="2"/>
      <c r="L96" s="6">
        <f t="shared" si="38"/>
        <v>-300</v>
      </c>
      <c r="M96" s="2"/>
      <c r="N96" s="7">
        <f t="shared" si="39"/>
        <v>-1</v>
      </c>
      <c r="O96" s="11"/>
      <c r="P96" s="6"/>
      <c r="Q96" s="2"/>
      <c r="R96" s="7">
        <f t="shared" si="40"/>
        <v>0</v>
      </c>
      <c r="S96" s="2"/>
      <c r="T96" s="6">
        <v>800</v>
      </c>
      <c r="U96" s="2"/>
      <c r="V96" s="7">
        <f t="shared" si="41"/>
        <v>1.8920312374357301E-3</v>
      </c>
      <c r="W96" s="2"/>
      <c r="X96" s="6">
        <f t="shared" si="42"/>
        <v>-800</v>
      </c>
      <c r="Y96" s="2"/>
      <c r="Z96" s="7">
        <f t="shared" si="43"/>
        <v>-1</v>
      </c>
    </row>
    <row r="97" spans="1:26" s="26" customFormat="1" outlineLevel="1" collapsed="1" x14ac:dyDescent="0.25">
      <c r="A97" s="25"/>
      <c r="B97" s="13" t="str">
        <f>CONCATENATE("     ","Supplies                                          ")</f>
        <v xml:space="preserve">     Supplies                                          </v>
      </c>
      <c r="C97" s="13"/>
      <c r="D97" s="1">
        <f>SUM(OSRRefD22_12x_0)</f>
        <v>273.63</v>
      </c>
      <c r="E97" s="1"/>
      <c r="F97" s="5">
        <f t="shared" ref="F97:F101" si="44">IF(D$12=0,0,D97/D$12)</f>
        <v>1.0809830652702341E-3</v>
      </c>
      <c r="G97" s="1"/>
      <c r="H97" s="1">
        <f>SUM(OSRRefH22_12x_0)</f>
        <v>625</v>
      </c>
      <c r="I97" s="1"/>
      <c r="J97" s="5">
        <f t="shared" ref="J97:J101" si="45">IF(H$12=0,0,H97/H$12)</f>
        <v>2.5020717153803351E-3</v>
      </c>
      <c r="K97" s="1"/>
      <c r="L97" s="1">
        <f t="shared" ref="L97:L101" si="46">+D97-H97</f>
        <v>-351.37</v>
      </c>
      <c r="M97" s="1"/>
      <c r="N97" s="5">
        <f t="shared" ref="N97:N101" si="47">IF(H97=0,0,L97/H97)</f>
        <v>-0.56219200000000003</v>
      </c>
      <c r="O97" s="13"/>
      <c r="P97" s="1">
        <f>SUM(OSRRefP22_12x_0)</f>
        <v>1143.23</v>
      </c>
      <c r="Q97" s="1"/>
      <c r="R97" s="5">
        <f t="shared" ref="R97:R101" si="48">IF(P$12=0,0,P97/P$12)</f>
        <v>2.6355316314743749E-3</v>
      </c>
      <c r="S97" s="1"/>
      <c r="T97" s="1">
        <f>SUM(OSRRefT22_12x_0)</f>
        <v>2250</v>
      </c>
      <c r="U97" s="1"/>
      <c r="V97" s="5">
        <f t="shared" ref="V97:V101" si="49">IF(T$12=0,0,T97/T$12)</f>
        <v>5.3213378552879904E-3</v>
      </c>
      <c r="W97" s="1"/>
      <c r="X97" s="1">
        <f t="shared" ref="X97:X101" si="50">+P97-T97</f>
        <v>-1106.77</v>
      </c>
      <c r="Y97" s="1"/>
      <c r="Z97" s="5">
        <f t="shared" ref="Z97:Z101" si="51">IF(T97=0,0,X97/T97)</f>
        <v>-0.49189777777777777</v>
      </c>
    </row>
    <row r="98" spans="1:26" s="24" customFormat="1" hidden="1" outlineLevel="2" x14ac:dyDescent="0.25">
      <c r="A98" s="27"/>
      <c r="B98" s="11" t="str">
        <f>CONCATENATE("          ", "6234", " - ", "EXPENDABLE SUPPLIES &amp; EQUIPMEN")</f>
        <v xml:space="preserve">          6234 - EXPENDABLE SUPPLIES &amp; EQUIPMEN</v>
      </c>
      <c r="C98" s="11"/>
      <c r="D98" s="6"/>
      <c r="E98" s="2"/>
      <c r="F98" s="7">
        <f t="shared" si="44"/>
        <v>0</v>
      </c>
      <c r="G98" s="2"/>
      <c r="H98" s="6">
        <v>200</v>
      </c>
      <c r="I98" s="2"/>
      <c r="J98" s="7">
        <f t="shared" si="45"/>
        <v>8.0066294892170722E-4</v>
      </c>
      <c r="K98" s="2"/>
      <c r="L98" s="6">
        <f t="shared" si="46"/>
        <v>-200</v>
      </c>
      <c r="M98" s="2"/>
      <c r="N98" s="7">
        <f t="shared" si="47"/>
        <v>-1</v>
      </c>
      <c r="O98" s="11"/>
      <c r="P98" s="6">
        <v>-15.95</v>
      </c>
      <c r="Q98" s="2"/>
      <c r="R98" s="7">
        <f t="shared" si="48"/>
        <v>-3.6770142072912952E-5</v>
      </c>
      <c r="S98" s="2"/>
      <c r="T98" s="6">
        <v>1400</v>
      </c>
      <c r="U98" s="2"/>
      <c r="V98" s="7">
        <f t="shared" si="49"/>
        <v>3.3110546655125278E-3</v>
      </c>
      <c r="W98" s="2"/>
      <c r="X98" s="6">
        <f t="shared" si="50"/>
        <v>-1415.95</v>
      </c>
      <c r="Y98" s="2"/>
      <c r="Z98" s="7">
        <f t="shared" si="51"/>
        <v>-1.0113928571428572</v>
      </c>
    </row>
    <row r="99" spans="1:26" s="24" customFormat="1" hidden="1" outlineLevel="2" x14ac:dyDescent="0.25">
      <c r="A99" s="27"/>
      <c r="B99" s="11" t="str">
        <f>CONCATENATE("          ", "6237", " - ", "JANITORIAL SUPPLIES")</f>
        <v xml:space="preserve">          6237 - JANITORIAL SUPPLIES</v>
      </c>
      <c r="C99" s="11"/>
      <c r="D99" s="6"/>
      <c r="E99" s="2"/>
      <c r="F99" s="7">
        <f t="shared" si="44"/>
        <v>0</v>
      </c>
      <c r="G99" s="2"/>
      <c r="H99" s="6">
        <v>25</v>
      </c>
      <c r="I99" s="2"/>
      <c r="J99" s="7">
        <f t="shared" si="45"/>
        <v>1.000828686152134E-4</v>
      </c>
      <c r="K99" s="2"/>
      <c r="L99" s="6">
        <f t="shared" si="46"/>
        <v>-25</v>
      </c>
      <c r="M99" s="2"/>
      <c r="N99" s="7">
        <f t="shared" si="47"/>
        <v>-1</v>
      </c>
      <c r="O99" s="11"/>
      <c r="P99" s="6"/>
      <c r="Q99" s="2"/>
      <c r="R99" s="7">
        <f t="shared" si="48"/>
        <v>0</v>
      </c>
      <c r="S99" s="2"/>
      <c r="T99" s="6">
        <v>50</v>
      </c>
      <c r="U99" s="2"/>
      <c r="V99" s="7">
        <f t="shared" si="49"/>
        <v>1.1825195233973313E-4</v>
      </c>
      <c r="W99" s="2"/>
      <c r="X99" s="6">
        <f t="shared" si="50"/>
        <v>-50</v>
      </c>
      <c r="Y99" s="2"/>
      <c r="Z99" s="7">
        <f t="shared" si="51"/>
        <v>-1</v>
      </c>
    </row>
    <row r="100" spans="1:26" s="24" customFormat="1" hidden="1" outlineLevel="2" x14ac:dyDescent="0.25">
      <c r="A100" s="27"/>
      <c r="B100" s="11" t="str">
        <f>CONCATENATE("          ", "6241", " - ", "OFFICE EXPENSE")</f>
        <v xml:space="preserve">          6241 - OFFICE EXPENSE</v>
      </c>
      <c r="C100" s="11"/>
      <c r="D100" s="6">
        <v>246.64</v>
      </c>
      <c r="E100" s="2"/>
      <c r="F100" s="7">
        <f t="shared" si="44"/>
        <v>9.7435830580802738E-4</v>
      </c>
      <c r="G100" s="2"/>
      <c r="H100" s="6">
        <v>200</v>
      </c>
      <c r="I100" s="2"/>
      <c r="J100" s="7">
        <f t="shared" si="45"/>
        <v>8.0066294892170722E-4</v>
      </c>
      <c r="K100" s="2"/>
      <c r="L100" s="6">
        <f t="shared" si="46"/>
        <v>46.639999999999986</v>
      </c>
      <c r="M100" s="2"/>
      <c r="N100" s="7">
        <f t="shared" si="47"/>
        <v>0.23319999999999994</v>
      </c>
      <c r="O100" s="11"/>
      <c r="P100" s="6">
        <v>1132.19</v>
      </c>
      <c r="Q100" s="2"/>
      <c r="R100" s="7">
        <f t="shared" si="48"/>
        <v>2.6100806992809607E-3</v>
      </c>
      <c r="S100" s="2"/>
      <c r="T100" s="6">
        <v>400</v>
      </c>
      <c r="U100" s="2"/>
      <c r="V100" s="7">
        <f t="shared" si="49"/>
        <v>9.4601561871786506E-4</v>
      </c>
      <c r="W100" s="2"/>
      <c r="X100" s="6">
        <f t="shared" si="50"/>
        <v>732.19</v>
      </c>
      <c r="Y100" s="2"/>
      <c r="Z100" s="7">
        <f t="shared" si="51"/>
        <v>1.8304750000000001</v>
      </c>
    </row>
    <row r="101" spans="1:26" s="24" customFormat="1" hidden="1" outlineLevel="2" x14ac:dyDescent="0.25">
      <c r="A101" s="27"/>
      <c r="B101" s="11" t="str">
        <f>CONCATENATE("          ", "6247", " - ", "STORE SUPPLIES")</f>
        <v xml:space="preserve">          6247 - STORE SUPPLIES</v>
      </c>
      <c r="C101" s="11"/>
      <c r="D101" s="6">
        <v>26.99</v>
      </c>
      <c r="E101" s="2"/>
      <c r="F101" s="7">
        <f t="shared" si="44"/>
        <v>1.0662475946220669E-4</v>
      </c>
      <c r="G101" s="2"/>
      <c r="H101" s="6">
        <v>200</v>
      </c>
      <c r="I101" s="2"/>
      <c r="J101" s="7">
        <f t="shared" si="45"/>
        <v>8.0066294892170722E-4</v>
      </c>
      <c r="K101" s="2"/>
      <c r="L101" s="6">
        <f t="shared" si="46"/>
        <v>-173.01</v>
      </c>
      <c r="M101" s="2"/>
      <c r="N101" s="7">
        <f t="shared" si="47"/>
        <v>-0.86504999999999999</v>
      </c>
      <c r="O101" s="11"/>
      <c r="P101" s="6">
        <v>26.99</v>
      </c>
      <c r="Q101" s="2"/>
      <c r="R101" s="7">
        <f t="shared" si="48"/>
        <v>6.2221074266327313E-5</v>
      </c>
      <c r="S101" s="2"/>
      <c r="T101" s="6">
        <v>400</v>
      </c>
      <c r="U101" s="2"/>
      <c r="V101" s="7">
        <f t="shared" si="49"/>
        <v>9.4601561871786506E-4</v>
      </c>
      <c r="W101" s="2"/>
      <c r="X101" s="6">
        <f t="shared" si="50"/>
        <v>-373.01</v>
      </c>
      <c r="Y101" s="2"/>
      <c r="Z101" s="7">
        <f t="shared" si="51"/>
        <v>-0.93252499999999994</v>
      </c>
    </row>
    <row r="102" spans="1:26" s="26" customFormat="1" outlineLevel="1" collapsed="1" x14ac:dyDescent="0.25">
      <c r="A102" s="25"/>
      <c r="B102" s="13" t="str">
        <f>CONCATENATE("     ","Telephone/Data Lines                              ")</f>
        <v xml:space="preserve">     Telephone/Data Lines                              </v>
      </c>
      <c r="C102" s="13"/>
      <c r="D102" s="1">
        <f>SUM(OSRRefD22_13x_0)</f>
        <v>521.25</v>
      </c>
      <c r="E102" s="1"/>
      <c r="F102" s="5">
        <f t="shared" ref="F102:F107" si="52">IF(D$12=0,0,D102/D$12)</f>
        <v>2.059212888835689E-3</v>
      </c>
      <c r="G102" s="1"/>
      <c r="H102" s="1">
        <f>SUM(OSRRefH22_13x_0)</f>
        <v>550</v>
      </c>
      <c r="I102" s="1"/>
      <c r="J102" s="5">
        <f t="shared" ref="J102:J107" si="53">IF(H$12=0,0,H102/H$12)</f>
        <v>2.2018231095346946E-3</v>
      </c>
      <c r="K102" s="1"/>
      <c r="L102" s="1">
        <f t="shared" ref="L102:L107" si="54">+D102-H102</f>
        <v>-28.75</v>
      </c>
      <c r="M102" s="1"/>
      <c r="N102" s="5">
        <f t="shared" ref="N102:N107" si="55">IF(H102=0,0,L102/H102)</f>
        <v>-5.2272727272727269E-2</v>
      </c>
      <c r="O102" s="13"/>
      <c r="P102" s="1">
        <f>SUM(OSRRefP22_13x_0)</f>
        <v>1109.52</v>
      </c>
      <c r="Q102" s="1"/>
      <c r="R102" s="5">
        <f t="shared" ref="R102:R107" si="56">IF(P$12=0,0,P102/P$12)</f>
        <v>2.5578186854381432E-3</v>
      </c>
      <c r="S102" s="1"/>
      <c r="T102" s="1">
        <f>SUM(OSRRefT22_13x_0)</f>
        <v>1025</v>
      </c>
      <c r="U102" s="1"/>
      <c r="V102" s="5">
        <f t="shared" ref="V102:V107" si="57">IF(T$12=0,0,T102/T$12)</f>
        <v>2.424165022964529E-3</v>
      </c>
      <c r="W102" s="1"/>
      <c r="X102" s="1">
        <f t="shared" ref="X102:X107" si="58">+P102-T102</f>
        <v>84.519999999999982</v>
      </c>
      <c r="Y102" s="1"/>
      <c r="Z102" s="5">
        <f t="shared" ref="Z102:Z107" si="59">IF(T102=0,0,X102/T102)</f>
        <v>8.2458536585365838E-2</v>
      </c>
    </row>
    <row r="103" spans="1:26" s="24" customFormat="1" hidden="1" outlineLevel="2" x14ac:dyDescent="0.25">
      <c r="A103" s="27"/>
      <c r="B103" s="11" t="str">
        <f>CONCATENATE("          ", "6309", " - ", "TELEPHONE")</f>
        <v xml:space="preserve">          6309 - TELEPHONE</v>
      </c>
      <c r="C103" s="11"/>
      <c r="D103" s="6">
        <v>521.25</v>
      </c>
      <c r="E103" s="2"/>
      <c r="F103" s="7">
        <f t="shared" si="52"/>
        <v>2.059212888835689E-3</v>
      </c>
      <c r="G103" s="2"/>
      <c r="H103" s="6">
        <v>550</v>
      </c>
      <c r="I103" s="2"/>
      <c r="J103" s="7">
        <f t="shared" si="53"/>
        <v>2.2018231095346946E-3</v>
      </c>
      <c r="K103" s="2"/>
      <c r="L103" s="6">
        <f t="shared" si="54"/>
        <v>-28.75</v>
      </c>
      <c r="M103" s="2"/>
      <c r="N103" s="7">
        <f t="shared" si="55"/>
        <v>-5.2272727272727269E-2</v>
      </c>
      <c r="O103" s="11"/>
      <c r="P103" s="6">
        <v>1109.52</v>
      </c>
      <c r="Q103" s="2"/>
      <c r="R103" s="7">
        <f t="shared" si="56"/>
        <v>2.5578186854381432E-3</v>
      </c>
      <c r="S103" s="2"/>
      <c r="T103" s="6">
        <v>1025</v>
      </c>
      <c r="U103" s="2"/>
      <c r="V103" s="7">
        <f t="shared" si="57"/>
        <v>2.424165022964529E-3</v>
      </c>
      <c r="W103" s="2"/>
      <c r="X103" s="6">
        <f t="shared" si="58"/>
        <v>84.519999999999982</v>
      </c>
      <c r="Y103" s="2"/>
      <c r="Z103" s="7">
        <f t="shared" si="59"/>
        <v>8.2458536585365838E-2</v>
      </c>
    </row>
    <row r="104" spans="1:26" s="26" customFormat="1" outlineLevel="1" collapsed="1" x14ac:dyDescent="0.25">
      <c r="A104" s="25"/>
      <c r="B104" s="13" t="str">
        <f>CONCATENATE("     ","Training                                          ")</f>
        <v xml:space="preserve">     Training                                          </v>
      </c>
      <c r="C104" s="13"/>
      <c r="D104" s="1">
        <f>SUM(OSRRefD22_14x_0)</f>
        <v>0</v>
      </c>
      <c r="E104" s="1"/>
      <c r="F104" s="5">
        <f t="shared" si="52"/>
        <v>0</v>
      </c>
      <c r="G104" s="1"/>
      <c r="H104" s="1">
        <f>SUM(OSRRefH22_14x_0)</f>
        <v>600</v>
      </c>
      <c r="I104" s="1"/>
      <c r="J104" s="5">
        <f t="shared" si="53"/>
        <v>2.4019888467651214E-3</v>
      </c>
      <c r="K104" s="1"/>
      <c r="L104" s="1">
        <f t="shared" si="54"/>
        <v>-600</v>
      </c>
      <c r="M104" s="1"/>
      <c r="N104" s="5">
        <f t="shared" si="55"/>
        <v>-1</v>
      </c>
      <c r="O104" s="13"/>
      <c r="P104" s="1">
        <f>SUM(OSRRefP22_14x_0)</f>
        <v>103.5</v>
      </c>
      <c r="Q104" s="1"/>
      <c r="R104" s="5">
        <f t="shared" si="56"/>
        <v>2.3860248931325962E-4</v>
      </c>
      <c r="S104" s="1"/>
      <c r="T104" s="1">
        <f>SUM(OSRRefT22_14x_0)</f>
        <v>700</v>
      </c>
      <c r="U104" s="1"/>
      <c r="V104" s="5">
        <f t="shared" si="57"/>
        <v>1.6555273327562639E-3</v>
      </c>
      <c r="W104" s="1"/>
      <c r="X104" s="1">
        <f t="shared" si="58"/>
        <v>-596.5</v>
      </c>
      <c r="Y104" s="1"/>
      <c r="Z104" s="5">
        <f t="shared" si="59"/>
        <v>-0.85214285714285709</v>
      </c>
    </row>
    <row r="105" spans="1:26" s="24" customFormat="1" hidden="1" outlineLevel="2" x14ac:dyDescent="0.25">
      <c r="A105" s="27"/>
      <c r="B105" s="11" t="str">
        <f>CONCATENATE("          ", "6376", " - ", "TRAINING")</f>
        <v xml:space="preserve">          6376 - TRAINING</v>
      </c>
      <c r="C105" s="11"/>
      <c r="D105" s="6"/>
      <c r="E105" s="2"/>
      <c r="F105" s="7">
        <f t="shared" si="52"/>
        <v>0</v>
      </c>
      <c r="G105" s="2"/>
      <c r="H105" s="6">
        <v>600</v>
      </c>
      <c r="I105" s="2"/>
      <c r="J105" s="7">
        <f t="shared" si="53"/>
        <v>2.4019888467651214E-3</v>
      </c>
      <c r="K105" s="2"/>
      <c r="L105" s="6">
        <f t="shared" si="54"/>
        <v>-600</v>
      </c>
      <c r="M105" s="2"/>
      <c r="N105" s="7">
        <f t="shared" si="55"/>
        <v>-1</v>
      </c>
      <c r="O105" s="11"/>
      <c r="P105" s="6">
        <v>103.5</v>
      </c>
      <c r="Q105" s="2"/>
      <c r="R105" s="7">
        <f t="shared" si="56"/>
        <v>2.3860248931325962E-4</v>
      </c>
      <c r="S105" s="2"/>
      <c r="T105" s="6">
        <v>700</v>
      </c>
      <c r="U105" s="2"/>
      <c r="V105" s="7">
        <f t="shared" si="57"/>
        <v>1.6555273327562639E-3</v>
      </c>
      <c r="W105" s="2"/>
      <c r="X105" s="6">
        <f t="shared" si="58"/>
        <v>-596.5</v>
      </c>
      <c r="Y105" s="2"/>
      <c r="Z105" s="7">
        <f t="shared" si="59"/>
        <v>-0.85214285714285709</v>
      </c>
    </row>
    <row r="106" spans="1:26" s="26" customFormat="1" outlineLevel="1" collapsed="1" x14ac:dyDescent="0.25">
      <c r="A106" s="25"/>
      <c r="B106" s="13" t="str">
        <f>CONCATENATE("     ","Travel                                            ")</f>
        <v xml:space="preserve">     Travel                                            </v>
      </c>
      <c r="C106" s="13"/>
      <c r="D106" s="1">
        <f>SUM(OSRRefD22_15x_0)</f>
        <v>0</v>
      </c>
      <c r="E106" s="1"/>
      <c r="F106" s="5">
        <f t="shared" si="52"/>
        <v>0</v>
      </c>
      <c r="G106" s="1"/>
      <c r="H106" s="1">
        <f>SUM(OSRRefH22_15x_0)</f>
        <v>50</v>
      </c>
      <c r="I106" s="1"/>
      <c r="J106" s="5">
        <f t="shared" si="53"/>
        <v>2.001657372304268E-4</v>
      </c>
      <c r="K106" s="1"/>
      <c r="L106" s="1">
        <f t="shared" si="54"/>
        <v>-50</v>
      </c>
      <c r="M106" s="1"/>
      <c r="N106" s="5">
        <f t="shared" si="55"/>
        <v>-1</v>
      </c>
      <c r="O106" s="13"/>
      <c r="P106" s="1">
        <f>SUM(OSRRefP22_15x_0)</f>
        <v>0</v>
      </c>
      <c r="Q106" s="1"/>
      <c r="R106" s="5">
        <f t="shared" si="56"/>
        <v>0</v>
      </c>
      <c r="S106" s="1"/>
      <c r="T106" s="1">
        <f>SUM(OSRRefT22_15x_0)</f>
        <v>100</v>
      </c>
      <c r="U106" s="1"/>
      <c r="V106" s="5">
        <f t="shared" si="57"/>
        <v>2.3650390467946626E-4</v>
      </c>
      <c r="W106" s="1"/>
      <c r="X106" s="1">
        <f t="shared" si="58"/>
        <v>-100</v>
      </c>
      <c r="Y106" s="1"/>
      <c r="Z106" s="5">
        <f t="shared" si="59"/>
        <v>-1</v>
      </c>
    </row>
    <row r="107" spans="1:26" s="24" customFormat="1" hidden="1" outlineLevel="2" x14ac:dyDescent="0.25">
      <c r="A107" s="27"/>
      <c r="B107" s="11" t="str">
        <f>CONCATENATE("          ", "6294", " - ", "TRAVEL OPERATIONAL")</f>
        <v xml:space="preserve">          6294 - TRAVEL OPERATIONAL</v>
      </c>
      <c r="C107" s="11"/>
      <c r="D107" s="6"/>
      <c r="E107" s="2"/>
      <c r="F107" s="7">
        <f t="shared" si="52"/>
        <v>0</v>
      </c>
      <c r="G107" s="2"/>
      <c r="H107" s="6">
        <v>50</v>
      </c>
      <c r="I107" s="2"/>
      <c r="J107" s="7">
        <f t="shared" si="53"/>
        <v>2.001657372304268E-4</v>
      </c>
      <c r="K107" s="2"/>
      <c r="L107" s="6">
        <f t="shared" si="54"/>
        <v>-50</v>
      </c>
      <c r="M107" s="2"/>
      <c r="N107" s="7">
        <f t="shared" si="55"/>
        <v>-1</v>
      </c>
      <c r="O107" s="11"/>
      <c r="P107" s="6"/>
      <c r="Q107" s="2"/>
      <c r="R107" s="7">
        <f t="shared" si="56"/>
        <v>0</v>
      </c>
      <c r="S107" s="2"/>
      <c r="T107" s="6">
        <v>100</v>
      </c>
      <c r="U107" s="2"/>
      <c r="V107" s="7">
        <f t="shared" si="57"/>
        <v>2.3650390467946626E-4</v>
      </c>
      <c r="W107" s="2"/>
      <c r="X107" s="6">
        <f t="shared" si="58"/>
        <v>-100</v>
      </c>
      <c r="Y107" s="2"/>
      <c r="Z107" s="7">
        <f t="shared" si="59"/>
        <v>-1</v>
      </c>
    </row>
    <row r="108" spans="1:26" s="63" customFormat="1" x14ac:dyDescent="0.25">
      <c r="A108" s="36"/>
      <c r="B108" s="36"/>
      <c r="C108" s="36"/>
      <c r="D108" s="1"/>
      <c r="E108" s="1"/>
      <c r="F108" s="5"/>
      <c r="G108" s="1"/>
      <c r="H108" s="1"/>
      <c r="I108" s="1"/>
      <c r="J108" s="5"/>
      <c r="K108" s="1"/>
      <c r="L108" s="1"/>
      <c r="M108" s="1"/>
      <c r="N108" s="5"/>
      <c r="O108" s="36"/>
      <c r="P108" s="1"/>
      <c r="Q108" s="1"/>
      <c r="R108" s="5"/>
      <c r="S108" s="1"/>
      <c r="T108" s="1"/>
      <c r="U108" s="1"/>
      <c r="V108" s="5"/>
      <c r="W108" s="1"/>
      <c r="X108" s="1"/>
      <c r="Y108" s="1"/>
      <c r="Z108" s="5"/>
    </row>
    <row r="109" spans="1:26" s="23" customFormat="1" collapsed="1" x14ac:dyDescent="0.25">
      <c r="A109" s="10"/>
      <c r="B109" s="28" t="s">
        <v>0</v>
      </c>
      <c r="C109" s="10"/>
      <c r="D109" s="4">
        <f>SUM(OSRRefD25x_0)</f>
        <v>5022.16</v>
      </c>
      <c r="E109" s="4"/>
      <c r="F109" s="12">
        <f t="shared" ref="F109:F112" si="60">IF(D$12=0,0,D109/D$12)</f>
        <v>1.9840185327184734E-2</v>
      </c>
      <c r="G109" s="4"/>
      <c r="H109" s="4">
        <f>SUM(OSRRefH25x_0)</f>
        <v>8625</v>
      </c>
      <c r="I109" s="4"/>
      <c r="J109" s="12">
        <f t="shared" ref="J109:J112" si="61">IF(H$12=0,0,H109/H$12)</f>
        <v>3.4528589672248623E-2</v>
      </c>
      <c r="K109" s="4"/>
      <c r="L109" s="4">
        <f t="shared" ref="L109:L112" si="62">+D109-H109</f>
        <v>-3602.84</v>
      </c>
      <c r="M109" s="4"/>
      <c r="N109" s="12">
        <f t="shared" ref="N109:N112" si="63">IF(H109=0,0,L109/H109)</f>
        <v>-0.41772057971014492</v>
      </c>
      <c r="O109" s="10"/>
      <c r="P109" s="4">
        <f>SUM(OSRRefP25x_0)</f>
        <v>14396.98</v>
      </c>
      <c r="Q109" s="4"/>
      <c r="R109" s="12">
        <f t="shared" ref="R109:R112" si="64">IF(P$12=0,0,P109/P$12)</f>
        <v>3.3189905957422342E-2</v>
      </c>
      <c r="S109" s="4"/>
      <c r="T109" s="4">
        <f>SUM(OSRRefT25x_0)</f>
        <v>17250</v>
      </c>
      <c r="U109" s="4"/>
      <c r="V109" s="12">
        <f t="shared" ref="V109:V112" si="65">IF(T$12=0,0,T109/T$12)</f>
        <v>4.0796923557207931E-2</v>
      </c>
      <c r="W109" s="4"/>
      <c r="X109" s="4">
        <f t="shared" ref="X109:X112" si="66">+P109-T109</f>
        <v>-2853.0200000000004</v>
      </c>
      <c r="Y109" s="4"/>
      <c r="Z109" s="12">
        <f t="shared" ref="Z109:Z112" si="67">IF(T109=0,0,X109/T109)</f>
        <v>-0.16539246376811598</v>
      </c>
    </row>
    <row r="110" spans="1:26" s="24" customFormat="1" hidden="1" outlineLevel="1" x14ac:dyDescent="0.25">
      <c r="A110" s="46"/>
      <c r="B110" s="11" t="str">
        <f>CONCATENATE("          ", "9150", " - ", "MISC. INCOME")</f>
        <v xml:space="preserve">          9150 - MISC. INCOME</v>
      </c>
      <c r="C110" s="11"/>
      <c r="D110" s="2">
        <f>--5022.16</f>
        <v>5022.16</v>
      </c>
      <c r="E110" s="2"/>
      <c r="F110" s="21">
        <f t="shared" si="60"/>
        <v>1.9840185327184734E-2</v>
      </c>
      <c r="G110" s="2"/>
      <c r="H110" s="2">
        <v>7725</v>
      </c>
      <c r="I110" s="2"/>
      <c r="J110" s="21">
        <f t="shared" si="61"/>
        <v>3.0925606402100941E-2</v>
      </c>
      <c r="K110" s="2"/>
      <c r="L110" s="2">
        <f t="shared" si="62"/>
        <v>-2702.84</v>
      </c>
      <c r="M110" s="2"/>
      <c r="N110" s="21">
        <f t="shared" si="63"/>
        <v>-0.34988220064724923</v>
      </c>
      <c r="O110" s="11"/>
      <c r="P110" s="2">
        <f>--14396.98</f>
        <v>14396.98</v>
      </c>
      <c r="Q110" s="2"/>
      <c r="R110" s="21">
        <f t="shared" si="64"/>
        <v>3.3189905957422342E-2</v>
      </c>
      <c r="S110" s="2"/>
      <c r="T110" s="2">
        <v>15450</v>
      </c>
      <c r="U110" s="2"/>
      <c r="V110" s="21">
        <f t="shared" si="65"/>
        <v>3.6539853272977534E-2</v>
      </c>
      <c r="W110" s="2"/>
      <c r="X110" s="2">
        <f t="shared" si="66"/>
        <v>-1053.0200000000004</v>
      </c>
      <c r="Y110" s="2"/>
      <c r="Z110" s="21">
        <f t="shared" si="67"/>
        <v>-6.8156634304207153E-2</v>
      </c>
    </row>
    <row r="111" spans="1:26" s="24" customFormat="1" hidden="1" outlineLevel="1" x14ac:dyDescent="0.25">
      <c r="A111" s="46"/>
      <c r="B111" s="11" t="str">
        <f>CONCATENATE("          ", "9151", " - ", "MISC. INCOME")</f>
        <v xml:space="preserve">          9151 - MISC. INCOME</v>
      </c>
      <c r="C111" s="11"/>
      <c r="D111" s="2">
        <f t="shared" ref="D111:D112" si="68">0</f>
        <v>0</v>
      </c>
      <c r="E111" s="2"/>
      <c r="F111" s="21">
        <f t="shared" si="60"/>
        <v>0</v>
      </c>
      <c r="G111" s="2"/>
      <c r="H111" s="2">
        <v>100</v>
      </c>
      <c r="I111" s="2"/>
      <c r="J111" s="21">
        <f t="shared" si="61"/>
        <v>4.0033147446085361E-4</v>
      </c>
      <c r="K111" s="2"/>
      <c r="L111" s="2">
        <f t="shared" si="62"/>
        <v>-100</v>
      </c>
      <c r="M111" s="2"/>
      <c r="N111" s="21">
        <f t="shared" si="63"/>
        <v>-1</v>
      </c>
      <c r="O111" s="11"/>
      <c r="P111" s="2">
        <f t="shared" ref="P111:P112" si="69">0</f>
        <v>0</v>
      </c>
      <c r="Q111" s="2"/>
      <c r="R111" s="21">
        <f t="shared" si="64"/>
        <v>0</v>
      </c>
      <c r="S111" s="2"/>
      <c r="T111" s="2">
        <v>200</v>
      </c>
      <c r="U111" s="2"/>
      <c r="V111" s="21">
        <f t="shared" si="65"/>
        <v>4.7300780935893253E-4</v>
      </c>
      <c r="W111" s="2"/>
      <c r="X111" s="2">
        <f t="shared" si="66"/>
        <v>-200</v>
      </c>
      <c r="Y111" s="2"/>
      <c r="Z111" s="21">
        <f t="shared" si="67"/>
        <v>-1</v>
      </c>
    </row>
    <row r="112" spans="1:26" s="24" customFormat="1" hidden="1" outlineLevel="1" x14ac:dyDescent="0.25">
      <c r="A112" s="46"/>
      <c r="B112" s="11" t="str">
        <f>CONCATENATE("          ", "9160", " - ", "MISC. INCOME")</f>
        <v xml:space="preserve">          9160 - MISC. INCOME</v>
      </c>
      <c r="C112" s="11"/>
      <c r="D112" s="2">
        <f t="shared" si="68"/>
        <v>0</v>
      </c>
      <c r="E112" s="2"/>
      <c r="F112" s="21">
        <f t="shared" si="60"/>
        <v>0</v>
      </c>
      <c r="G112" s="2"/>
      <c r="H112" s="2">
        <v>800</v>
      </c>
      <c r="I112" s="2"/>
      <c r="J112" s="21">
        <f t="shared" si="61"/>
        <v>3.2026517956868289E-3</v>
      </c>
      <c r="K112" s="2"/>
      <c r="L112" s="2">
        <f t="shared" si="62"/>
        <v>-800</v>
      </c>
      <c r="M112" s="2"/>
      <c r="N112" s="21">
        <f t="shared" si="63"/>
        <v>-1</v>
      </c>
      <c r="O112" s="11"/>
      <c r="P112" s="2">
        <f t="shared" si="69"/>
        <v>0</v>
      </c>
      <c r="Q112" s="2"/>
      <c r="R112" s="21">
        <f t="shared" si="64"/>
        <v>0</v>
      </c>
      <c r="S112" s="2"/>
      <c r="T112" s="2">
        <v>1600</v>
      </c>
      <c r="U112" s="2"/>
      <c r="V112" s="21">
        <f t="shared" si="65"/>
        <v>3.7840624748714602E-3</v>
      </c>
      <c r="W112" s="2"/>
      <c r="X112" s="2">
        <f t="shared" si="66"/>
        <v>-1600</v>
      </c>
      <c r="Y112" s="2"/>
      <c r="Z112" s="21">
        <f t="shared" si="67"/>
        <v>-1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9" t="s">
        <v>3</v>
      </c>
      <c r="C114" s="29"/>
      <c r="D114" s="22">
        <f>+D50-D52+D109</f>
        <v>92206.619999999966</v>
      </c>
      <c r="E114" s="14"/>
      <c r="F114" s="20">
        <f>IF(D$12=0,0,D114/D$12)</f>
        <v>0.36426486396158181</v>
      </c>
      <c r="G114" s="14"/>
      <c r="H114" s="22">
        <f>+H50-H52+H109</f>
        <v>88253.494823755769</v>
      </c>
      <c r="I114" s="14"/>
      <c r="J114" s="20">
        <f>IF(H$12=0,0,H114/H$12)</f>
        <v>0.35330651709117455</v>
      </c>
      <c r="K114" s="15"/>
      <c r="L114" s="22">
        <f>+D114-H114</f>
        <v>3953.1251762441971</v>
      </c>
      <c r="M114" s="15"/>
      <c r="N114" s="20">
        <f>IF(H114=0,0,L114/H114)</f>
        <v>4.4792845701336563E-2</v>
      </c>
      <c r="O114" s="28"/>
      <c r="P114" s="22">
        <f>+P50-P52+P109</f>
        <v>139646.59999999995</v>
      </c>
      <c r="Q114" s="14"/>
      <c r="R114" s="20">
        <f>IF(P$12=0,0,P114/P$12)</f>
        <v>0.32193262206891815</v>
      </c>
      <c r="S114" s="14"/>
      <c r="T114" s="22">
        <f>+T50-T52+T109</f>
        <v>131116.33529345048</v>
      </c>
      <c r="U114" s="14"/>
      <c r="V114" s="20">
        <f>IF(T$12=0,0,T114/T$12)</f>
        <v>0.31009525264163151</v>
      </c>
      <c r="W114" s="15"/>
      <c r="X114" s="22">
        <f>+P114-T114</f>
        <v>8530.2647065494675</v>
      </c>
      <c r="Y114" s="15"/>
      <c r="Z114" s="20">
        <f>IF(T114=0,0,X114/T114)</f>
        <v>6.5058748686484771E-2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2"/>
      <c r="B116" s="10" t="s">
        <v>14</v>
      </c>
      <c r="C116" s="10"/>
      <c r="D116" s="4">
        <v>16522.489999999998</v>
      </c>
      <c r="E116" s="4"/>
      <c r="F116" s="12">
        <f>IF(D$12=0,0,D116/D$12)</f>
        <v>6.5272564726443688E-2</v>
      </c>
      <c r="G116" s="4"/>
      <c r="H116" s="4">
        <v>26499</v>
      </c>
      <c r="I116" s="4"/>
      <c r="J116" s="12">
        <f>IF(H$12=0,0,H116/H$12)</f>
        <v>0.10608383741738159</v>
      </c>
      <c r="K116" s="4"/>
      <c r="L116" s="4">
        <f>+D116-H116</f>
        <v>-9976.510000000002</v>
      </c>
      <c r="M116" s="4"/>
      <c r="N116" s="12">
        <f>IF(H116=0,0,L116/H116)</f>
        <v>-0.37648628250122657</v>
      </c>
      <c r="O116" s="10"/>
      <c r="P116" s="4">
        <v>54083.939999999995</v>
      </c>
      <c r="Q116" s="4"/>
      <c r="R116" s="12">
        <f>IF(P$12=0,0,P116/P$12)</f>
        <v>0.12468176537071472</v>
      </c>
      <c r="S116" s="4"/>
      <c r="T116" s="4">
        <v>68668</v>
      </c>
      <c r="U116" s="4"/>
      <c r="V116" s="12">
        <f>IF(T$12=0,0,T116/T$12)</f>
        <v>0.1624025012652959</v>
      </c>
      <c r="W116" s="4"/>
      <c r="X116" s="4">
        <f>+P116-T116</f>
        <v>-14584.060000000005</v>
      </c>
      <c r="Y116" s="4"/>
      <c r="Z116" s="12">
        <f>IF(T116=0,0,X116/T116)</f>
        <v>-0.21238509931845992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9" t="s">
        <v>4</v>
      </c>
      <c r="C118" s="29"/>
      <c r="D118" s="31">
        <f>+D114-D116</f>
        <v>75684.129999999976</v>
      </c>
      <c r="E118" s="14"/>
      <c r="F118" s="32">
        <f>IF(D$12=0,0,D118/D$12)</f>
        <v>0.29899229923513815</v>
      </c>
      <c r="G118" s="14"/>
      <c r="H118" s="31">
        <f>+H114-H116</f>
        <v>61754.494823755769</v>
      </c>
      <c r="I118" s="14"/>
      <c r="J118" s="32">
        <f>IF(H$12=0,0,H118/H$12)</f>
        <v>0.24722267967379297</v>
      </c>
      <c r="K118" s="15"/>
      <c r="L118" s="31">
        <f>D118-H118</f>
        <v>13929.635176244206</v>
      </c>
      <c r="M118" s="15"/>
      <c r="N118" s="32">
        <f>IF(H118=0,0,L118/H118)</f>
        <v>0.22556471745091083</v>
      </c>
      <c r="O118" s="28"/>
      <c r="P118" s="31">
        <f>+P114-P116</f>
        <v>85562.659999999945</v>
      </c>
      <c r="Q118" s="14"/>
      <c r="R118" s="32">
        <f>IF(P$12=0,0,P118/P$12)</f>
        <v>0.19725085669820341</v>
      </c>
      <c r="S118" s="14"/>
      <c r="T118" s="31">
        <f>+T114-T116</f>
        <v>62448.33529345048</v>
      </c>
      <c r="U118" s="14"/>
      <c r="V118" s="32">
        <f>IF(T$12=0,0,T118/T$12)</f>
        <v>0.14769275137633561</v>
      </c>
      <c r="W118" s="15"/>
      <c r="X118" s="31">
        <f>P118-T118</f>
        <v>23114.324706549465</v>
      </c>
      <c r="Y118" s="15"/>
      <c r="Z118" s="32">
        <f>IF(T118=0,0,X118/T118)</f>
        <v>0.37013516209732611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9" t="s">
        <v>5</v>
      </c>
      <c r="C121" s="29"/>
      <c r="D121" s="33">
        <f>SUM(D118:D120)</f>
        <v>75684.129999999976</v>
      </c>
      <c r="E121" s="14"/>
      <c r="F121" s="35">
        <f>IF(D$12=0,0,D121/D$12)</f>
        <v>0.29899229923513815</v>
      </c>
      <c r="G121" s="14"/>
      <c r="H121" s="33">
        <f>SUM(H118:H120)</f>
        <v>61754.494823755769</v>
      </c>
      <c r="I121" s="14"/>
      <c r="J121" s="35">
        <f>IF(H$12=0,0,H121/H$12)</f>
        <v>0.24722267967379297</v>
      </c>
      <c r="K121" s="15"/>
      <c r="L121" s="33">
        <f>+D121-H121</f>
        <v>13929.635176244206</v>
      </c>
      <c r="M121" s="15"/>
      <c r="N121" s="35">
        <f>IF(H121=0,0,L121/H121)</f>
        <v>0.22556471745091083</v>
      </c>
      <c r="O121" s="28"/>
      <c r="P121" s="33">
        <f>SUM(P118:P120)</f>
        <v>85562.659999999945</v>
      </c>
      <c r="Q121" s="14"/>
      <c r="R121" s="35">
        <f>IF(P$12=0,0,P121/P$12)</f>
        <v>0.19725085669820341</v>
      </c>
      <c r="S121" s="14"/>
      <c r="T121" s="33">
        <f>SUM(T118:T120)</f>
        <v>62448.33529345048</v>
      </c>
      <c r="U121" s="14"/>
      <c r="V121" s="35">
        <f>IF(T$12=0,0,T121/T$12)</f>
        <v>0.14769275137633561</v>
      </c>
      <c r="W121" s="15"/>
      <c r="X121" s="33">
        <f>+P121-T121</f>
        <v>23114.324706549465</v>
      </c>
      <c r="Y121" s="15"/>
      <c r="Z121" s="35">
        <f>IF(T121=0,0,X121/T121)</f>
        <v>0.37013516209732611</v>
      </c>
    </row>
    <row r="122" spans="1:26" ht="15.75" thickTop="1" x14ac:dyDescent="0.25">
      <c r="A122" s="9"/>
      <c r="C122" s="9"/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25">
      <c r="A123" s="9"/>
      <c r="B123" s="61">
        <v>43732.706047881948</v>
      </c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25">
      <c r="A124" s="9"/>
      <c r="B124" s="62" t="s">
        <v>314</v>
      </c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  <row r="125" spans="1:26" x14ac:dyDescent="0.25">
      <c r="A125" s="9"/>
      <c r="B125" s="58"/>
      <c r="D125" s="17"/>
      <c r="E125" s="17"/>
      <c r="G125" s="17"/>
      <c r="H125" s="17"/>
      <c r="I125" s="17"/>
      <c r="J125" s="42"/>
      <c r="K125" s="17"/>
      <c r="L125" s="17"/>
      <c r="M125" s="17"/>
      <c r="P125" s="17"/>
      <c r="Q125" s="17"/>
      <c r="R125" s="42"/>
      <c r="S125" s="17"/>
      <c r="T125" s="17"/>
      <c r="U125" s="17"/>
      <c r="V125" s="42"/>
      <c r="W125" s="17"/>
      <c r="X125" s="17"/>
    </row>
    <row r="126" spans="1:26" x14ac:dyDescent="0.25">
      <c r="D126" s="17"/>
      <c r="E126" s="17"/>
      <c r="G126" s="17"/>
      <c r="H126" s="17"/>
      <c r="I126" s="17"/>
      <c r="J126" s="42"/>
      <c r="K126" s="17"/>
      <c r="L126" s="17"/>
      <c r="M126" s="17"/>
      <c r="P126" s="17"/>
      <c r="Q126" s="17"/>
      <c r="R126" s="42"/>
      <c r="S126" s="17"/>
      <c r="T126" s="17"/>
      <c r="U126" s="17"/>
      <c r="V126" s="42"/>
      <c r="W126" s="17"/>
      <c r="X126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305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97366.560000000027</v>
      </c>
      <c r="E12" s="4"/>
      <c r="F12" s="12"/>
      <c r="G12" s="4"/>
      <c r="H12" s="4">
        <f>SUM(OSRRefH13x_0)</f>
        <v>108300</v>
      </c>
      <c r="I12" s="4"/>
      <c r="J12" s="12"/>
      <c r="K12" s="4"/>
      <c r="L12" s="4">
        <f t="shared" ref="L12:L28" si="0">+D12-H12</f>
        <v>-10933.439999999973</v>
      </c>
      <c r="M12" s="4"/>
      <c r="N12" s="12">
        <f t="shared" ref="N12:N28" si="1">IF(H12=0,0,L12/H12)</f>
        <v>-0.10095512465373936</v>
      </c>
      <c r="O12" s="10"/>
      <c r="P12" s="4">
        <f>SUM(OSRRefP13x_0)</f>
        <v>106275.65000000001</v>
      </c>
      <c r="Q12" s="4"/>
      <c r="R12" s="12"/>
      <c r="S12" s="4"/>
      <c r="T12" s="4">
        <f>SUM(OSRRefT13x_0)</f>
        <v>119700</v>
      </c>
      <c r="U12" s="4"/>
      <c r="V12" s="12"/>
      <c r="W12" s="4"/>
      <c r="X12" s="4">
        <f t="shared" ref="X12:X28" si="2">+P12-T12</f>
        <v>-13424.349999999991</v>
      </c>
      <c r="Y12" s="4"/>
      <c r="Z12" s="12">
        <f t="shared" ref="Z12:Z28" si="3">IF(T12=0,0,X12/T12)</f>
        <v>-0.11214995822890553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85025</v>
      </c>
      <c r="I13" s="2"/>
      <c r="J13" s="21"/>
      <c r="K13" s="2"/>
      <c r="L13" s="2">
        <f t="shared" si="0"/>
        <v>-85025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92625</v>
      </c>
      <c r="U13" s="2"/>
      <c r="V13" s="21"/>
      <c r="W13" s="2"/>
      <c r="X13" s="2">
        <f t="shared" si="2"/>
        <v>-92625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"4041", " - ", "TAXABLE SALES-LOGO GIFTS")</f>
        <v xml:space="preserve">          4041 - TAXABLE SALES-LOGO GIFTS</v>
      </c>
      <c r="C14" s="11"/>
      <c r="D14" s="2">
        <f>--73904.1</f>
        <v>73904.100000000006</v>
      </c>
      <c r="E14" s="2"/>
      <c r="F14" s="21"/>
      <c r="G14" s="2"/>
      <c r="H14" s="2"/>
      <c r="I14" s="2"/>
      <c r="J14" s="21"/>
      <c r="K14" s="2"/>
      <c r="L14" s="2">
        <f t="shared" si="0"/>
        <v>73904.100000000006</v>
      </c>
      <c r="M14" s="2"/>
      <c r="N14" s="21">
        <f t="shared" si="1"/>
        <v>0</v>
      </c>
      <c r="O14" s="11"/>
      <c r="P14" s="2">
        <f>--74367.8</f>
        <v>74367.8</v>
      </c>
      <c r="Q14" s="2"/>
      <c r="R14" s="21"/>
      <c r="S14" s="2"/>
      <c r="T14" s="2"/>
      <c r="U14" s="2"/>
      <c r="V14" s="21"/>
      <c r="W14" s="2"/>
      <c r="X14" s="2">
        <f t="shared" si="2"/>
        <v>74367.8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--8017.07</f>
        <v>8017.07</v>
      </c>
      <c r="E15" s="2"/>
      <c r="F15" s="21"/>
      <c r="G15" s="2"/>
      <c r="H15" s="2"/>
      <c r="I15" s="2"/>
      <c r="J15" s="21"/>
      <c r="K15" s="2"/>
      <c r="L15" s="2">
        <f t="shared" si="0"/>
        <v>8017.07</v>
      </c>
      <c r="M15" s="2"/>
      <c r="N15" s="21">
        <f t="shared" si="1"/>
        <v>0</v>
      </c>
      <c r="O15" s="11"/>
      <c r="P15" s="2">
        <f>--12076.99</f>
        <v>12076.99</v>
      </c>
      <c r="Q15" s="2"/>
      <c r="R15" s="21"/>
      <c r="S15" s="2"/>
      <c r="T15" s="2"/>
      <c r="U15" s="2"/>
      <c r="V15" s="21"/>
      <c r="W15" s="2"/>
      <c r="X15" s="2">
        <f t="shared" si="2"/>
        <v>12076.99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"4043", " - ", "TAXABLE SALES-CARDS")</f>
        <v xml:space="preserve">          4043 - TAXABLE SALES-CARDS</v>
      </c>
      <c r="C16" s="11"/>
      <c r="D16" s="2">
        <f>--61.71</f>
        <v>61.71</v>
      </c>
      <c r="E16" s="2"/>
      <c r="F16" s="21"/>
      <c r="G16" s="2"/>
      <c r="H16" s="2"/>
      <c r="I16" s="2"/>
      <c r="J16" s="21"/>
      <c r="K16" s="2"/>
      <c r="L16" s="2">
        <f t="shared" si="0"/>
        <v>61.71</v>
      </c>
      <c r="M16" s="2"/>
      <c r="N16" s="21">
        <f t="shared" si="1"/>
        <v>0</v>
      </c>
      <c r="O16" s="11"/>
      <c r="P16" s="2">
        <f>--77.26</f>
        <v>77.260000000000005</v>
      </c>
      <c r="Q16" s="2"/>
      <c r="R16" s="21"/>
      <c r="S16" s="2"/>
      <c r="T16" s="2"/>
      <c r="U16" s="2"/>
      <c r="V16" s="21"/>
      <c r="W16" s="2"/>
      <c r="X16" s="2">
        <f t="shared" si="2"/>
        <v>77.260000000000005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"4047", " - ", "TAXABLE SALES-MISC")</f>
        <v xml:space="preserve">          4047 - TAXABLE SALES-MISC</v>
      </c>
      <c r="C17" s="11"/>
      <c r="D17" s="2">
        <f>--442.38</f>
        <v>442.38</v>
      </c>
      <c r="E17" s="2"/>
      <c r="F17" s="21"/>
      <c r="G17" s="2"/>
      <c r="H17" s="2"/>
      <c r="I17" s="2"/>
      <c r="J17" s="21"/>
      <c r="K17" s="2"/>
      <c r="L17" s="2">
        <f t="shared" si="0"/>
        <v>442.38</v>
      </c>
      <c r="M17" s="2"/>
      <c r="N17" s="21">
        <f t="shared" si="1"/>
        <v>0</v>
      </c>
      <c r="O17" s="11"/>
      <c r="P17" s="2">
        <f>--482.38</f>
        <v>482.38</v>
      </c>
      <c r="Q17" s="2"/>
      <c r="R17" s="21"/>
      <c r="S17" s="2"/>
      <c r="T17" s="2"/>
      <c r="U17" s="2"/>
      <c r="V17" s="21"/>
      <c r="W17" s="2"/>
      <c r="X17" s="2">
        <f t="shared" si="2"/>
        <v>482.38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"4092", " - ", "TAXABLE SALES-GRAD MERCH")</f>
        <v xml:space="preserve">          4092 - TAXABLE SALES-GRAD MERCH</v>
      </c>
      <c r="C18" s="11"/>
      <c r="D18" s="2">
        <f>--1734.05</f>
        <v>1734.05</v>
      </c>
      <c r="E18" s="2"/>
      <c r="F18" s="21"/>
      <c r="G18" s="2"/>
      <c r="H18" s="2"/>
      <c r="I18" s="2"/>
      <c r="J18" s="21"/>
      <c r="K18" s="2"/>
      <c r="L18" s="2">
        <f t="shared" si="0"/>
        <v>1734.05</v>
      </c>
      <c r="M18" s="2"/>
      <c r="N18" s="21">
        <f t="shared" si="1"/>
        <v>0</v>
      </c>
      <c r="O18" s="11"/>
      <c r="P18" s="2">
        <f>--3862.68</f>
        <v>3862.68</v>
      </c>
      <c r="Q18" s="2"/>
      <c r="R18" s="21"/>
      <c r="S18" s="2"/>
      <c r="T18" s="2"/>
      <c r="U18" s="2"/>
      <c r="V18" s="21"/>
      <c r="W18" s="2"/>
      <c r="X18" s="2">
        <f t="shared" si="2"/>
        <v>3862.68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>--121.55</f>
        <v>121.55</v>
      </c>
      <c r="E19" s="2"/>
      <c r="F19" s="21"/>
      <c r="G19" s="2"/>
      <c r="H19" s="2"/>
      <c r="I19" s="2"/>
      <c r="J19" s="21"/>
      <c r="K19" s="2"/>
      <c r="L19" s="2">
        <f t="shared" si="0"/>
        <v>121.55</v>
      </c>
      <c r="M19" s="2"/>
      <c r="N19" s="21">
        <f t="shared" si="1"/>
        <v>0</v>
      </c>
      <c r="O19" s="11"/>
      <c r="P19" s="2">
        <f>--157.19</f>
        <v>157.19</v>
      </c>
      <c r="Q19" s="2"/>
      <c r="R19" s="21"/>
      <c r="S19" s="2"/>
      <c r="T19" s="2"/>
      <c r="U19" s="2"/>
      <c r="V19" s="21"/>
      <c r="W19" s="2"/>
      <c r="X19" s="2">
        <f t="shared" si="2"/>
        <v>157.19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"4100", " - ", "NON-TAXABLE SALES")</f>
        <v xml:space="preserve">          4100 - NON-TAXABLE SALES</v>
      </c>
      <c r="C20" s="11"/>
      <c r="D20" s="2">
        <f>0</f>
        <v>0</v>
      </c>
      <c r="E20" s="2"/>
      <c r="F20" s="21"/>
      <c r="G20" s="2"/>
      <c r="H20" s="2">
        <v>23275</v>
      </c>
      <c r="I20" s="2"/>
      <c r="J20" s="21"/>
      <c r="K20" s="2"/>
      <c r="L20" s="2">
        <f t="shared" si="0"/>
        <v>-23275</v>
      </c>
      <c r="M20" s="2"/>
      <c r="N20" s="21">
        <f t="shared" si="1"/>
        <v>-1</v>
      </c>
      <c r="O20" s="11"/>
      <c r="P20" s="2">
        <f>0</f>
        <v>0</v>
      </c>
      <c r="Q20" s="2"/>
      <c r="R20" s="21"/>
      <c r="S20" s="2"/>
      <c r="T20" s="2">
        <v>27075</v>
      </c>
      <c r="U20" s="2"/>
      <c r="V20" s="21"/>
      <c r="W20" s="2"/>
      <c r="X20" s="2">
        <f t="shared" si="2"/>
        <v>-27075</v>
      </c>
      <c r="Y20" s="2"/>
      <c r="Z20" s="21">
        <f t="shared" si="3"/>
        <v>-1</v>
      </c>
    </row>
    <row r="21" spans="1:26" s="24" customFormat="1" hidden="1" outlineLevel="1" x14ac:dyDescent="0.25">
      <c r="A21" s="46"/>
      <c r="B21" s="11" t="str">
        <f>CONCATENATE("          ", "4141", " - ", "NON-TAXABLE SALES-LOGO GIFTS")</f>
        <v xml:space="preserve">          4141 - NON-TAXABLE SALES-LOGO GIFTS</v>
      </c>
      <c r="C21" s="11"/>
      <c r="D21" s="2">
        <f>--169.45</f>
        <v>169.45</v>
      </c>
      <c r="E21" s="2"/>
      <c r="F21" s="21"/>
      <c r="G21" s="2"/>
      <c r="H21" s="2"/>
      <c r="I21" s="2"/>
      <c r="J21" s="21"/>
      <c r="K21" s="2"/>
      <c r="L21" s="2">
        <f t="shared" si="0"/>
        <v>169.45</v>
      </c>
      <c r="M21" s="2"/>
      <c r="N21" s="21">
        <f t="shared" si="1"/>
        <v>0</v>
      </c>
      <c r="O21" s="11"/>
      <c r="P21" s="2">
        <f>--177.4</f>
        <v>177.4</v>
      </c>
      <c r="Q21" s="2"/>
      <c r="R21" s="21"/>
      <c r="S21" s="2"/>
      <c r="T21" s="2"/>
      <c r="U21" s="2"/>
      <c r="V21" s="21"/>
      <c r="W21" s="2"/>
      <c r="X21" s="2">
        <f t="shared" si="2"/>
        <v>177.4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"4142", " - ", "NON-TAXABLE SALES-EVERYDAY GIF")</f>
        <v xml:space="preserve">          4142 - NON-TAXABLE SALES-EVERYDAY GIF</v>
      </c>
      <c r="C22" s="11"/>
      <c r="D22" s="2">
        <f>--401</f>
        <v>401</v>
      </c>
      <c r="E22" s="2"/>
      <c r="F22" s="21"/>
      <c r="G22" s="2"/>
      <c r="H22" s="2"/>
      <c r="I22" s="2"/>
      <c r="J22" s="21"/>
      <c r="K22" s="2"/>
      <c r="L22" s="2">
        <f t="shared" si="0"/>
        <v>401</v>
      </c>
      <c r="M22" s="2"/>
      <c r="N22" s="21">
        <f t="shared" si="1"/>
        <v>0</v>
      </c>
      <c r="O22" s="11"/>
      <c r="P22" s="2">
        <f>--512</f>
        <v>512</v>
      </c>
      <c r="Q22" s="2"/>
      <c r="R22" s="21"/>
      <c r="S22" s="2"/>
      <c r="T22" s="2"/>
      <c r="U22" s="2"/>
      <c r="V22" s="21"/>
      <c r="W22" s="2"/>
      <c r="X22" s="2">
        <f t="shared" si="2"/>
        <v>512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"4146", " - ", "NON-TAXABLE SALES-COIN OP MACH")</f>
        <v xml:space="preserve">          4146 - NON-TAXABLE SALES-COIN OP MACH</v>
      </c>
      <c r="C23" s="11"/>
      <c r="D23" s="2">
        <f>--13281.65</f>
        <v>13281.65</v>
      </c>
      <c r="E23" s="2"/>
      <c r="F23" s="21"/>
      <c r="G23" s="2"/>
      <c r="H23" s="2"/>
      <c r="I23" s="2"/>
      <c r="J23" s="21"/>
      <c r="K23" s="2"/>
      <c r="L23" s="2">
        <f t="shared" si="0"/>
        <v>13281.65</v>
      </c>
      <c r="M23" s="2"/>
      <c r="N23" s="21">
        <f t="shared" si="1"/>
        <v>0</v>
      </c>
      <c r="O23" s="11"/>
      <c r="P23" s="2">
        <f>--15348.75</f>
        <v>15348.75</v>
      </c>
      <c r="Q23" s="2"/>
      <c r="R23" s="21"/>
      <c r="S23" s="2"/>
      <c r="T23" s="2"/>
      <c r="U23" s="2"/>
      <c r="V23" s="21"/>
      <c r="W23" s="2"/>
      <c r="X23" s="2">
        <f t="shared" si="2"/>
        <v>15348.75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"4147", " - ", "NON-TAXABLE SALES-MISC")</f>
        <v xml:space="preserve">          4147 - NON-TAXABLE SALES-MISC</v>
      </c>
      <c r="C24" s="11"/>
      <c r="D24" s="2">
        <f>--53.9</f>
        <v>53.9</v>
      </c>
      <c r="E24" s="2"/>
      <c r="F24" s="21"/>
      <c r="G24" s="2"/>
      <c r="H24" s="2"/>
      <c r="I24" s="2"/>
      <c r="J24" s="21"/>
      <c r="K24" s="2"/>
      <c r="L24" s="2">
        <f t="shared" si="0"/>
        <v>53.9</v>
      </c>
      <c r="M24" s="2"/>
      <c r="N24" s="21">
        <f t="shared" si="1"/>
        <v>0</v>
      </c>
      <c r="O24" s="11"/>
      <c r="P24" s="2">
        <f>--70.4</f>
        <v>70.400000000000006</v>
      </c>
      <c r="Q24" s="2"/>
      <c r="R24" s="21"/>
      <c r="S24" s="2"/>
      <c r="T24" s="2"/>
      <c r="U24" s="2"/>
      <c r="V24" s="21"/>
      <c r="W24" s="2"/>
      <c r="X24" s="2">
        <f t="shared" si="2"/>
        <v>70.400000000000006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"4241", " - ", "SALES RETURN TAXABLE-LOGO GIFT")</f>
        <v xml:space="preserve">          4241 - SALES RETURN TAXABLE-LOGO GIFT</v>
      </c>
      <c r="C25" s="11"/>
      <c r="D25" s="2">
        <f>-452.95</f>
        <v>-452.95</v>
      </c>
      <c r="E25" s="2"/>
      <c r="F25" s="21"/>
      <c r="G25" s="2"/>
      <c r="H25" s="2"/>
      <c r="I25" s="2"/>
      <c r="J25" s="21"/>
      <c r="K25" s="2"/>
      <c r="L25" s="2">
        <f t="shared" si="0"/>
        <v>-452.95</v>
      </c>
      <c r="M25" s="2"/>
      <c r="N25" s="21">
        <f t="shared" si="1"/>
        <v>0</v>
      </c>
      <c r="O25" s="11"/>
      <c r="P25" s="2">
        <f>-463.7</f>
        <v>-463.7</v>
      </c>
      <c r="Q25" s="2"/>
      <c r="R25" s="21"/>
      <c r="S25" s="2"/>
      <c r="T25" s="2"/>
      <c r="U25" s="2"/>
      <c r="V25" s="21"/>
      <c r="W25" s="2"/>
      <c r="X25" s="2">
        <f t="shared" si="2"/>
        <v>-463.7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"4242", " - ", "SALES RETURN TAXABLE-EVERYDAY")</f>
        <v xml:space="preserve">          4242 - SALES RETURN TAXABLE-EVERYDAY</v>
      </c>
      <c r="C26" s="11"/>
      <c r="D26" s="2">
        <f>0</f>
        <v>0</v>
      </c>
      <c r="E26" s="2"/>
      <c r="F26" s="21"/>
      <c r="G26" s="2"/>
      <c r="H26" s="2"/>
      <c r="I26" s="2"/>
      <c r="J26" s="21"/>
      <c r="K26" s="2"/>
      <c r="L26" s="2">
        <f t="shared" si="0"/>
        <v>0</v>
      </c>
      <c r="M26" s="2"/>
      <c r="N26" s="21">
        <f t="shared" si="1"/>
        <v>0</v>
      </c>
      <c r="O26" s="11"/>
      <c r="P26" s="2">
        <f>-16.2</f>
        <v>-16.2</v>
      </c>
      <c r="Q26" s="2"/>
      <c r="R26" s="21"/>
      <c r="S26" s="2"/>
      <c r="T26" s="2"/>
      <c r="U26" s="2"/>
      <c r="V26" s="21"/>
      <c r="W26" s="2"/>
      <c r="X26" s="2">
        <f t="shared" si="2"/>
        <v>-16.2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"4292", " - ", "SALES RETURN TAXABLE-GRAD MERC")</f>
        <v xml:space="preserve">          4292 - SALES RETURN TAXABLE-GRAD MERC</v>
      </c>
      <c r="C27" s="11"/>
      <c r="D27" s="2">
        <f>-359.2</f>
        <v>-359.2</v>
      </c>
      <c r="E27" s="2"/>
      <c r="F27" s="21"/>
      <c r="G27" s="2"/>
      <c r="H27" s="2"/>
      <c r="I27" s="2"/>
      <c r="J27" s="21"/>
      <c r="K27" s="2"/>
      <c r="L27" s="2">
        <f t="shared" si="0"/>
        <v>-359.2</v>
      </c>
      <c r="M27" s="2"/>
      <c r="N27" s="21">
        <f t="shared" si="1"/>
        <v>0</v>
      </c>
      <c r="O27" s="11"/>
      <c r="P27" s="2">
        <f>-369.15</f>
        <v>-369.15</v>
      </c>
      <c r="Q27" s="2"/>
      <c r="R27" s="21"/>
      <c r="S27" s="2"/>
      <c r="T27" s="2"/>
      <c r="U27" s="2"/>
      <c r="V27" s="21"/>
      <c r="W27" s="2"/>
      <c r="X27" s="2">
        <f t="shared" si="2"/>
        <v>-369.15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"4346", " - ", "SALES RETURN NON TAXABLE-COIN-")</f>
        <v xml:space="preserve">          4346 - SALES RETURN NON TAXABLE-COIN-</v>
      </c>
      <c r="C28" s="11"/>
      <c r="D28" s="2">
        <f>-8.15</f>
        <v>-8.15</v>
      </c>
      <c r="E28" s="2"/>
      <c r="F28" s="21"/>
      <c r="G28" s="2"/>
      <c r="H28" s="2"/>
      <c r="I28" s="2"/>
      <c r="J28" s="21"/>
      <c r="K28" s="2"/>
      <c r="L28" s="2">
        <f t="shared" si="0"/>
        <v>-8.15</v>
      </c>
      <c r="M28" s="2"/>
      <c r="N28" s="21">
        <f t="shared" si="1"/>
        <v>0</v>
      </c>
      <c r="O28" s="11"/>
      <c r="P28" s="2">
        <f>-8.15</f>
        <v>-8.15</v>
      </c>
      <c r="Q28" s="2"/>
      <c r="R28" s="21"/>
      <c r="S28" s="2"/>
      <c r="T28" s="2"/>
      <c r="U28" s="2"/>
      <c r="V28" s="21"/>
      <c r="W28" s="2"/>
      <c r="X28" s="2">
        <f t="shared" si="2"/>
        <v>-8.15</v>
      </c>
      <c r="Y28" s="2"/>
      <c r="Z28" s="21">
        <f t="shared" si="3"/>
        <v>0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25">
      <c r="A30" s="10"/>
      <c r="B30" s="28" t="s">
        <v>8</v>
      </c>
      <c r="C30" s="10"/>
      <c r="D30" s="4">
        <f>SUM(OSRRefD16x_0)</f>
        <v>820.97</v>
      </c>
      <c r="E30" s="4"/>
      <c r="F30" s="12">
        <f t="shared" ref="F30:F35" si="4">IF(D$12=0,0,D30/D$12)</f>
        <v>8.4317449440547126E-3</v>
      </c>
      <c r="G30" s="4"/>
      <c r="H30" s="4">
        <f>SUM(OSRRefH16x_0)</f>
        <v>0</v>
      </c>
      <c r="I30" s="4"/>
      <c r="J30" s="12">
        <f t="shared" ref="J30:J35" si="5">IF(H$12=0,0,H30/H$12)</f>
        <v>0</v>
      </c>
      <c r="K30" s="4"/>
      <c r="L30" s="4">
        <f t="shared" ref="L30:L35" si="6">+D30-H30</f>
        <v>820.97</v>
      </c>
      <c r="M30" s="4"/>
      <c r="N30" s="12">
        <f t="shared" ref="N30:N35" si="7">IF(H30=0,0,L30/H30)</f>
        <v>0</v>
      </c>
      <c r="O30" s="10"/>
      <c r="P30" s="4">
        <f>SUM(OSRRefP16x_0)</f>
        <v>1865.4199999999998</v>
      </c>
      <c r="Q30" s="4"/>
      <c r="R30" s="12">
        <f t="shared" ref="R30:R35" si="8">IF(P$12=0,0,P30/P$12)</f>
        <v>1.7552656699817877E-2</v>
      </c>
      <c r="S30" s="4"/>
      <c r="T30" s="4">
        <f>SUM(OSRRefT16x_0)</f>
        <v>0</v>
      </c>
      <c r="U30" s="4"/>
      <c r="V30" s="12">
        <f t="shared" ref="V30:V35" si="9">IF(T$12=0,0,T30/T$12)</f>
        <v>0</v>
      </c>
      <c r="W30" s="4"/>
      <c r="X30" s="4">
        <f t="shared" ref="X30:X35" si="10">+P30-T30</f>
        <v>1865.4199999999998</v>
      </c>
      <c r="Y30" s="4"/>
      <c r="Z30" s="12">
        <f t="shared" ref="Z30:Z35" si="11">IF(T30=0,0,X30/T30)</f>
        <v>0</v>
      </c>
    </row>
    <row r="31" spans="1:26" s="24" customFormat="1" hidden="1" outlineLevel="1" x14ac:dyDescent="0.25">
      <c r="A31" s="46"/>
      <c r="B31" s="11" t="str">
        <f>CONCATENATE("          ", "5092", " - ", "PURCHASES @ COST-GRAD MERCH")</f>
        <v xml:space="preserve">          5092 - PURCHASES @ COST-GRAD MERCH</v>
      </c>
      <c r="C31" s="11"/>
      <c r="D31" s="2">
        <v>-600.6</v>
      </c>
      <c r="E31" s="2"/>
      <c r="F31" s="21">
        <f t="shared" si="4"/>
        <v>-6.1684422249281461E-3</v>
      </c>
      <c r="G31" s="2"/>
      <c r="H31" s="2"/>
      <c r="I31" s="2"/>
      <c r="J31" s="21">
        <f t="shared" si="5"/>
        <v>0</v>
      </c>
      <c r="K31" s="2"/>
      <c r="L31" s="2">
        <f t="shared" si="6"/>
        <v>-600.6</v>
      </c>
      <c r="M31" s="2"/>
      <c r="N31" s="21">
        <f t="shared" si="7"/>
        <v>0</v>
      </c>
      <c r="O31" s="11"/>
      <c r="P31" s="2">
        <v>628</v>
      </c>
      <c r="Q31" s="2"/>
      <c r="R31" s="21">
        <f t="shared" si="8"/>
        <v>5.9091616941416023E-3</v>
      </c>
      <c r="S31" s="2"/>
      <c r="T31" s="2"/>
      <c r="U31" s="2"/>
      <c r="V31" s="21">
        <f t="shared" si="9"/>
        <v>0</v>
      </c>
      <c r="W31" s="2"/>
      <c r="X31" s="2">
        <f t="shared" si="10"/>
        <v>628</v>
      </c>
      <c r="Y31" s="2"/>
      <c r="Z31" s="21">
        <f t="shared" si="11"/>
        <v>0</v>
      </c>
    </row>
    <row r="32" spans="1:26" s="24" customFormat="1" hidden="1" outlineLevel="1" x14ac:dyDescent="0.25">
      <c r="A32" s="46"/>
      <c r="B32" s="11" t="str">
        <f>CONCATENATE("          ", "5095", " - ", "PURCHASES @ COST-CUSTOMER SERV")</f>
        <v xml:space="preserve">          5095 - PURCHASES @ COST-CUSTOMER SERV</v>
      </c>
      <c r="C32" s="11"/>
      <c r="D32" s="2"/>
      <c r="E32" s="2"/>
      <c r="F32" s="21">
        <f t="shared" si="4"/>
        <v>0</v>
      </c>
      <c r="G32" s="2"/>
      <c r="H32" s="2"/>
      <c r="I32" s="2"/>
      <c r="J32" s="21">
        <f t="shared" si="5"/>
        <v>0</v>
      </c>
      <c r="K32" s="2"/>
      <c r="L32" s="2">
        <f t="shared" si="6"/>
        <v>0</v>
      </c>
      <c r="M32" s="2"/>
      <c r="N32" s="21">
        <f t="shared" si="7"/>
        <v>0</v>
      </c>
      <c r="O32" s="11"/>
      <c r="P32" s="2">
        <v>11.85</v>
      </c>
      <c r="Q32" s="2"/>
      <c r="R32" s="21">
        <f t="shared" si="8"/>
        <v>1.1150249375092035E-4</v>
      </c>
      <c r="S32" s="2"/>
      <c r="T32" s="2"/>
      <c r="U32" s="2"/>
      <c r="V32" s="21">
        <f t="shared" si="9"/>
        <v>0</v>
      </c>
      <c r="W32" s="2"/>
      <c r="X32" s="2">
        <f t="shared" si="10"/>
        <v>11.85</v>
      </c>
      <c r="Y32" s="2"/>
      <c r="Z32" s="21">
        <f t="shared" si="11"/>
        <v>0</v>
      </c>
    </row>
    <row r="33" spans="1:26" s="24" customFormat="1" hidden="1" outlineLevel="1" x14ac:dyDescent="0.25">
      <c r="A33" s="46"/>
      <c r="B33" s="11" t="str">
        <f>CONCATENATE("          ", "5200", " - ", "PURCHASES OFFSET")</f>
        <v xml:space="preserve">          5200 - PURCHASES OFFSET</v>
      </c>
      <c r="C33" s="11"/>
      <c r="D33" s="2">
        <v>541</v>
      </c>
      <c r="E33" s="2"/>
      <c r="F33" s="21">
        <f t="shared" si="4"/>
        <v>5.5563224170598188E-3</v>
      </c>
      <c r="G33" s="2"/>
      <c r="H33" s="2"/>
      <c r="I33" s="2"/>
      <c r="J33" s="21">
        <f t="shared" si="5"/>
        <v>0</v>
      </c>
      <c r="K33" s="2"/>
      <c r="L33" s="2">
        <f t="shared" si="6"/>
        <v>541</v>
      </c>
      <c r="M33" s="2"/>
      <c r="N33" s="21">
        <f t="shared" si="7"/>
        <v>0</v>
      </c>
      <c r="O33" s="11"/>
      <c r="P33" s="2">
        <v>-700</v>
      </c>
      <c r="Q33" s="2"/>
      <c r="R33" s="21">
        <f t="shared" si="8"/>
        <v>-6.5866452004763078E-3</v>
      </c>
      <c r="S33" s="2"/>
      <c r="T33" s="2"/>
      <c r="U33" s="2"/>
      <c r="V33" s="21">
        <f t="shared" si="9"/>
        <v>0</v>
      </c>
      <c r="W33" s="2"/>
      <c r="X33" s="2">
        <f t="shared" si="10"/>
        <v>-700</v>
      </c>
      <c r="Y33" s="2"/>
      <c r="Z33" s="21">
        <f t="shared" si="11"/>
        <v>0</v>
      </c>
    </row>
    <row r="34" spans="1:26" s="24" customFormat="1" hidden="1" outlineLevel="1" x14ac:dyDescent="0.25">
      <c r="A34" s="46"/>
      <c r="B34" s="11" t="str">
        <f>CONCATENATE("          ", "5300", " - ", "COG$ OFFSET")</f>
        <v xml:space="preserve">          5300 - COG$ OFFSET</v>
      </c>
      <c r="C34" s="11"/>
      <c r="D34" s="2">
        <v>821</v>
      </c>
      <c r="E34" s="2"/>
      <c r="F34" s="21">
        <f t="shared" si="4"/>
        <v>8.4320530580519609E-3</v>
      </c>
      <c r="G34" s="2"/>
      <c r="H34" s="2"/>
      <c r="I34" s="2"/>
      <c r="J34" s="21">
        <f t="shared" si="5"/>
        <v>0</v>
      </c>
      <c r="K34" s="2"/>
      <c r="L34" s="2">
        <f t="shared" si="6"/>
        <v>821</v>
      </c>
      <c r="M34" s="2"/>
      <c r="N34" s="21">
        <f t="shared" si="7"/>
        <v>0</v>
      </c>
      <c r="O34" s="11"/>
      <c r="P34" s="2">
        <v>1866</v>
      </c>
      <c r="Q34" s="2"/>
      <c r="R34" s="21">
        <f t="shared" si="8"/>
        <v>1.7558114205841129E-2</v>
      </c>
      <c r="S34" s="2"/>
      <c r="T34" s="2"/>
      <c r="U34" s="2"/>
      <c r="V34" s="21">
        <f t="shared" si="9"/>
        <v>0</v>
      </c>
      <c r="W34" s="2"/>
      <c r="X34" s="2">
        <f t="shared" si="10"/>
        <v>1866</v>
      </c>
      <c r="Y34" s="2"/>
      <c r="Z34" s="21">
        <f t="shared" si="11"/>
        <v>0</v>
      </c>
    </row>
    <row r="35" spans="1:26" s="24" customFormat="1" hidden="1" outlineLevel="1" x14ac:dyDescent="0.25">
      <c r="A35" s="46"/>
      <c r="B35" s="11" t="str">
        <f>CONCATENATE("          ", "5592", " - ", "FREIGHT-IN-GRAD MERCH")</f>
        <v xml:space="preserve">          5592 - FREIGHT-IN-GRAD MERCH</v>
      </c>
      <c r="C35" s="11"/>
      <c r="D35" s="2">
        <v>59.57</v>
      </c>
      <c r="E35" s="2"/>
      <c r="F35" s="21">
        <f t="shared" si="4"/>
        <v>6.1181169387107841E-4</v>
      </c>
      <c r="G35" s="2"/>
      <c r="H35" s="2"/>
      <c r="I35" s="2"/>
      <c r="J35" s="21">
        <f t="shared" si="5"/>
        <v>0</v>
      </c>
      <c r="K35" s="2"/>
      <c r="L35" s="2">
        <f t="shared" si="6"/>
        <v>59.57</v>
      </c>
      <c r="M35" s="2"/>
      <c r="N35" s="21">
        <f t="shared" si="7"/>
        <v>0</v>
      </c>
      <c r="O35" s="11"/>
      <c r="P35" s="2">
        <v>59.57</v>
      </c>
      <c r="Q35" s="2"/>
      <c r="R35" s="21">
        <f t="shared" si="8"/>
        <v>5.6052350656053381E-4</v>
      </c>
      <c r="S35" s="2"/>
      <c r="T35" s="2"/>
      <c r="U35" s="2"/>
      <c r="V35" s="21">
        <f t="shared" si="9"/>
        <v>0</v>
      </c>
      <c r="W35" s="2"/>
      <c r="X35" s="2">
        <f t="shared" si="10"/>
        <v>59.57</v>
      </c>
      <c r="Y35" s="2"/>
      <c r="Z35" s="21">
        <f t="shared" si="11"/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9" t="s">
        <v>6</v>
      </c>
      <c r="C37" s="29"/>
      <c r="D37" s="22">
        <f>D12-D30</f>
        <v>96545.590000000026</v>
      </c>
      <c r="E37" s="14"/>
      <c r="F37" s="20">
        <f>IF(D$12=0,0,D37/D$12)</f>
        <v>0.99156825505594526</v>
      </c>
      <c r="G37" s="14"/>
      <c r="H37" s="22">
        <f>H12-H30</f>
        <v>108300</v>
      </c>
      <c r="I37" s="14"/>
      <c r="J37" s="20">
        <f>IF(H$12=0,0,H37/H$12)</f>
        <v>1</v>
      </c>
      <c r="K37" s="15"/>
      <c r="L37" s="22">
        <f>+D37-H37</f>
        <v>-11754.409999999974</v>
      </c>
      <c r="M37" s="15"/>
      <c r="N37" s="20">
        <f>IF(H37=0,0,L37/H37)</f>
        <v>-0.10853564173591851</v>
      </c>
      <c r="O37" s="28"/>
      <c r="P37" s="22">
        <f>P12-P30</f>
        <v>104410.23000000001</v>
      </c>
      <c r="Q37" s="14"/>
      <c r="R37" s="20">
        <f>IF(P$12=0,0,P37/P$12)</f>
        <v>0.98244734330018213</v>
      </c>
      <c r="S37" s="14"/>
      <c r="T37" s="22">
        <f>T12-T30</f>
        <v>119700</v>
      </c>
      <c r="U37" s="14"/>
      <c r="V37" s="20">
        <f>IF(T$12=0,0,T37/T$12)</f>
        <v>1</v>
      </c>
      <c r="W37" s="15"/>
      <c r="X37" s="22">
        <f>+P37-T37</f>
        <v>-15289.76999999999</v>
      </c>
      <c r="Y37" s="15"/>
      <c r="Z37" s="20">
        <f>IF(T37=0,0,X37/T37)</f>
        <v>-0.12773408521303251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6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8" t="s">
        <v>9</v>
      </c>
      <c r="C39" s="10"/>
      <c r="D39" s="19">
        <f>SUM(OSRRefD22x_0)</f>
        <v>27068.840000000004</v>
      </c>
      <c r="E39" s="19"/>
      <c r="F39" s="34">
        <f t="shared" ref="F39:F49" si="12">IF(D$12=0,0,D39/D$12)</f>
        <v>0.27800961644326344</v>
      </c>
      <c r="G39" s="19"/>
      <c r="H39" s="19">
        <f>SUM(OSRRefH22x_0)</f>
        <v>51876.399003760351</v>
      </c>
      <c r="I39" s="19"/>
      <c r="J39" s="34">
        <f t="shared" ref="J39:J49" si="13">IF(H$12=0,0,H39/H$12)</f>
        <v>0.47900645432835043</v>
      </c>
      <c r="K39" s="4"/>
      <c r="L39" s="19">
        <f t="shared" ref="L39:L49" si="14">+D39-H39</f>
        <v>-24807.559003760347</v>
      </c>
      <c r="M39" s="4"/>
      <c r="N39" s="34">
        <f t="shared" ref="N39:N49" si="15">IF(H39=0,0,L39/H39)</f>
        <v>-0.47820510829909624</v>
      </c>
      <c r="O39" s="10"/>
      <c r="P39" s="19">
        <f>SUM(OSRRefP22x_0)</f>
        <v>61812.200000000012</v>
      </c>
      <c r="Q39" s="19"/>
      <c r="R39" s="34">
        <f t="shared" ref="R39:R49" si="16">IF(P$12=0,0,P39/P$12)</f>
        <v>0.5816214720869739</v>
      </c>
      <c r="S39" s="19"/>
      <c r="T39" s="19">
        <f>SUM(OSRRefT22x_0)</f>
        <v>105050.0516417239</v>
      </c>
      <c r="U39" s="19"/>
      <c r="V39" s="34">
        <f t="shared" ref="V39:V49" si="17">IF(T$12=0,0,T39/T$12)</f>
        <v>0.87761112482643189</v>
      </c>
      <c r="W39" s="4"/>
      <c r="X39" s="19">
        <f t="shared" ref="X39:X49" si="18">+P39-T39</f>
        <v>-43237.851641723886</v>
      </c>
      <c r="Y39" s="4"/>
      <c r="Z39" s="34">
        <f t="shared" ref="Z39:Z49" si="19">IF(T39=0,0,X39/T39)</f>
        <v>-0.41159286422045532</v>
      </c>
    </row>
    <row r="40" spans="1:26" s="26" customFormat="1" outlineLevel="1" collapsed="1" x14ac:dyDescent="0.25">
      <c r="A40" s="25"/>
      <c r="B40" s="13" t="str">
        <f>CONCATENATE("     ","*Benefits                                         ")</f>
        <v xml:space="preserve">     *Benefits                                         </v>
      </c>
      <c r="C40" s="13"/>
      <c r="D40" s="1">
        <f>SUM(OSRRefD22_0x_0)</f>
        <v>7233.82</v>
      </c>
      <c r="E40" s="1"/>
      <c r="F40" s="5">
        <f t="shared" si="12"/>
        <v>7.4294706519363499E-2</v>
      </c>
      <c r="G40" s="1"/>
      <c r="H40" s="1">
        <f>SUM(OSRRefH22_0x_0)</f>
        <v>6636.5742999480399</v>
      </c>
      <c r="I40" s="1"/>
      <c r="J40" s="5">
        <f t="shared" si="13"/>
        <v>6.1279541089086238E-2</v>
      </c>
      <c r="K40" s="1"/>
      <c r="L40" s="1">
        <f t="shared" si="14"/>
        <v>597.24570005195983</v>
      </c>
      <c r="M40" s="1"/>
      <c r="N40" s="5">
        <f t="shared" si="15"/>
        <v>8.9993070680552151E-2</v>
      </c>
      <c r="O40" s="13"/>
      <c r="P40" s="1">
        <f>SUM(OSRRefP22_0x_0)</f>
        <v>15142.07</v>
      </c>
      <c r="Q40" s="1"/>
      <c r="R40" s="5">
        <f t="shared" si="16"/>
        <v>0.14247920384396612</v>
      </c>
      <c r="S40" s="1"/>
      <c r="T40" s="1">
        <f>SUM(OSRRefT22_0x_0)</f>
        <v>14404.936190096203</v>
      </c>
      <c r="U40" s="1"/>
      <c r="V40" s="5">
        <f t="shared" si="17"/>
        <v>0.12034198989219885</v>
      </c>
      <c r="W40" s="1"/>
      <c r="X40" s="1">
        <f t="shared" si="18"/>
        <v>737.13380990379665</v>
      </c>
      <c r="Y40" s="1"/>
      <c r="Z40" s="5">
        <f t="shared" si="19"/>
        <v>5.1172306504946322E-2</v>
      </c>
    </row>
    <row r="41" spans="1:26" s="24" customFormat="1" hidden="1" outlineLevel="2" x14ac:dyDescent="0.25">
      <c r="A41" s="27"/>
      <c r="B41" s="11" t="str">
        <f>CONCATENATE("          ", "6111", " - ", "F.I.C.A.")</f>
        <v xml:space="preserve">          6111 - F.I.C.A.</v>
      </c>
      <c r="C41" s="11"/>
      <c r="D41" s="6">
        <v>1362.13</v>
      </c>
      <c r="E41" s="2"/>
      <c r="F41" s="7">
        <f t="shared" si="12"/>
        <v>1.3989710635766527E-2</v>
      </c>
      <c r="G41" s="2"/>
      <c r="H41" s="6">
        <v>1190.5841565692351</v>
      </c>
      <c r="I41" s="2"/>
      <c r="J41" s="7">
        <f t="shared" si="13"/>
        <v>1.0993390180694692E-2</v>
      </c>
      <c r="K41" s="2"/>
      <c r="L41" s="6">
        <f t="shared" si="14"/>
        <v>171.54584343076499</v>
      </c>
      <c r="M41" s="2"/>
      <c r="N41" s="7">
        <f t="shared" si="15"/>
        <v>0.14408544115443991</v>
      </c>
      <c r="O41" s="11"/>
      <c r="P41" s="6">
        <v>2488.9299999999998</v>
      </c>
      <c r="Q41" s="2"/>
      <c r="R41" s="7">
        <f t="shared" si="16"/>
        <v>2.3419569769744995E-2</v>
      </c>
      <c r="S41" s="2"/>
      <c r="T41" s="6">
        <v>2924.753943156466</v>
      </c>
      <c r="U41" s="2"/>
      <c r="V41" s="7">
        <f t="shared" si="17"/>
        <v>2.4434034612835973E-2</v>
      </c>
      <c r="W41" s="2"/>
      <c r="X41" s="6">
        <f t="shared" si="18"/>
        <v>-435.82394315646616</v>
      </c>
      <c r="Y41" s="2"/>
      <c r="Z41" s="7">
        <f t="shared" si="19"/>
        <v>-0.14901217388773372</v>
      </c>
    </row>
    <row r="42" spans="1:26" s="24" customFormat="1" hidden="1" outlineLevel="2" x14ac:dyDescent="0.25">
      <c r="A42" s="27"/>
      <c r="B42" s="11" t="str">
        <f>CONCATENATE("          ", "6112", " - ", "COMPENSATION INSURANCE")</f>
        <v xml:space="preserve">          6112 - COMPENSATION INSURANCE</v>
      </c>
      <c r="C42" s="11"/>
      <c r="D42" s="6">
        <v>223.99</v>
      </c>
      <c r="E42" s="2"/>
      <c r="F42" s="7">
        <f t="shared" si="12"/>
        <v>2.3004818081279643E-3</v>
      </c>
      <c r="G42" s="2"/>
      <c r="H42" s="6">
        <v>238.39472461538469</v>
      </c>
      <c r="I42" s="2"/>
      <c r="J42" s="7">
        <f t="shared" si="13"/>
        <v>2.2012439946018899E-3</v>
      </c>
      <c r="K42" s="2"/>
      <c r="L42" s="6">
        <f t="shared" si="14"/>
        <v>-14.40472461538468</v>
      </c>
      <c r="M42" s="2"/>
      <c r="N42" s="7">
        <f t="shared" si="15"/>
        <v>-6.0423839657629229E-2</v>
      </c>
      <c r="O42" s="11"/>
      <c r="P42" s="6">
        <v>402.46</v>
      </c>
      <c r="Q42" s="2"/>
      <c r="R42" s="7">
        <f t="shared" si="16"/>
        <v>3.7869446105481355E-3</v>
      </c>
      <c r="S42" s="2"/>
      <c r="T42" s="6">
        <v>536.38813038461535</v>
      </c>
      <c r="U42" s="2"/>
      <c r="V42" s="7">
        <f t="shared" si="17"/>
        <v>4.4811038461538459E-3</v>
      </c>
      <c r="W42" s="2"/>
      <c r="X42" s="6">
        <f t="shared" si="18"/>
        <v>-133.92813038461537</v>
      </c>
      <c r="Y42" s="2"/>
      <c r="Z42" s="7">
        <f t="shared" si="19"/>
        <v>-0.24968511195164339</v>
      </c>
    </row>
    <row r="43" spans="1:26" s="24" customFormat="1" hidden="1" outlineLevel="2" x14ac:dyDescent="0.25">
      <c r="A43" s="27"/>
      <c r="B43" s="11" t="str">
        <f>CONCATENATE("          ", "6113", " - ", "GROUP INSURANCE")</f>
        <v xml:space="preserve">          6113 - GROUP INSURANCE</v>
      </c>
      <c r="C43" s="11"/>
      <c r="D43" s="6">
        <v>2741.79</v>
      </c>
      <c r="E43" s="2"/>
      <c r="F43" s="7">
        <f t="shared" si="12"/>
        <v>2.8159462550592311E-2</v>
      </c>
      <c r="G43" s="2"/>
      <c r="H43" s="6">
        <v>2704</v>
      </c>
      <c r="I43" s="2"/>
      <c r="J43" s="7">
        <f t="shared" si="13"/>
        <v>2.4967682363804249E-2</v>
      </c>
      <c r="K43" s="2"/>
      <c r="L43" s="6">
        <f t="shared" si="14"/>
        <v>37.789999999999964</v>
      </c>
      <c r="M43" s="2"/>
      <c r="N43" s="7">
        <f t="shared" si="15"/>
        <v>1.3975591715976317E-2</v>
      </c>
      <c r="O43" s="11"/>
      <c r="P43" s="6">
        <v>5483.58</v>
      </c>
      <c r="Q43" s="2"/>
      <c r="R43" s="7">
        <f t="shared" si="16"/>
        <v>5.1597708412039818E-2</v>
      </c>
      <c r="S43" s="2"/>
      <c r="T43" s="6">
        <v>5408</v>
      </c>
      <c r="U43" s="2"/>
      <c r="V43" s="7">
        <f t="shared" si="17"/>
        <v>4.5179615705931493E-2</v>
      </c>
      <c r="W43" s="2"/>
      <c r="X43" s="6">
        <f t="shared" si="18"/>
        <v>75.579999999999927</v>
      </c>
      <c r="Y43" s="2"/>
      <c r="Z43" s="7">
        <f t="shared" si="19"/>
        <v>1.3975591715976317E-2</v>
      </c>
    </row>
    <row r="44" spans="1:26" s="24" customFormat="1" hidden="1" outlineLevel="2" x14ac:dyDescent="0.25">
      <c r="A44" s="27"/>
      <c r="B44" s="11" t="str">
        <f>CONCATENATE("          ", "6114", " - ", "STATE UNEMPLOYMENT INSURANCE")</f>
        <v xml:space="preserve">          6114 - STATE UNEMPLOYMENT INSURANCE</v>
      </c>
      <c r="C44" s="11"/>
      <c r="D44" s="6">
        <v>45.01</v>
      </c>
      <c r="E44" s="2"/>
      <c r="F44" s="7">
        <f t="shared" si="12"/>
        <v>4.622737005394869E-4</v>
      </c>
      <c r="G44" s="2"/>
      <c r="H44" s="6">
        <v>50.813339109912</v>
      </c>
      <c r="I44" s="2"/>
      <c r="J44" s="7">
        <f t="shared" si="13"/>
        <v>4.6919057349872575E-4</v>
      </c>
      <c r="K44" s="2"/>
      <c r="L44" s="6">
        <f t="shared" si="14"/>
        <v>-5.8033391099120024</v>
      </c>
      <c r="M44" s="2"/>
      <c r="N44" s="7">
        <f t="shared" si="15"/>
        <v>-0.11420896976203564</v>
      </c>
      <c r="O44" s="11"/>
      <c r="P44" s="6">
        <v>83.79</v>
      </c>
      <c r="Q44" s="2"/>
      <c r="R44" s="7">
        <f t="shared" si="16"/>
        <v>7.884214304970141E-4</v>
      </c>
      <c r="S44" s="2"/>
      <c r="T44" s="6">
        <v>109.729338654232</v>
      </c>
      <c r="U44" s="2"/>
      <c r="V44" s="7">
        <f t="shared" si="17"/>
        <v>9.1670291273376772E-4</v>
      </c>
      <c r="W44" s="2"/>
      <c r="X44" s="6">
        <f t="shared" si="18"/>
        <v>-25.939338654231989</v>
      </c>
      <c r="Y44" s="2"/>
      <c r="Z44" s="7">
        <f t="shared" si="19"/>
        <v>-0.23639383024051036</v>
      </c>
    </row>
    <row r="45" spans="1:26" s="24" customFormat="1" hidden="1" outlineLevel="2" x14ac:dyDescent="0.25">
      <c r="A45" s="27"/>
      <c r="B45" s="11" t="str">
        <f>CONCATENATE("          ", "6115", " - ", "P.E.R.S.")</f>
        <v xml:space="preserve">          6115 - P.E.R.S.</v>
      </c>
      <c r="C45" s="11"/>
      <c r="D45" s="6">
        <v>1156.69</v>
      </c>
      <c r="E45" s="2"/>
      <c r="F45" s="7">
        <f t="shared" si="12"/>
        <v>1.1879745982604292E-2</v>
      </c>
      <c r="G45" s="2"/>
      <c r="H45" s="6">
        <v>1079.049806153846</v>
      </c>
      <c r="I45" s="2"/>
      <c r="J45" s="7">
        <f t="shared" si="13"/>
        <v>9.9635254492506566E-3</v>
      </c>
      <c r="K45" s="2"/>
      <c r="L45" s="6">
        <f t="shared" si="14"/>
        <v>77.640193846154034</v>
      </c>
      <c r="M45" s="2"/>
      <c r="N45" s="7">
        <f t="shared" si="15"/>
        <v>7.1952372729572084E-2</v>
      </c>
      <c r="O45" s="11"/>
      <c r="P45" s="6">
        <v>2313.38</v>
      </c>
      <c r="Q45" s="2"/>
      <c r="R45" s="7">
        <f t="shared" si="16"/>
        <v>2.1767733248396974E-2</v>
      </c>
      <c r="S45" s="2"/>
      <c r="T45" s="6">
        <v>2427.8620638461516</v>
      </c>
      <c r="U45" s="2"/>
      <c r="V45" s="7">
        <f t="shared" si="17"/>
        <v>2.028289109311739E-2</v>
      </c>
      <c r="W45" s="2"/>
      <c r="X45" s="6">
        <f t="shared" si="18"/>
        <v>-114.4820638461515</v>
      </c>
      <c r="Y45" s="2"/>
      <c r="Z45" s="7">
        <f t="shared" si="19"/>
        <v>-4.7153446462601833E-2</v>
      </c>
    </row>
    <row r="46" spans="1:26" s="24" customFormat="1" hidden="1" outlineLevel="2" x14ac:dyDescent="0.25">
      <c r="A46" s="27"/>
      <c r="B46" s="11" t="str">
        <f>CONCATENATE("          ", "6116", " - ", "EDUCATIONAL BENEFITS")</f>
        <v xml:space="preserve">          6116 - EDUCATIONAL BENEFITS</v>
      </c>
      <c r="C46" s="11"/>
      <c r="D46" s="6"/>
      <c r="E46" s="2"/>
      <c r="F46" s="7">
        <f t="shared" si="12"/>
        <v>0</v>
      </c>
      <c r="G46" s="2"/>
      <c r="H46" s="6">
        <v>0</v>
      </c>
      <c r="I46" s="2"/>
      <c r="J46" s="7">
        <f t="shared" si="13"/>
        <v>0</v>
      </c>
      <c r="K46" s="2"/>
      <c r="L46" s="6">
        <f t="shared" si="14"/>
        <v>0</v>
      </c>
      <c r="M46" s="2"/>
      <c r="N46" s="7">
        <f t="shared" si="15"/>
        <v>0</v>
      </c>
      <c r="O46" s="11"/>
      <c r="P46" s="6"/>
      <c r="Q46" s="2"/>
      <c r="R46" s="7">
        <f t="shared" si="16"/>
        <v>0</v>
      </c>
      <c r="S46" s="2"/>
      <c r="T46" s="6">
        <v>0</v>
      </c>
      <c r="U46" s="2"/>
      <c r="V46" s="7">
        <f t="shared" si="17"/>
        <v>0</v>
      </c>
      <c r="W46" s="2"/>
      <c r="X46" s="6">
        <f t="shared" si="18"/>
        <v>0</v>
      </c>
      <c r="Y46" s="2"/>
      <c r="Z46" s="7">
        <f t="shared" si="19"/>
        <v>0</v>
      </c>
    </row>
    <row r="47" spans="1:26" s="24" customFormat="1" hidden="1" outlineLevel="2" x14ac:dyDescent="0.25">
      <c r="A47" s="27"/>
      <c r="B47" s="11" t="str">
        <f>CONCATENATE("          ", "6118", " - ", "VACATION")</f>
        <v xml:space="preserve">          6118 - VACATION</v>
      </c>
      <c r="C47" s="11"/>
      <c r="D47" s="6">
        <v>1024.78</v>
      </c>
      <c r="E47" s="2"/>
      <c r="F47" s="7">
        <f t="shared" si="12"/>
        <v>1.0524968736699742E-2</v>
      </c>
      <c r="G47" s="2"/>
      <c r="H47" s="6">
        <v>627.35453846153882</v>
      </c>
      <c r="I47" s="2"/>
      <c r="J47" s="7">
        <f t="shared" si="13"/>
        <v>5.7927473542155015E-3</v>
      </c>
      <c r="K47" s="2"/>
      <c r="L47" s="6">
        <f t="shared" si="14"/>
        <v>397.42546153846115</v>
      </c>
      <c r="M47" s="2"/>
      <c r="N47" s="7">
        <f t="shared" si="15"/>
        <v>0.63349420012656221</v>
      </c>
      <c r="O47" s="11"/>
      <c r="P47" s="6">
        <v>2557.06</v>
      </c>
      <c r="Q47" s="2"/>
      <c r="R47" s="7">
        <f t="shared" si="16"/>
        <v>2.4060638537614212E-2</v>
      </c>
      <c r="S47" s="2"/>
      <c r="T47" s="6">
        <v>1411.547711538462</v>
      </c>
      <c r="U47" s="2"/>
      <c r="V47" s="7">
        <f t="shared" si="17"/>
        <v>1.1792378542510125E-2</v>
      </c>
      <c r="W47" s="2"/>
      <c r="X47" s="6">
        <f t="shared" si="18"/>
        <v>1145.512288461538</v>
      </c>
      <c r="Y47" s="2"/>
      <c r="Z47" s="7">
        <f t="shared" si="19"/>
        <v>0.81152927322097468</v>
      </c>
    </row>
    <row r="48" spans="1:26" s="24" customFormat="1" hidden="1" outlineLevel="2" x14ac:dyDescent="0.25">
      <c r="A48" s="27"/>
      <c r="B48" s="11" t="str">
        <f>CONCATENATE("          ", "6119", " - ", "SICK LEAVE")</f>
        <v xml:space="preserve">          6119 - SICK LEAVE</v>
      </c>
      <c r="C48" s="11"/>
      <c r="D48" s="6">
        <v>536.02</v>
      </c>
      <c r="E48" s="2"/>
      <c r="F48" s="7">
        <f t="shared" si="12"/>
        <v>5.5051754935164579E-3</v>
      </c>
      <c r="G48" s="2"/>
      <c r="H48" s="6">
        <v>446.37773503812355</v>
      </c>
      <c r="I48" s="2"/>
      <c r="J48" s="7">
        <f t="shared" si="13"/>
        <v>4.1216780705274564E-3</v>
      </c>
      <c r="K48" s="2"/>
      <c r="L48" s="6">
        <f t="shared" si="14"/>
        <v>89.642264961876435</v>
      </c>
      <c r="M48" s="2"/>
      <c r="N48" s="7">
        <f t="shared" si="15"/>
        <v>0.20082154176937253</v>
      </c>
      <c r="O48" s="11"/>
      <c r="P48" s="6">
        <v>1427.08</v>
      </c>
      <c r="Q48" s="2"/>
      <c r="R48" s="7">
        <f t="shared" si="16"/>
        <v>1.3428099475279613E-2</v>
      </c>
      <c r="S48" s="2"/>
      <c r="T48" s="6">
        <v>986.6550025162777</v>
      </c>
      <c r="U48" s="2"/>
      <c r="V48" s="7">
        <f t="shared" si="17"/>
        <v>8.2427318505954687E-3</v>
      </c>
      <c r="W48" s="2"/>
      <c r="X48" s="6">
        <f t="shared" si="18"/>
        <v>440.42499748372222</v>
      </c>
      <c r="Y48" s="2"/>
      <c r="Z48" s="7">
        <f t="shared" si="19"/>
        <v>0.44638196366561894</v>
      </c>
    </row>
    <row r="49" spans="1:26" s="24" customFormat="1" hidden="1" outlineLevel="2" x14ac:dyDescent="0.25">
      <c r="A49" s="27"/>
      <c r="B49" s="11" t="str">
        <f>CONCATENATE("          ", "6156", " - ", "EMPLOYEE MEALS")</f>
        <v xml:space="preserve">          6156 - EMPLOYEE MEALS</v>
      </c>
      <c r="C49" s="11"/>
      <c r="D49" s="6">
        <v>143.41</v>
      </c>
      <c r="E49" s="2"/>
      <c r="F49" s="7">
        <f t="shared" si="12"/>
        <v>1.4728876115167257E-3</v>
      </c>
      <c r="G49" s="2"/>
      <c r="H49" s="6">
        <v>300</v>
      </c>
      <c r="I49" s="2"/>
      <c r="J49" s="7">
        <f t="shared" si="13"/>
        <v>2.7700831024930748E-3</v>
      </c>
      <c r="K49" s="2"/>
      <c r="L49" s="6">
        <f t="shared" si="14"/>
        <v>-156.59</v>
      </c>
      <c r="M49" s="2"/>
      <c r="N49" s="7">
        <f t="shared" si="15"/>
        <v>-0.52196666666666669</v>
      </c>
      <c r="O49" s="11"/>
      <c r="P49" s="6">
        <v>385.79</v>
      </c>
      <c r="Q49" s="2"/>
      <c r="R49" s="7">
        <f t="shared" si="16"/>
        <v>3.6300883598453641E-3</v>
      </c>
      <c r="S49" s="2"/>
      <c r="T49" s="6">
        <v>600</v>
      </c>
      <c r="U49" s="2"/>
      <c r="V49" s="7">
        <f t="shared" si="17"/>
        <v>5.0125313283208017E-3</v>
      </c>
      <c r="W49" s="2"/>
      <c r="X49" s="6">
        <f t="shared" si="18"/>
        <v>-214.20999999999998</v>
      </c>
      <c r="Y49" s="2"/>
      <c r="Z49" s="7">
        <f t="shared" si="19"/>
        <v>-0.35701666666666665</v>
      </c>
    </row>
    <row r="50" spans="1:26" s="26" customFormat="1" outlineLevel="1" collapsed="1" x14ac:dyDescent="0.25">
      <c r="A50" s="25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18121.89</v>
      </c>
      <c r="E50" s="1"/>
      <c r="F50" s="5">
        <f t="shared" ref="F50:F60" si="20">IF(D$12=0,0,D50/D$12)</f>
        <v>0.18612026552031821</v>
      </c>
      <c r="G50" s="1"/>
      <c r="H50" s="1">
        <f>SUM(OSRRefH22_1x_0)</f>
        <v>18539.824703812312</v>
      </c>
      <c r="I50" s="1"/>
      <c r="J50" s="5">
        <f t="shared" ref="J50:J60" si="21">IF(H$12=0,0,H50/H$12)</f>
        <v>0.17118951711738054</v>
      </c>
      <c r="K50" s="1"/>
      <c r="L50" s="1">
        <f t="shared" ref="L50:L60" si="22">+D50-H50</f>
        <v>-417.93470381231236</v>
      </c>
      <c r="M50" s="1"/>
      <c r="N50" s="5">
        <f t="shared" ref="N50:N60" si="23">IF(H50=0,0,L50/H50)</f>
        <v>-2.254253804926069E-2</v>
      </c>
      <c r="O50" s="13"/>
      <c r="P50" s="1">
        <f>SUM(OSRRefP22_1x_0)</f>
        <v>36043.759999999995</v>
      </c>
      <c r="Q50" s="1"/>
      <c r="R50" s="5">
        <f t="shared" ref="R50:R60" si="24">IF(P$12=0,0,P50/P$12)</f>
        <v>0.33915351258731413</v>
      </c>
      <c r="S50" s="1"/>
      <c r="T50" s="1">
        <f>SUM(OSRRefT22_1x_0)</f>
        <v>39945.115451627702</v>
      </c>
      <c r="U50" s="1"/>
      <c r="V50" s="5">
        <f t="shared" ref="V50:V60" si="25">IF(T$12=0,0,T50/T$12)</f>
        <v>0.33371023769112534</v>
      </c>
      <c r="W50" s="1"/>
      <c r="X50" s="1">
        <f t="shared" ref="X50:X60" si="26">+P50-T50</f>
        <v>-3901.3554516277072</v>
      </c>
      <c r="Y50" s="1"/>
      <c r="Z50" s="5">
        <f t="shared" ref="Z50:Z60" si="27">IF(T50=0,0,X50/T50)</f>
        <v>-9.7667897752157659E-2</v>
      </c>
    </row>
    <row r="51" spans="1:26" s="24" customFormat="1" hidden="1" outlineLevel="2" x14ac:dyDescent="0.25">
      <c r="A51" s="27"/>
      <c r="B51" s="11" t="str">
        <f>CONCATENATE("          ", "6001", " - ", "ADMINISTRATIVE SALARIES")</f>
        <v xml:space="preserve">          6001 - ADMINISTRATIVE SALARIES</v>
      </c>
      <c r="C51" s="11"/>
      <c r="D51" s="6"/>
      <c r="E51" s="2"/>
      <c r="F51" s="7">
        <f t="shared" si="20"/>
        <v>0</v>
      </c>
      <c r="G51" s="2"/>
      <c r="H51" s="6">
        <v>5990.5432000000001</v>
      </c>
      <c r="I51" s="2"/>
      <c r="J51" s="7">
        <f t="shared" si="21"/>
        <v>5.5314341643582642E-2</v>
      </c>
      <c r="K51" s="2"/>
      <c r="L51" s="6">
        <f t="shared" si="22"/>
        <v>-5990.5432000000001</v>
      </c>
      <c r="M51" s="2"/>
      <c r="N51" s="7">
        <f t="shared" si="23"/>
        <v>-1</v>
      </c>
      <c r="O51" s="11"/>
      <c r="P51" s="6"/>
      <c r="Q51" s="2"/>
      <c r="R51" s="7">
        <f t="shared" si="24"/>
        <v>0</v>
      </c>
      <c r="S51" s="2"/>
      <c r="T51" s="6">
        <v>13478.7222</v>
      </c>
      <c r="U51" s="2"/>
      <c r="V51" s="7">
        <f t="shared" si="25"/>
        <v>0.1126041954887218</v>
      </c>
      <c r="W51" s="2"/>
      <c r="X51" s="6">
        <f t="shared" si="26"/>
        <v>-13478.7222</v>
      </c>
      <c r="Y51" s="2"/>
      <c r="Z51" s="7">
        <f t="shared" si="27"/>
        <v>-1</v>
      </c>
    </row>
    <row r="52" spans="1:26" s="24" customFormat="1" hidden="1" outlineLevel="2" x14ac:dyDescent="0.25">
      <c r="A52" s="27"/>
      <c r="B52" s="11" t="str">
        <f>CONCATENATE("          ", "6002", " - ", "STAFF SALARIES")</f>
        <v xml:space="preserve">          6002 - STAFF SALARIES</v>
      </c>
      <c r="C52" s="11"/>
      <c r="D52" s="6">
        <v>11254.4</v>
      </c>
      <c r="E52" s="2"/>
      <c r="F52" s="7">
        <f t="shared" si="20"/>
        <v>0.11558793902136417</v>
      </c>
      <c r="G52" s="2"/>
      <c r="H52" s="6">
        <v>5552.7803076923101</v>
      </c>
      <c r="I52" s="2"/>
      <c r="J52" s="7">
        <f t="shared" si="21"/>
        <v>5.1272209673982549E-2</v>
      </c>
      <c r="K52" s="2"/>
      <c r="L52" s="6">
        <f t="shared" si="22"/>
        <v>5701.6196923076895</v>
      </c>
      <c r="M52" s="2"/>
      <c r="N52" s="7">
        <f t="shared" si="23"/>
        <v>1.0268044792640529</v>
      </c>
      <c r="O52" s="11"/>
      <c r="P52" s="6">
        <v>24928.769999999997</v>
      </c>
      <c r="Q52" s="2"/>
      <c r="R52" s="7">
        <f t="shared" si="24"/>
        <v>0.23456709039182536</v>
      </c>
      <c r="S52" s="2"/>
      <c r="T52" s="6">
        <v>12493.755692307701</v>
      </c>
      <c r="U52" s="2"/>
      <c r="V52" s="7">
        <f t="shared" si="25"/>
        <v>0.1043755696934645</v>
      </c>
      <c r="W52" s="2"/>
      <c r="X52" s="6">
        <f t="shared" si="26"/>
        <v>12435.014307692296</v>
      </c>
      <c r="Y52" s="2"/>
      <c r="Z52" s="7">
        <f t="shared" si="27"/>
        <v>0.99529834054210209</v>
      </c>
    </row>
    <row r="53" spans="1:26" s="24" customFormat="1" hidden="1" outlineLevel="2" x14ac:dyDescent="0.25">
      <c r="A53" s="27"/>
      <c r="B53" s="11" t="str">
        <f>CONCATENATE("          ", "6003", " - ", "STAFF HOURLY-9 MONTH")</f>
        <v xml:space="preserve">          6003 - STAFF HOURLY-9 MONTH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25">
      <c r="A54" s="27"/>
      <c r="B54" s="11" t="str">
        <f>CONCATENATE("          ", "6004", " - ", "STAFF HOURLY")</f>
        <v xml:space="preserve">          6004 - STAFF HOURLY</v>
      </c>
      <c r="C54" s="11"/>
      <c r="D54" s="6"/>
      <c r="E54" s="2"/>
      <c r="F54" s="7">
        <f t="shared" si="20"/>
        <v>0</v>
      </c>
      <c r="G54" s="2"/>
      <c r="H54" s="6">
        <v>3010</v>
      </c>
      <c r="I54" s="2"/>
      <c r="J54" s="7">
        <f t="shared" si="21"/>
        <v>2.7793167128347184E-2</v>
      </c>
      <c r="K54" s="2"/>
      <c r="L54" s="6">
        <f t="shared" si="22"/>
        <v>-3010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6230</v>
      </c>
      <c r="U54" s="2"/>
      <c r="V54" s="7">
        <f t="shared" si="25"/>
        <v>5.2046783625730994E-2</v>
      </c>
      <c r="W54" s="2"/>
      <c r="X54" s="6">
        <f t="shared" si="26"/>
        <v>-6230</v>
      </c>
      <c r="Y54" s="2"/>
      <c r="Z54" s="7">
        <f t="shared" si="27"/>
        <v>-1</v>
      </c>
    </row>
    <row r="55" spans="1:26" s="24" customFormat="1" hidden="1" outlineLevel="2" x14ac:dyDescent="0.25">
      <c r="A55" s="27"/>
      <c r="B55" s="11" t="str">
        <f>CONCATENATE("          ", "6005", " - ", "TEMPORARY WAGES-HOURLY")</f>
        <v xml:space="preserve">          6005 - TEMPORARY WAGES-HOURLY</v>
      </c>
      <c r="C55" s="11"/>
      <c r="D55" s="6">
        <v>1505</v>
      </c>
      <c r="E55" s="2"/>
      <c r="F55" s="7">
        <f t="shared" si="20"/>
        <v>1.5457052195332766E-2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1505</v>
      </c>
      <c r="M55" s="2"/>
      <c r="N55" s="7">
        <f t="shared" si="23"/>
        <v>0</v>
      </c>
      <c r="O55" s="11"/>
      <c r="P55" s="6">
        <v>2492</v>
      </c>
      <c r="Q55" s="2"/>
      <c r="R55" s="7">
        <f t="shared" si="24"/>
        <v>2.3448456913695657E-2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2492</v>
      </c>
      <c r="Y55" s="2"/>
      <c r="Z55" s="7">
        <f t="shared" si="27"/>
        <v>0</v>
      </c>
    </row>
    <row r="56" spans="1:26" s="24" customFormat="1" hidden="1" outlineLevel="2" x14ac:dyDescent="0.25">
      <c r="A56" s="27"/>
      <c r="B56" s="11" t="str">
        <f>CONCATENATE("          ", "6006", " - ", "TEMPORARY PART TIME")</f>
        <v xml:space="preserve">          6006 - TEMPORARY PART TIME</v>
      </c>
      <c r="C56" s="11"/>
      <c r="D56" s="6">
        <v>57.37</v>
      </c>
      <c r="E56" s="2"/>
      <c r="F56" s="7">
        <f t="shared" si="20"/>
        <v>5.8921666740614006E-4</v>
      </c>
      <c r="G56" s="2"/>
      <c r="H56" s="6">
        <v>0</v>
      </c>
      <c r="I56" s="2"/>
      <c r="J56" s="7">
        <f t="shared" si="21"/>
        <v>0</v>
      </c>
      <c r="K56" s="2"/>
      <c r="L56" s="6">
        <f t="shared" si="22"/>
        <v>57.37</v>
      </c>
      <c r="M56" s="2"/>
      <c r="N56" s="7">
        <f t="shared" si="23"/>
        <v>0</v>
      </c>
      <c r="O56" s="11"/>
      <c r="P56" s="6">
        <v>57.37</v>
      </c>
      <c r="Q56" s="2"/>
      <c r="R56" s="7">
        <f t="shared" si="24"/>
        <v>5.3982262164475111E-4</v>
      </c>
      <c r="S56" s="2"/>
      <c r="T56" s="6">
        <v>0</v>
      </c>
      <c r="U56" s="2"/>
      <c r="V56" s="7">
        <f t="shared" si="25"/>
        <v>0</v>
      </c>
      <c r="W56" s="2"/>
      <c r="X56" s="6">
        <f t="shared" si="26"/>
        <v>57.37</v>
      </c>
      <c r="Y56" s="2"/>
      <c r="Z56" s="7">
        <f t="shared" si="27"/>
        <v>0</v>
      </c>
    </row>
    <row r="57" spans="1:26" s="24" customFormat="1" hidden="1" outlineLevel="2" x14ac:dyDescent="0.25">
      <c r="A57" s="27"/>
      <c r="B57" s="11" t="str">
        <f>CONCATENATE("          ", "6007", " - ", "STUDENT HOURLY")</f>
        <v xml:space="preserve">          6007 - STUDENT HOURLY</v>
      </c>
      <c r="C57" s="11"/>
      <c r="D57" s="6">
        <v>5305.12</v>
      </c>
      <c r="E57" s="2"/>
      <c r="F57" s="7">
        <f t="shared" si="20"/>
        <v>5.4486057636215127E-2</v>
      </c>
      <c r="G57" s="2"/>
      <c r="H57" s="6">
        <v>0</v>
      </c>
      <c r="I57" s="2"/>
      <c r="J57" s="7">
        <f t="shared" si="21"/>
        <v>0</v>
      </c>
      <c r="K57" s="2"/>
      <c r="L57" s="6">
        <f t="shared" si="22"/>
        <v>5305.12</v>
      </c>
      <c r="M57" s="2"/>
      <c r="N57" s="7">
        <f t="shared" si="23"/>
        <v>0</v>
      </c>
      <c r="O57" s="11"/>
      <c r="P57" s="6">
        <v>8565.6200000000008</v>
      </c>
      <c r="Q57" s="2"/>
      <c r="R57" s="7">
        <f t="shared" si="24"/>
        <v>8.0598142660148392E-2</v>
      </c>
      <c r="S57" s="2"/>
      <c r="T57" s="6">
        <v>3756.1363631999998</v>
      </c>
      <c r="U57" s="2"/>
      <c r="V57" s="7">
        <f t="shared" si="25"/>
        <v>3.1379585323308271E-2</v>
      </c>
      <c r="W57" s="2"/>
      <c r="X57" s="6">
        <f t="shared" si="26"/>
        <v>4809.4836368000015</v>
      </c>
      <c r="Y57" s="2"/>
      <c r="Z57" s="7">
        <f t="shared" si="27"/>
        <v>1.280433714792669</v>
      </c>
    </row>
    <row r="58" spans="1:26" s="24" customFormat="1" hidden="1" outlineLevel="2" x14ac:dyDescent="0.25">
      <c r="A58" s="27"/>
      <c r="B58" s="11" t="str">
        <f>CONCATENATE("          ", "6008", " - ", "STUDENT HOURLY-FICA EXEMPT")</f>
        <v xml:space="preserve">          6008 - STUDENT HOURLY-FICA EXEMPT</v>
      </c>
      <c r="C58" s="11"/>
      <c r="D58" s="6"/>
      <c r="E58" s="2"/>
      <c r="F58" s="7">
        <f t="shared" si="20"/>
        <v>0</v>
      </c>
      <c r="G58" s="2"/>
      <c r="H58" s="6">
        <v>3986.5011961200003</v>
      </c>
      <c r="I58" s="2"/>
      <c r="J58" s="7">
        <f t="shared" si="21"/>
        <v>3.680979867146815E-2</v>
      </c>
      <c r="K58" s="2"/>
      <c r="L58" s="6">
        <f t="shared" si="22"/>
        <v>-3986.5011961200003</v>
      </c>
      <c r="M58" s="2"/>
      <c r="N58" s="7">
        <f t="shared" si="23"/>
        <v>-1</v>
      </c>
      <c r="O58" s="11"/>
      <c r="P58" s="6"/>
      <c r="Q58" s="2"/>
      <c r="R58" s="7">
        <f t="shared" si="24"/>
        <v>0</v>
      </c>
      <c r="S58" s="2"/>
      <c r="T58" s="6">
        <v>3986.5011961200003</v>
      </c>
      <c r="U58" s="2"/>
      <c r="V58" s="7">
        <f t="shared" si="25"/>
        <v>3.3304103559899753E-2</v>
      </c>
      <c r="W58" s="2"/>
      <c r="X58" s="6">
        <f t="shared" si="26"/>
        <v>-3986.5011961200003</v>
      </c>
      <c r="Y58" s="2"/>
      <c r="Z58" s="7">
        <f t="shared" si="27"/>
        <v>-1</v>
      </c>
    </row>
    <row r="59" spans="1:26" s="24" customFormat="1" hidden="1" outlineLevel="2" x14ac:dyDescent="0.25">
      <c r="A59" s="27"/>
      <c r="B59" s="11" t="str">
        <f>CONCATENATE("          ", "6009", " - ", "TEMPORARY-SEASONAL")</f>
        <v xml:space="preserve">          6009 - TEMPORARY-SEASONAL</v>
      </c>
      <c r="C59" s="11"/>
      <c r="D59" s="6"/>
      <c r="E59" s="2"/>
      <c r="F59" s="7">
        <f t="shared" si="20"/>
        <v>0</v>
      </c>
      <c r="G59" s="2"/>
      <c r="H59" s="6">
        <v>0</v>
      </c>
      <c r="I59" s="2"/>
      <c r="J59" s="7">
        <f t="shared" si="21"/>
        <v>0</v>
      </c>
      <c r="K59" s="2"/>
      <c r="L59" s="6">
        <f t="shared" si="22"/>
        <v>0</v>
      </c>
      <c r="M59" s="2"/>
      <c r="N59" s="7">
        <f t="shared" si="23"/>
        <v>0</v>
      </c>
      <c r="O59" s="11"/>
      <c r="P59" s="6"/>
      <c r="Q59" s="2"/>
      <c r="R59" s="7">
        <f t="shared" si="24"/>
        <v>0</v>
      </c>
      <c r="S59" s="2"/>
      <c r="T59" s="6">
        <v>0</v>
      </c>
      <c r="U59" s="2"/>
      <c r="V59" s="7">
        <f t="shared" si="25"/>
        <v>0</v>
      </c>
      <c r="W59" s="2"/>
      <c r="X59" s="6">
        <f t="shared" si="26"/>
        <v>0</v>
      </c>
      <c r="Y59" s="2"/>
      <c r="Z59" s="7">
        <f t="shared" si="27"/>
        <v>0</v>
      </c>
    </row>
    <row r="60" spans="1:26" s="24" customFormat="1" hidden="1" outlineLevel="2" x14ac:dyDescent="0.25">
      <c r="A60" s="27"/>
      <c r="B60" s="11" t="str">
        <f>CONCATENATE("          ", "6010", " - ", "GRATUITY")</f>
        <v xml:space="preserve">          6010 - GRATUITY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6" customFormat="1" outlineLevel="1" collapsed="1" x14ac:dyDescent="0.25">
      <c r="A61" s="25"/>
      <c r="B61" s="13" t="str">
        <f>CONCATENATE("     ","Advertising/Promo                                 ")</f>
        <v xml:space="preserve">     Advertising/Promo                                 </v>
      </c>
      <c r="C61" s="13"/>
      <c r="D61" s="1">
        <f>SUM(OSRRefD22_2x_0)</f>
        <v>0</v>
      </c>
      <c r="E61" s="1"/>
      <c r="F61" s="5">
        <f t="shared" ref="F61:F73" si="28">IF(D$12=0,0,D61/D$12)</f>
        <v>0</v>
      </c>
      <c r="G61" s="1"/>
      <c r="H61" s="1">
        <f>SUM(OSRRefH22_2x_0)</f>
        <v>100</v>
      </c>
      <c r="I61" s="1"/>
      <c r="J61" s="5">
        <f t="shared" ref="J61:J73" si="29">IF(H$12=0,0,H61/H$12)</f>
        <v>9.2336103416435823E-4</v>
      </c>
      <c r="K61" s="1"/>
      <c r="L61" s="1">
        <f t="shared" ref="L61:L73" si="30">+D61-H61</f>
        <v>-100</v>
      </c>
      <c r="M61" s="1"/>
      <c r="N61" s="5">
        <f t="shared" ref="N61:N73" si="31">IF(H61=0,0,L61/H61)</f>
        <v>-1</v>
      </c>
      <c r="O61" s="13"/>
      <c r="P61" s="1">
        <f>SUM(OSRRefP22_2x_0)</f>
        <v>0</v>
      </c>
      <c r="Q61" s="1"/>
      <c r="R61" s="5">
        <f t="shared" ref="R61:R73" si="32">IF(P$12=0,0,P61/P$12)</f>
        <v>0</v>
      </c>
      <c r="S61" s="1"/>
      <c r="T61" s="1">
        <f>SUM(OSRRefT22_2x_0)</f>
        <v>200</v>
      </c>
      <c r="U61" s="1"/>
      <c r="V61" s="5">
        <f t="shared" ref="V61:V73" si="33">IF(T$12=0,0,T61/T$12)</f>
        <v>1.6708437761069339E-3</v>
      </c>
      <c r="W61" s="1"/>
      <c r="X61" s="1">
        <f t="shared" ref="X61:X73" si="34">+P61-T61</f>
        <v>-200</v>
      </c>
      <c r="Y61" s="1"/>
      <c r="Z61" s="5">
        <f t="shared" ref="Z61:Z73" si="35">IF(T61=0,0,X61/T61)</f>
        <v>-1</v>
      </c>
    </row>
    <row r="62" spans="1:26" s="24" customFormat="1" hidden="1" outlineLevel="2" x14ac:dyDescent="0.25">
      <c r="A62" s="27"/>
      <c r="B62" s="11" t="str">
        <f>CONCATENATE("          ", "6362", " - ", "ADVERTISING EXPENSE")</f>
        <v xml:space="preserve">          6362 - ADVERTISING EXPENSE</v>
      </c>
      <c r="C62" s="11"/>
      <c r="D62" s="6"/>
      <c r="E62" s="2"/>
      <c r="F62" s="7">
        <f t="shared" si="28"/>
        <v>0</v>
      </c>
      <c r="G62" s="2"/>
      <c r="H62" s="6">
        <v>100</v>
      </c>
      <c r="I62" s="2"/>
      <c r="J62" s="7">
        <f t="shared" si="29"/>
        <v>9.2336103416435823E-4</v>
      </c>
      <c r="K62" s="2"/>
      <c r="L62" s="6">
        <f t="shared" si="30"/>
        <v>-100</v>
      </c>
      <c r="M62" s="2"/>
      <c r="N62" s="7">
        <f t="shared" si="31"/>
        <v>-1</v>
      </c>
      <c r="O62" s="11"/>
      <c r="P62" s="6"/>
      <c r="Q62" s="2"/>
      <c r="R62" s="7">
        <f t="shared" si="32"/>
        <v>0</v>
      </c>
      <c r="S62" s="2"/>
      <c r="T62" s="6">
        <v>200</v>
      </c>
      <c r="U62" s="2"/>
      <c r="V62" s="7">
        <f t="shared" si="33"/>
        <v>1.6708437761069339E-3</v>
      </c>
      <c r="W62" s="2"/>
      <c r="X62" s="6">
        <f t="shared" si="34"/>
        <v>-200</v>
      </c>
      <c r="Y62" s="2"/>
      <c r="Z62" s="7">
        <f t="shared" si="35"/>
        <v>-1</v>
      </c>
    </row>
    <row r="63" spans="1:26" s="26" customFormat="1" outlineLevel="1" collapsed="1" x14ac:dyDescent="0.25">
      <c r="A63" s="25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SUM(OSRRefD22_3x_0)</f>
        <v>0</v>
      </c>
      <c r="E63" s="1"/>
      <c r="F63" s="5">
        <f t="shared" si="28"/>
        <v>0</v>
      </c>
      <c r="G63" s="1"/>
      <c r="H63" s="1">
        <f>SUM(OSRRefH22_3x_0)</f>
        <v>0</v>
      </c>
      <c r="I63" s="1"/>
      <c r="J63" s="5">
        <f t="shared" si="29"/>
        <v>0</v>
      </c>
      <c r="K63" s="1"/>
      <c r="L63" s="1">
        <f t="shared" si="30"/>
        <v>0</v>
      </c>
      <c r="M63" s="1"/>
      <c r="N63" s="5">
        <f t="shared" si="31"/>
        <v>0</v>
      </c>
      <c r="O63" s="13"/>
      <c r="P63" s="1">
        <f>SUM(OSRRefP22_3x_0)</f>
        <v>0</v>
      </c>
      <c r="Q63" s="1"/>
      <c r="R63" s="5">
        <f t="shared" si="32"/>
        <v>0</v>
      </c>
      <c r="S63" s="1"/>
      <c r="T63" s="1">
        <f>SUM(OSRRefT22_3x_0)</f>
        <v>0</v>
      </c>
      <c r="U63" s="1"/>
      <c r="V63" s="5">
        <f t="shared" si="33"/>
        <v>0</v>
      </c>
      <c r="W63" s="1"/>
      <c r="X63" s="1">
        <f t="shared" si="34"/>
        <v>0</v>
      </c>
      <c r="Y63" s="1"/>
      <c r="Z63" s="5">
        <f t="shared" si="35"/>
        <v>0</v>
      </c>
    </row>
    <row r="64" spans="1:26" s="24" customFormat="1" hidden="1" outlineLevel="2" x14ac:dyDescent="0.25">
      <c r="A64" s="27"/>
      <c r="B64" s="11" t="str">
        <f>CONCATENATE("          ", "6322", " - ", "EQUIPMENT DEPRECIATION EXPENSE")</f>
        <v xml:space="preserve">          6322 - EQUIPMENT DEPRECIATION EXPENSE</v>
      </c>
      <c r="C64" s="11"/>
      <c r="D64" s="6"/>
      <c r="E64" s="2"/>
      <c r="F64" s="7">
        <f t="shared" si="28"/>
        <v>0</v>
      </c>
      <c r="G64" s="2"/>
      <c r="H64" s="6">
        <v>0</v>
      </c>
      <c r="I64" s="2"/>
      <c r="J64" s="7">
        <f t="shared" si="29"/>
        <v>0</v>
      </c>
      <c r="K64" s="2"/>
      <c r="L64" s="6">
        <f t="shared" si="30"/>
        <v>0</v>
      </c>
      <c r="M64" s="2"/>
      <c r="N64" s="7">
        <f t="shared" si="31"/>
        <v>0</v>
      </c>
      <c r="O64" s="11"/>
      <c r="P64" s="6"/>
      <c r="Q64" s="2"/>
      <c r="R64" s="7">
        <f t="shared" si="32"/>
        <v>0</v>
      </c>
      <c r="S64" s="2"/>
      <c r="T64" s="6">
        <v>0</v>
      </c>
      <c r="U64" s="2"/>
      <c r="V64" s="7">
        <f t="shared" si="33"/>
        <v>0</v>
      </c>
      <c r="W64" s="2"/>
      <c r="X64" s="6">
        <f t="shared" si="34"/>
        <v>0</v>
      </c>
      <c r="Y64" s="2"/>
      <c r="Z64" s="7">
        <f t="shared" si="35"/>
        <v>0</v>
      </c>
    </row>
    <row r="65" spans="1:26" s="26" customFormat="1" outlineLevel="1" collapsed="1" x14ac:dyDescent="0.25">
      <c r="A65" s="25"/>
      <c r="B65" s="13" t="str">
        <f>CONCATENATE("     ","Discounts and Markdowns                           ")</f>
        <v xml:space="preserve">     Discounts and Markdowns                           </v>
      </c>
      <c r="C65" s="13"/>
      <c r="D65" s="1">
        <f>SUM(OSRRefD22_4x_0)</f>
        <v>96.95</v>
      </c>
      <c r="E65" s="1"/>
      <c r="F65" s="5">
        <f t="shared" si="28"/>
        <v>9.9572173444352941E-4</v>
      </c>
      <c r="G65" s="1"/>
      <c r="H65" s="1">
        <f>SUM(OSRRefH22_4x_0)</f>
        <v>700</v>
      </c>
      <c r="I65" s="1"/>
      <c r="J65" s="5">
        <f t="shared" si="29"/>
        <v>6.4635272391505077E-3</v>
      </c>
      <c r="K65" s="1"/>
      <c r="L65" s="1">
        <f t="shared" si="30"/>
        <v>-603.04999999999995</v>
      </c>
      <c r="M65" s="1"/>
      <c r="N65" s="5">
        <f t="shared" si="31"/>
        <v>-0.86149999999999993</v>
      </c>
      <c r="O65" s="13"/>
      <c r="P65" s="1">
        <f>SUM(OSRRefP22_4x_0)</f>
        <v>165.42</v>
      </c>
      <c r="Q65" s="1"/>
      <c r="R65" s="5">
        <f t="shared" si="32"/>
        <v>1.5565183558039868E-3</v>
      </c>
      <c r="S65" s="1"/>
      <c r="T65" s="1">
        <f>SUM(OSRRefT22_4x_0)</f>
        <v>1400</v>
      </c>
      <c r="U65" s="1"/>
      <c r="V65" s="5">
        <f t="shared" si="33"/>
        <v>1.1695906432748537E-2</v>
      </c>
      <c r="W65" s="1"/>
      <c r="X65" s="1">
        <f t="shared" si="34"/>
        <v>-1234.58</v>
      </c>
      <c r="Y65" s="1"/>
      <c r="Z65" s="5">
        <f t="shared" si="35"/>
        <v>-0.88184285714285704</v>
      </c>
    </row>
    <row r="66" spans="1:26" s="24" customFormat="1" hidden="1" outlineLevel="2" x14ac:dyDescent="0.25">
      <c r="A66" s="27"/>
      <c r="B66" s="11" t="str">
        <f>CONCATENATE("          ", "6382", " - ", "DISCOUNTS/MARK DOWNS")</f>
        <v xml:space="preserve">          6382 - DISCOUNTS/MARK DOWNS</v>
      </c>
      <c r="C66" s="11"/>
      <c r="D66" s="6">
        <v>96.95</v>
      </c>
      <c r="E66" s="2"/>
      <c r="F66" s="7">
        <f t="shared" si="28"/>
        <v>9.9572173444352941E-4</v>
      </c>
      <c r="G66" s="2"/>
      <c r="H66" s="6">
        <v>700</v>
      </c>
      <c r="I66" s="2"/>
      <c r="J66" s="7">
        <f t="shared" si="29"/>
        <v>6.4635272391505077E-3</v>
      </c>
      <c r="K66" s="2"/>
      <c r="L66" s="6">
        <f t="shared" si="30"/>
        <v>-603.04999999999995</v>
      </c>
      <c r="M66" s="2"/>
      <c r="N66" s="7">
        <f t="shared" si="31"/>
        <v>-0.86149999999999993</v>
      </c>
      <c r="O66" s="11"/>
      <c r="P66" s="6">
        <v>165.42</v>
      </c>
      <c r="Q66" s="2"/>
      <c r="R66" s="7">
        <f t="shared" si="32"/>
        <v>1.5565183558039868E-3</v>
      </c>
      <c r="S66" s="2"/>
      <c r="T66" s="6">
        <v>1400</v>
      </c>
      <c r="U66" s="2"/>
      <c r="V66" s="7">
        <f t="shared" si="33"/>
        <v>1.1695906432748537E-2</v>
      </c>
      <c r="W66" s="2"/>
      <c r="X66" s="6">
        <f t="shared" si="34"/>
        <v>-1234.58</v>
      </c>
      <c r="Y66" s="2"/>
      <c r="Z66" s="7">
        <f t="shared" si="35"/>
        <v>-0.88184285714285704</v>
      </c>
    </row>
    <row r="67" spans="1:26" s="26" customFormat="1" outlineLevel="1" collapsed="1" x14ac:dyDescent="0.25">
      <c r="A67" s="25"/>
      <c r="B67" s="13" t="str">
        <f>CONCATENATE("     ","Employees' Appreciation                           ")</f>
        <v xml:space="preserve">     Employees' Appreciation                           </v>
      </c>
      <c r="C67" s="13"/>
      <c r="D67" s="1">
        <f>SUM(OSRRefD22_5x_0)</f>
        <v>0</v>
      </c>
      <c r="E67" s="1"/>
      <c r="F67" s="5">
        <f t="shared" si="28"/>
        <v>0</v>
      </c>
      <c r="G67" s="1"/>
      <c r="H67" s="1">
        <f>SUM(OSRRefH22_5x_0)</f>
        <v>100</v>
      </c>
      <c r="I67" s="1"/>
      <c r="J67" s="5">
        <f t="shared" si="29"/>
        <v>9.2336103416435823E-4</v>
      </c>
      <c r="K67" s="1"/>
      <c r="L67" s="1">
        <f t="shared" si="30"/>
        <v>-100</v>
      </c>
      <c r="M67" s="1"/>
      <c r="N67" s="5">
        <f t="shared" si="31"/>
        <v>-1</v>
      </c>
      <c r="O67" s="13"/>
      <c r="P67" s="1">
        <f>SUM(OSRRefP22_5x_0)</f>
        <v>0</v>
      </c>
      <c r="Q67" s="1"/>
      <c r="R67" s="5">
        <f t="shared" si="32"/>
        <v>0</v>
      </c>
      <c r="S67" s="1"/>
      <c r="T67" s="1">
        <f>SUM(OSRRefT22_5x_0)</f>
        <v>200</v>
      </c>
      <c r="U67" s="1"/>
      <c r="V67" s="5">
        <f t="shared" si="33"/>
        <v>1.6708437761069339E-3</v>
      </c>
      <c r="W67" s="1"/>
      <c r="X67" s="1">
        <f t="shared" si="34"/>
        <v>-200</v>
      </c>
      <c r="Y67" s="1"/>
      <c r="Z67" s="5">
        <f t="shared" si="35"/>
        <v>-1</v>
      </c>
    </row>
    <row r="68" spans="1:26" s="24" customFormat="1" hidden="1" outlineLevel="2" x14ac:dyDescent="0.25">
      <c r="A68" s="27"/>
      <c r="B68" s="11" t="str">
        <f>CONCATENATE("          ", "6277", " - ", "EMPLOYEE APPRECIATION")</f>
        <v xml:space="preserve">          6277 - EMPLOYEE APPRECIATION</v>
      </c>
      <c r="C68" s="11"/>
      <c r="D68" s="6"/>
      <c r="E68" s="2"/>
      <c r="F68" s="7">
        <f t="shared" si="28"/>
        <v>0</v>
      </c>
      <c r="G68" s="2"/>
      <c r="H68" s="6">
        <v>100</v>
      </c>
      <c r="I68" s="2"/>
      <c r="J68" s="7">
        <f t="shared" si="29"/>
        <v>9.2336103416435823E-4</v>
      </c>
      <c r="K68" s="2"/>
      <c r="L68" s="6">
        <f t="shared" si="30"/>
        <v>-100</v>
      </c>
      <c r="M68" s="2"/>
      <c r="N68" s="7">
        <f t="shared" si="31"/>
        <v>-1</v>
      </c>
      <c r="O68" s="11"/>
      <c r="P68" s="6"/>
      <c r="Q68" s="2"/>
      <c r="R68" s="7">
        <f t="shared" si="32"/>
        <v>0</v>
      </c>
      <c r="S68" s="2"/>
      <c r="T68" s="6">
        <v>200</v>
      </c>
      <c r="U68" s="2"/>
      <c r="V68" s="7">
        <f t="shared" si="33"/>
        <v>1.6708437761069339E-3</v>
      </c>
      <c r="W68" s="2"/>
      <c r="X68" s="6">
        <f t="shared" si="34"/>
        <v>-200</v>
      </c>
      <c r="Y68" s="2"/>
      <c r="Z68" s="7">
        <f t="shared" si="35"/>
        <v>-1</v>
      </c>
    </row>
    <row r="69" spans="1:26" s="26" customFormat="1" outlineLevel="1" collapsed="1" x14ac:dyDescent="0.25">
      <c r="A69" s="25"/>
      <c r="B69" s="13" t="str">
        <f>CONCATENATE("     ","Equipment Rental                                  ")</f>
        <v xml:space="preserve">     Equipment Rental                                  </v>
      </c>
      <c r="C69" s="13"/>
      <c r="D69" s="1">
        <f>SUM(OSRRefD22_6x_0)</f>
        <v>1205.6400000000001</v>
      </c>
      <c r="E69" s="1"/>
      <c r="F69" s="5">
        <f t="shared" si="28"/>
        <v>1.2382485321449168E-2</v>
      </c>
      <c r="G69" s="1"/>
      <c r="H69" s="1">
        <f>SUM(OSRRefH22_6x_0)</f>
        <v>3000</v>
      </c>
      <c r="I69" s="1"/>
      <c r="J69" s="5">
        <f t="shared" si="29"/>
        <v>2.7700831024930747E-2</v>
      </c>
      <c r="K69" s="1"/>
      <c r="L69" s="1">
        <f t="shared" si="30"/>
        <v>-1794.36</v>
      </c>
      <c r="M69" s="1"/>
      <c r="N69" s="5">
        <f t="shared" si="31"/>
        <v>-0.59811999999999999</v>
      </c>
      <c r="O69" s="13"/>
      <c r="P69" s="1">
        <f>SUM(OSRRefP22_6x_0)</f>
        <v>2411.2800000000002</v>
      </c>
      <c r="Q69" s="1"/>
      <c r="R69" s="5">
        <f t="shared" si="32"/>
        <v>2.2688922627149305E-2</v>
      </c>
      <c r="S69" s="1"/>
      <c r="T69" s="1">
        <f>SUM(OSRRefT22_6x_0)</f>
        <v>6000</v>
      </c>
      <c r="U69" s="1"/>
      <c r="V69" s="5">
        <f t="shared" si="33"/>
        <v>5.0125313283208017E-2</v>
      </c>
      <c r="W69" s="1"/>
      <c r="X69" s="1">
        <f t="shared" si="34"/>
        <v>-3588.72</v>
      </c>
      <c r="Y69" s="1"/>
      <c r="Z69" s="5">
        <f t="shared" si="35"/>
        <v>-0.59811999999999999</v>
      </c>
    </row>
    <row r="70" spans="1:26" s="24" customFormat="1" hidden="1" outlineLevel="2" x14ac:dyDescent="0.25">
      <c r="A70" s="27"/>
      <c r="B70" s="11" t="str">
        <f>CONCATENATE("          ", "6351", " - ", "EQUIPMENT RENTAL")</f>
        <v xml:space="preserve">          6351 - EQUIPMENT RENTAL</v>
      </c>
      <c r="C70" s="11"/>
      <c r="D70" s="6">
        <v>1205.6400000000001</v>
      </c>
      <c r="E70" s="2"/>
      <c r="F70" s="7">
        <f t="shared" si="28"/>
        <v>1.2382485321449168E-2</v>
      </c>
      <c r="G70" s="2"/>
      <c r="H70" s="6">
        <v>3000</v>
      </c>
      <c r="I70" s="2"/>
      <c r="J70" s="7">
        <f t="shared" si="29"/>
        <v>2.7700831024930747E-2</v>
      </c>
      <c r="K70" s="2"/>
      <c r="L70" s="6">
        <f t="shared" si="30"/>
        <v>-1794.36</v>
      </c>
      <c r="M70" s="2"/>
      <c r="N70" s="7">
        <f t="shared" si="31"/>
        <v>-0.59811999999999999</v>
      </c>
      <c r="O70" s="11"/>
      <c r="P70" s="6">
        <v>2411.2800000000002</v>
      </c>
      <c r="Q70" s="2"/>
      <c r="R70" s="7">
        <f t="shared" si="32"/>
        <v>2.2688922627149305E-2</v>
      </c>
      <c r="S70" s="2"/>
      <c r="T70" s="6">
        <v>6000</v>
      </c>
      <c r="U70" s="2"/>
      <c r="V70" s="7">
        <f t="shared" si="33"/>
        <v>5.0125313283208017E-2</v>
      </c>
      <c r="W70" s="2"/>
      <c r="X70" s="6">
        <f t="shared" si="34"/>
        <v>-3588.72</v>
      </c>
      <c r="Y70" s="2"/>
      <c r="Z70" s="7">
        <f t="shared" si="35"/>
        <v>-0.59811999999999999</v>
      </c>
    </row>
    <row r="71" spans="1:26" s="26" customFormat="1" outlineLevel="1" collapsed="1" x14ac:dyDescent="0.25">
      <c r="A71" s="25"/>
      <c r="B71" s="13" t="str">
        <f>CONCATENATE("     ","Freight out/Postage                               ")</f>
        <v xml:space="preserve">     Freight out/Postage                               </v>
      </c>
      <c r="C71" s="13"/>
      <c r="D71" s="1">
        <f>SUM(OSRRefD22_7x_0)</f>
        <v>-13203.749999999996</v>
      </c>
      <c r="E71" s="1"/>
      <c r="F71" s="5">
        <f t="shared" si="28"/>
        <v>-0.1356086730392857</v>
      </c>
      <c r="G71" s="1"/>
      <c r="H71" s="1">
        <f>SUM(OSRRefH22_7x_0)</f>
        <v>-3300</v>
      </c>
      <c r="I71" s="1"/>
      <c r="J71" s="5">
        <f t="shared" si="29"/>
        <v>-3.0470914127423823E-2</v>
      </c>
      <c r="K71" s="1"/>
      <c r="L71" s="1">
        <f t="shared" si="30"/>
        <v>-9903.7499999999964</v>
      </c>
      <c r="M71" s="1"/>
      <c r="N71" s="5">
        <f t="shared" si="31"/>
        <v>3.0011363636363626</v>
      </c>
      <c r="O71" s="13"/>
      <c r="P71" s="1">
        <f>SUM(OSRRefP22_7x_0)</f>
        <v>-15800.169999999998</v>
      </c>
      <c r="Q71" s="1"/>
      <c r="R71" s="5">
        <f t="shared" si="32"/>
        <v>-0.14867159128172819</v>
      </c>
      <c r="S71" s="1"/>
      <c r="T71" s="1">
        <f>SUM(OSRRefT22_7x_0)</f>
        <v>-4600</v>
      </c>
      <c r="U71" s="1"/>
      <c r="V71" s="5">
        <f t="shared" si="33"/>
        <v>-3.842940685045948E-2</v>
      </c>
      <c r="W71" s="1"/>
      <c r="X71" s="1">
        <f t="shared" si="34"/>
        <v>-11200.169999999998</v>
      </c>
      <c r="Y71" s="1"/>
      <c r="Z71" s="5">
        <f t="shared" si="35"/>
        <v>2.4348195652173907</v>
      </c>
    </row>
    <row r="72" spans="1:26" s="24" customFormat="1" hidden="1" outlineLevel="2" x14ac:dyDescent="0.25">
      <c r="A72" s="27"/>
      <c r="B72" s="11" t="str">
        <f>CONCATENATE("          ", "6305", " - ", "FREIGHT OUT")</f>
        <v xml:space="preserve">          6305 - FREIGHT OUT</v>
      </c>
      <c r="C72" s="11"/>
      <c r="D72" s="6">
        <v>2560.3000000000002</v>
      </c>
      <c r="E72" s="2"/>
      <c r="F72" s="7">
        <f t="shared" si="28"/>
        <v>2.6295475571900654E-2</v>
      </c>
      <c r="G72" s="2"/>
      <c r="H72" s="6">
        <v>-3300</v>
      </c>
      <c r="I72" s="2"/>
      <c r="J72" s="7">
        <f t="shared" si="29"/>
        <v>-3.0470914127423823E-2</v>
      </c>
      <c r="K72" s="2"/>
      <c r="L72" s="6">
        <f t="shared" si="30"/>
        <v>5860.3</v>
      </c>
      <c r="M72" s="2"/>
      <c r="N72" s="7">
        <f t="shared" si="31"/>
        <v>-1.775848484848485</v>
      </c>
      <c r="O72" s="11"/>
      <c r="P72" s="6">
        <v>3613.43</v>
      </c>
      <c r="Q72" s="2"/>
      <c r="R72" s="7">
        <f t="shared" si="32"/>
        <v>3.4000544809653005E-2</v>
      </c>
      <c r="S72" s="2"/>
      <c r="T72" s="6">
        <v>-4600</v>
      </c>
      <c r="U72" s="2"/>
      <c r="V72" s="7">
        <f t="shared" si="33"/>
        <v>-3.842940685045948E-2</v>
      </c>
      <c r="W72" s="2"/>
      <c r="X72" s="6">
        <f t="shared" si="34"/>
        <v>8213.43</v>
      </c>
      <c r="Y72" s="2"/>
      <c r="Z72" s="7">
        <f t="shared" si="35"/>
        <v>-1.7855282608695653</v>
      </c>
    </row>
    <row r="73" spans="1:26" s="24" customFormat="1" hidden="1" outlineLevel="2" x14ac:dyDescent="0.25">
      <c r="A73" s="27"/>
      <c r="B73" s="11" t="str">
        <f>CONCATENATE("          ", "6307", " - ", "POSTAGE")</f>
        <v xml:space="preserve">          6307 - POSTAGE</v>
      </c>
      <c r="C73" s="11"/>
      <c r="D73" s="6">
        <v>-15764.049999999997</v>
      </c>
      <c r="E73" s="2"/>
      <c r="F73" s="7">
        <f t="shared" si="28"/>
        <v>-0.16190414861118635</v>
      </c>
      <c r="G73" s="2"/>
      <c r="H73" s="6"/>
      <c r="I73" s="2"/>
      <c r="J73" s="7">
        <f t="shared" si="29"/>
        <v>0</v>
      </c>
      <c r="K73" s="2"/>
      <c r="L73" s="6">
        <f t="shared" si="30"/>
        <v>-15764.049999999997</v>
      </c>
      <c r="M73" s="2"/>
      <c r="N73" s="7">
        <f t="shared" si="31"/>
        <v>0</v>
      </c>
      <c r="O73" s="11"/>
      <c r="P73" s="6">
        <v>-19413.599999999999</v>
      </c>
      <c r="Q73" s="2"/>
      <c r="R73" s="7">
        <f t="shared" si="32"/>
        <v>-0.18267213609138119</v>
      </c>
      <c r="S73" s="2"/>
      <c r="T73" s="6"/>
      <c r="U73" s="2"/>
      <c r="V73" s="7">
        <f t="shared" si="33"/>
        <v>0</v>
      </c>
      <c r="W73" s="2"/>
      <c r="X73" s="6">
        <f t="shared" si="34"/>
        <v>-19413.599999999999</v>
      </c>
      <c r="Y73" s="2"/>
      <c r="Z73" s="7">
        <f t="shared" si="35"/>
        <v>0</v>
      </c>
    </row>
    <row r="74" spans="1:26" s="26" customFormat="1" outlineLevel="1" collapsed="1" x14ac:dyDescent="0.25">
      <c r="A74" s="25"/>
      <c r="B74" s="13" t="str">
        <f>CONCATENATE("     ","General                                           ")</f>
        <v xml:space="preserve">     General                                           </v>
      </c>
      <c r="C74" s="13"/>
      <c r="D74" s="1">
        <f>SUM(OSRRefD22_8x_0)</f>
        <v>0</v>
      </c>
      <c r="E74" s="1"/>
      <c r="F74" s="5">
        <f t="shared" ref="F74:F82" si="36">IF(D$12=0,0,D74/D$12)</f>
        <v>0</v>
      </c>
      <c r="G74" s="1"/>
      <c r="H74" s="1">
        <f>SUM(OSRRefH22_8x_0)</f>
        <v>300</v>
      </c>
      <c r="I74" s="1"/>
      <c r="J74" s="5">
        <f t="shared" ref="J74:J82" si="37">IF(H$12=0,0,H74/H$12)</f>
        <v>2.7700831024930748E-3</v>
      </c>
      <c r="K74" s="1"/>
      <c r="L74" s="1">
        <f t="shared" ref="L74:L82" si="38">+D74-H74</f>
        <v>-300</v>
      </c>
      <c r="M74" s="1"/>
      <c r="N74" s="5">
        <f t="shared" ref="N74:N82" si="39">IF(H74=0,0,L74/H74)</f>
        <v>-1</v>
      </c>
      <c r="O74" s="13"/>
      <c r="P74" s="1">
        <f>SUM(OSRRefP22_8x_0)</f>
        <v>0</v>
      </c>
      <c r="Q74" s="1"/>
      <c r="R74" s="5">
        <f t="shared" ref="R74:R82" si="40">IF(P$12=0,0,P74/P$12)</f>
        <v>0</v>
      </c>
      <c r="S74" s="1"/>
      <c r="T74" s="1">
        <f>SUM(OSRRefT22_8x_0)</f>
        <v>500</v>
      </c>
      <c r="U74" s="1"/>
      <c r="V74" s="5">
        <f t="shared" ref="V74:V82" si="41">IF(T$12=0,0,T74/T$12)</f>
        <v>4.1771094402673348E-3</v>
      </c>
      <c r="W74" s="1"/>
      <c r="X74" s="1">
        <f t="shared" ref="X74:X82" si="42">+P74-T74</f>
        <v>-500</v>
      </c>
      <c r="Y74" s="1"/>
      <c r="Z74" s="5">
        <f t="shared" ref="Z74:Z82" si="43">IF(T74=0,0,X74/T74)</f>
        <v>-1</v>
      </c>
    </row>
    <row r="75" spans="1:26" s="24" customFormat="1" hidden="1" outlineLevel="2" x14ac:dyDescent="0.25">
      <c r="A75" s="27"/>
      <c r="B75" s="11" t="str">
        <f>CONCATENATE("          ", "6279", " - ", "GENERAL EXPENSE")</f>
        <v xml:space="preserve">          6279 - GENERAL EXPENSE</v>
      </c>
      <c r="C75" s="11"/>
      <c r="D75" s="6"/>
      <c r="E75" s="2"/>
      <c r="F75" s="7">
        <f t="shared" si="36"/>
        <v>0</v>
      </c>
      <c r="G75" s="2"/>
      <c r="H75" s="6">
        <v>300</v>
      </c>
      <c r="I75" s="2"/>
      <c r="J75" s="7">
        <f t="shared" si="37"/>
        <v>2.7700831024930748E-3</v>
      </c>
      <c r="K75" s="2"/>
      <c r="L75" s="6">
        <f t="shared" si="38"/>
        <v>-300</v>
      </c>
      <c r="M75" s="2"/>
      <c r="N75" s="7">
        <f t="shared" si="39"/>
        <v>-1</v>
      </c>
      <c r="O75" s="11"/>
      <c r="P75" s="6"/>
      <c r="Q75" s="2"/>
      <c r="R75" s="7">
        <f t="shared" si="40"/>
        <v>0</v>
      </c>
      <c r="S75" s="2"/>
      <c r="T75" s="6">
        <v>500</v>
      </c>
      <c r="U75" s="2"/>
      <c r="V75" s="7">
        <f t="shared" si="41"/>
        <v>4.1771094402673348E-3</v>
      </c>
      <c r="W75" s="2"/>
      <c r="X75" s="6">
        <f t="shared" si="42"/>
        <v>-500</v>
      </c>
      <c r="Y75" s="2"/>
      <c r="Z75" s="7">
        <f t="shared" si="43"/>
        <v>-1</v>
      </c>
    </row>
    <row r="76" spans="1:26" s="26" customFormat="1" outlineLevel="1" collapsed="1" x14ac:dyDescent="0.25">
      <c r="A76" s="25"/>
      <c r="B76" s="13" t="str">
        <f>CONCATENATE("     ","Inventory Adjustment                              ")</f>
        <v xml:space="preserve">     Inventory Adjustment                              </v>
      </c>
      <c r="C76" s="13"/>
      <c r="D76" s="1">
        <f>SUM(OSRRefD22_9x_0)</f>
        <v>100</v>
      </c>
      <c r="E76" s="1"/>
      <c r="F76" s="5">
        <f t="shared" si="36"/>
        <v>1.0270466574971938E-3</v>
      </c>
      <c r="G76" s="1"/>
      <c r="H76" s="1">
        <f>SUM(OSRRefH22_9x_0)</f>
        <v>100</v>
      </c>
      <c r="I76" s="1"/>
      <c r="J76" s="5">
        <f t="shared" si="37"/>
        <v>9.2336103416435823E-4</v>
      </c>
      <c r="K76" s="1"/>
      <c r="L76" s="1">
        <f t="shared" si="38"/>
        <v>0</v>
      </c>
      <c r="M76" s="1"/>
      <c r="N76" s="5">
        <f t="shared" si="39"/>
        <v>0</v>
      </c>
      <c r="O76" s="13"/>
      <c r="P76" s="1">
        <f>SUM(OSRRefP22_9x_0)</f>
        <v>100</v>
      </c>
      <c r="Q76" s="1"/>
      <c r="R76" s="5">
        <f t="shared" si="40"/>
        <v>9.4094931435375825E-4</v>
      </c>
      <c r="S76" s="1"/>
      <c r="T76" s="1">
        <f>SUM(OSRRefT22_9x_0)</f>
        <v>100</v>
      </c>
      <c r="U76" s="1"/>
      <c r="V76" s="5">
        <f t="shared" si="41"/>
        <v>8.3542188805346695E-4</v>
      </c>
      <c r="W76" s="1"/>
      <c r="X76" s="1">
        <f t="shared" si="42"/>
        <v>0</v>
      </c>
      <c r="Y76" s="1"/>
      <c r="Z76" s="5">
        <f t="shared" si="43"/>
        <v>0</v>
      </c>
    </row>
    <row r="77" spans="1:26" s="24" customFormat="1" hidden="1" outlineLevel="2" x14ac:dyDescent="0.25">
      <c r="A77" s="27"/>
      <c r="B77" s="11" t="str">
        <f>CONCATENATE("          ", "6408", " - ", "INVENTORY ADJUSTMENT")</f>
        <v xml:space="preserve">          6408 - INVENTORY ADJUSTMENT</v>
      </c>
      <c r="C77" s="11"/>
      <c r="D77" s="6">
        <v>100</v>
      </c>
      <c r="E77" s="2"/>
      <c r="F77" s="7">
        <f t="shared" si="36"/>
        <v>1.0270466574971938E-3</v>
      </c>
      <c r="G77" s="2"/>
      <c r="H77" s="6">
        <v>100</v>
      </c>
      <c r="I77" s="2"/>
      <c r="J77" s="7">
        <f t="shared" si="37"/>
        <v>9.2336103416435823E-4</v>
      </c>
      <c r="K77" s="2"/>
      <c r="L77" s="6">
        <f t="shared" si="38"/>
        <v>0</v>
      </c>
      <c r="M77" s="2"/>
      <c r="N77" s="7">
        <f t="shared" si="39"/>
        <v>0</v>
      </c>
      <c r="O77" s="11"/>
      <c r="P77" s="6">
        <v>100</v>
      </c>
      <c r="Q77" s="2"/>
      <c r="R77" s="7">
        <f t="shared" si="40"/>
        <v>9.4094931435375825E-4</v>
      </c>
      <c r="S77" s="2"/>
      <c r="T77" s="6">
        <v>100</v>
      </c>
      <c r="U77" s="2"/>
      <c r="V77" s="7">
        <f t="shared" si="41"/>
        <v>8.3542188805346695E-4</v>
      </c>
      <c r="W77" s="2"/>
      <c r="X77" s="6">
        <f t="shared" si="42"/>
        <v>0</v>
      </c>
      <c r="Y77" s="2"/>
      <c r="Z77" s="7">
        <f t="shared" si="43"/>
        <v>0</v>
      </c>
    </row>
    <row r="78" spans="1:26" s="26" customFormat="1" outlineLevel="1" collapsed="1" x14ac:dyDescent="0.25">
      <c r="A78" s="25"/>
      <c r="B78" s="13" t="str">
        <f>CONCATENATE("     ","Repair and Maintenance                            ")</f>
        <v xml:space="preserve">     Repair and Maintenance                            </v>
      </c>
      <c r="C78" s="13"/>
      <c r="D78" s="1">
        <f>SUM(OSRRefD22_10x_0)</f>
        <v>5867.62</v>
      </c>
      <c r="E78" s="1"/>
      <c r="F78" s="5">
        <f t="shared" si="36"/>
        <v>6.0263195084636845E-2</v>
      </c>
      <c r="G78" s="1"/>
      <c r="H78" s="1">
        <f>SUM(OSRRefH22_10x_0)</f>
        <v>7000</v>
      </c>
      <c r="I78" s="1"/>
      <c r="J78" s="5">
        <f t="shared" si="37"/>
        <v>6.4635272391505072E-2</v>
      </c>
      <c r="K78" s="1"/>
      <c r="L78" s="1">
        <f t="shared" si="38"/>
        <v>-1132.3800000000001</v>
      </c>
      <c r="M78" s="1"/>
      <c r="N78" s="5">
        <f t="shared" si="39"/>
        <v>-0.16176857142857146</v>
      </c>
      <c r="O78" s="13"/>
      <c r="P78" s="1">
        <f>SUM(OSRRefP22_10x_0)</f>
        <v>11810.02</v>
      </c>
      <c r="Q78" s="1"/>
      <c r="R78" s="5">
        <f t="shared" si="40"/>
        <v>0.11112630221504173</v>
      </c>
      <c r="S78" s="1"/>
      <c r="T78" s="1">
        <f>SUM(OSRRefT22_10x_0)</f>
        <v>14000</v>
      </c>
      <c r="U78" s="1"/>
      <c r="V78" s="5">
        <f t="shared" si="41"/>
        <v>0.11695906432748537</v>
      </c>
      <c r="W78" s="1"/>
      <c r="X78" s="1">
        <f t="shared" si="42"/>
        <v>-2189.9799999999996</v>
      </c>
      <c r="Y78" s="1"/>
      <c r="Z78" s="5">
        <f t="shared" si="43"/>
        <v>-0.15642714285714282</v>
      </c>
    </row>
    <row r="79" spans="1:26" s="24" customFormat="1" hidden="1" outlineLevel="2" x14ac:dyDescent="0.25">
      <c r="A79" s="27"/>
      <c r="B79" s="11" t="str">
        <f>CONCATENATE("          ", "6373", " - ", "MAINTENANCE CONTRACTS")</f>
        <v xml:space="preserve">          6373 - MAINTENANCE CONTRACTS</v>
      </c>
      <c r="C79" s="11"/>
      <c r="D79" s="6">
        <v>5867.62</v>
      </c>
      <c r="E79" s="2"/>
      <c r="F79" s="7">
        <f t="shared" si="36"/>
        <v>6.0263195084636845E-2</v>
      </c>
      <c r="G79" s="2"/>
      <c r="H79" s="6">
        <v>7000</v>
      </c>
      <c r="I79" s="2"/>
      <c r="J79" s="7">
        <f t="shared" si="37"/>
        <v>6.4635272391505072E-2</v>
      </c>
      <c r="K79" s="2"/>
      <c r="L79" s="6">
        <f t="shared" si="38"/>
        <v>-1132.3800000000001</v>
      </c>
      <c r="M79" s="2"/>
      <c r="N79" s="7">
        <f t="shared" si="39"/>
        <v>-0.16176857142857146</v>
      </c>
      <c r="O79" s="11"/>
      <c r="P79" s="6">
        <v>11810.02</v>
      </c>
      <c r="Q79" s="2"/>
      <c r="R79" s="7">
        <f t="shared" si="40"/>
        <v>0.11112630221504173</v>
      </c>
      <c r="S79" s="2"/>
      <c r="T79" s="6">
        <v>14000</v>
      </c>
      <c r="U79" s="2"/>
      <c r="V79" s="7">
        <f t="shared" si="41"/>
        <v>0.11695906432748537</v>
      </c>
      <c r="W79" s="2"/>
      <c r="X79" s="6">
        <f t="shared" si="42"/>
        <v>-2189.9799999999996</v>
      </c>
      <c r="Y79" s="2"/>
      <c r="Z79" s="7">
        <f t="shared" si="43"/>
        <v>-0.15642714285714282</v>
      </c>
    </row>
    <row r="80" spans="1:26" s="26" customFormat="1" outlineLevel="1" collapsed="1" x14ac:dyDescent="0.25">
      <c r="A80" s="25"/>
      <c r="B80" s="13" t="str">
        <f>CONCATENATE("     ","Royalty &amp; Commissions                             ")</f>
        <v xml:space="preserve">     Royalty &amp; Commissions                             </v>
      </c>
      <c r="C80" s="13"/>
      <c r="D80" s="1">
        <f>SUM(OSRRefD22_11x_0)</f>
        <v>3649.17</v>
      </c>
      <c r="E80" s="1"/>
      <c r="F80" s="5">
        <f t="shared" si="36"/>
        <v>3.7478678511390348E-2</v>
      </c>
      <c r="G80" s="1"/>
      <c r="H80" s="1">
        <f>SUM(OSRRefH22_11x_0)</f>
        <v>11000</v>
      </c>
      <c r="I80" s="1"/>
      <c r="J80" s="5">
        <f t="shared" si="37"/>
        <v>0.10156971375807941</v>
      </c>
      <c r="K80" s="1"/>
      <c r="L80" s="1">
        <f t="shared" si="38"/>
        <v>-7350.83</v>
      </c>
      <c r="M80" s="1"/>
      <c r="N80" s="5">
        <f t="shared" si="39"/>
        <v>-0.66825727272727276</v>
      </c>
      <c r="O80" s="13"/>
      <c r="P80" s="1">
        <f>SUM(OSRRefP22_11x_0)</f>
        <v>4254.18</v>
      </c>
      <c r="Q80" s="1"/>
      <c r="R80" s="5">
        <f t="shared" si="40"/>
        <v>4.0029677541374716E-2</v>
      </c>
      <c r="S80" s="1"/>
      <c r="T80" s="1">
        <f>SUM(OSRRefT22_11x_0)</f>
        <v>22000</v>
      </c>
      <c r="U80" s="1"/>
      <c r="V80" s="5">
        <f t="shared" si="41"/>
        <v>0.18379281537176273</v>
      </c>
      <c r="W80" s="1"/>
      <c r="X80" s="1">
        <f t="shared" si="42"/>
        <v>-17745.82</v>
      </c>
      <c r="Y80" s="1"/>
      <c r="Z80" s="5">
        <f t="shared" si="43"/>
        <v>-0.80662818181818186</v>
      </c>
    </row>
    <row r="81" spans="1:26" s="24" customFormat="1" hidden="1" outlineLevel="2" x14ac:dyDescent="0.25">
      <c r="A81" s="27"/>
      <c r="B81" s="11" t="str">
        <f>CONCATENATE("          ", "6254", " - ", "ROYALTY &amp; COMMISSIONS")</f>
        <v xml:space="preserve">          6254 - ROYALTY &amp; COMMISSIONS</v>
      </c>
      <c r="C81" s="11"/>
      <c r="D81" s="6"/>
      <c r="E81" s="2"/>
      <c r="F81" s="7">
        <f t="shared" si="36"/>
        <v>0</v>
      </c>
      <c r="G81" s="2"/>
      <c r="H81" s="6">
        <v>11000</v>
      </c>
      <c r="I81" s="2"/>
      <c r="J81" s="7">
        <f t="shared" si="37"/>
        <v>0.10156971375807941</v>
      </c>
      <c r="K81" s="2"/>
      <c r="L81" s="6">
        <f t="shared" si="38"/>
        <v>-11000</v>
      </c>
      <c r="M81" s="2"/>
      <c r="N81" s="7">
        <f t="shared" si="39"/>
        <v>-1</v>
      </c>
      <c r="O81" s="11"/>
      <c r="P81" s="6"/>
      <c r="Q81" s="2"/>
      <c r="R81" s="7">
        <f t="shared" si="40"/>
        <v>0</v>
      </c>
      <c r="S81" s="2"/>
      <c r="T81" s="6">
        <v>22000</v>
      </c>
      <c r="U81" s="2"/>
      <c r="V81" s="7">
        <f t="shared" si="41"/>
        <v>0.18379281537176273</v>
      </c>
      <c r="W81" s="2"/>
      <c r="X81" s="6">
        <f t="shared" si="42"/>
        <v>-22000</v>
      </c>
      <c r="Y81" s="2"/>
      <c r="Z81" s="7">
        <f t="shared" si="43"/>
        <v>-1</v>
      </c>
    </row>
    <row r="82" spans="1:26" s="24" customFormat="1" hidden="1" outlineLevel="2" x14ac:dyDescent="0.25">
      <c r="A82" s="27"/>
      <c r="B82" s="11" t="str">
        <f>CONCATENATE("          ", "6259", " - ", "ROYALTY &amp; COMMISSIONS")</f>
        <v xml:space="preserve">          6259 - ROYALTY &amp; COMMISSIONS</v>
      </c>
      <c r="C82" s="11"/>
      <c r="D82" s="6">
        <v>3649.17</v>
      </c>
      <c r="E82" s="2"/>
      <c r="F82" s="7">
        <f t="shared" si="36"/>
        <v>3.7478678511390348E-2</v>
      </c>
      <c r="G82" s="2"/>
      <c r="H82" s="6"/>
      <c r="I82" s="2"/>
      <c r="J82" s="7">
        <f t="shared" si="37"/>
        <v>0</v>
      </c>
      <c r="K82" s="2"/>
      <c r="L82" s="6">
        <f t="shared" si="38"/>
        <v>3649.17</v>
      </c>
      <c r="M82" s="2"/>
      <c r="N82" s="7">
        <f t="shared" si="39"/>
        <v>0</v>
      </c>
      <c r="O82" s="11"/>
      <c r="P82" s="6">
        <v>4254.18</v>
      </c>
      <c r="Q82" s="2"/>
      <c r="R82" s="7">
        <f t="shared" si="40"/>
        <v>4.0029677541374716E-2</v>
      </c>
      <c r="S82" s="2"/>
      <c r="T82" s="6"/>
      <c r="U82" s="2"/>
      <c r="V82" s="7">
        <f t="shared" si="41"/>
        <v>0</v>
      </c>
      <c r="W82" s="2"/>
      <c r="X82" s="6">
        <f t="shared" si="42"/>
        <v>4254.18</v>
      </c>
      <c r="Y82" s="2"/>
      <c r="Z82" s="7">
        <f t="shared" si="43"/>
        <v>0</v>
      </c>
    </row>
    <row r="83" spans="1:26" s="26" customFormat="1" outlineLevel="1" collapsed="1" x14ac:dyDescent="0.25">
      <c r="A83" s="25"/>
      <c r="B83" s="13" t="str">
        <f>CONCATENATE("     ","Supplies                                          ")</f>
        <v xml:space="preserve">     Supplies                                          </v>
      </c>
      <c r="C83" s="13"/>
      <c r="D83" s="1">
        <f>SUM(OSRRefD22_12x_0)</f>
        <v>3797.9</v>
      </c>
      <c r="E83" s="1"/>
      <c r="F83" s="5">
        <f t="shared" ref="F83:F88" si="44">IF(D$12=0,0,D83/D$12)</f>
        <v>3.9006205005085927E-2</v>
      </c>
      <c r="G83" s="1"/>
      <c r="H83" s="1">
        <f>SUM(OSRRefH22_12x_0)</f>
        <v>7500</v>
      </c>
      <c r="I83" s="1"/>
      <c r="J83" s="5">
        <f t="shared" ref="J83:J88" si="45">IF(H$12=0,0,H83/H$12)</f>
        <v>6.9252077562326875E-2</v>
      </c>
      <c r="K83" s="1"/>
      <c r="L83" s="1">
        <f t="shared" ref="L83:L88" si="46">+D83-H83</f>
        <v>-3702.1</v>
      </c>
      <c r="M83" s="1"/>
      <c r="N83" s="5">
        <f t="shared" ref="N83:N88" si="47">IF(H83=0,0,L83/H83)</f>
        <v>-0.49361333333333335</v>
      </c>
      <c r="O83" s="13"/>
      <c r="P83" s="1">
        <f>SUM(OSRRefP22_12x_0)</f>
        <v>7293.59</v>
      </c>
      <c r="Q83" s="1"/>
      <c r="R83" s="5">
        <f t="shared" ref="R83:R88" si="48">IF(P$12=0,0,P83/P$12)</f>
        <v>6.8628985096774286E-2</v>
      </c>
      <c r="S83" s="1"/>
      <c r="T83" s="1">
        <f>SUM(OSRRefT22_12x_0)</f>
        <v>10500</v>
      </c>
      <c r="U83" s="1"/>
      <c r="V83" s="5">
        <f t="shared" ref="V83:V88" si="49">IF(T$12=0,0,T83/T$12)</f>
        <v>8.771929824561403E-2</v>
      </c>
      <c r="W83" s="1"/>
      <c r="X83" s="1">
        <f t="shared" ref="X83:X88" si="50">+P83-T83</f>
        <v>-3206.41</v>
      </c>
      <c r="Y83" s="1"/>
      <c r="Z83" s="5">
        <f t="shared" ref="Z83:Z88" si="51">IF(T83=0,0,X83/T83)</f>
        <v>-0.30537238095238095</v>
      </c>
    </row>
    <row r="84" spans="1:26" s="24" customFormat="1" hidden="1" outlineLevel="2" x14ac:dyDescent="0.25">
      <c r="A84" s="27"/>
      <c r="B84" s="11" t="str">
        <f>CONCATENATE("          ", "6234", " - ", "EXPENDABLE SUPPLIES &amp; EQUIPMEN")</f>
        <v xml:space="preserve">          6234 - EXPENDABLE SUPPLIES &amp; EQUIPMEN</v>
      </c>
      <c r="C84" s="11"/>
      <c r="D84" s="6">
        <v>1000</v>
      </c>
      <c r="E84" s="2"/>
      <c r="F84" s="7">
        <f t="shared" si="44"/>
        <v>1.0270466574971939E-2</v>
      </c>
      <c r="G84" s="2"/>
      <c r="H84" s="6"/>
      <c r="I84" s="2"/>
      <c r="J84" s="7">
        <f t="shared" si="45"/>
        <v>0</v>
      </c>
      <c r="K84" s="2"/>
      <c r="L84" s="6">
        <f t="shared" si="46"/>
        <v>1000</v>
      </c>
      <c r="M84" s="2"/>
      <c r="N84" s="7">
        <f t="shared" si="47"/>
        <v>0</v>
      </c>
      <c r="O84" s="11"/>
      <c r="P84" s="6">
        <v>1017.27</v>
      </c>
      <c r="Q84" s="2"/>
      <c r="R84" s="7">
        <f t="shared" si="48"/>
        <v>9.5719950901264773E-3</v>
      </c>
      <c r="S84" s="2"/>
      <c r="T84" s="6"/>
      <c r="U84" s="2"/>
      <c r="V84" s="7">
        <f t="shared" si="49"/>
        <v>0</v>
      </c>
      <c r="W84" s="2"/>
      <c r="X84" s="6">
        <f t="shared" si="50"/>
        <v>1017.27</v>
      </c>
      <c r="Y84" s="2"/>
      <c r="Z84" s="7">
        <f t="shared" si="51"/>
        <v>0</v>
      </c>
    </row>
    <row r="85" spans="1:26" s="24" customFormat="1" hidden="1" outlineLevel="2" x14ac:dyDescent="0.25">
      <c r="A85" s="27"/>
      <c r="B85" s="11" t="str">
        <f>CONCATENATE("          ", "6241", " - ", "OFFICE EXPENSE")</f>
        <v xml:space="preserve">          6241 - OFFICE EXPENSE</v>
      </c>
      <c r="C85" s="11"/>
      <c r="D85" s="6">
        <v>27.61</v>
      </c>
      <c r="E85" s="2"/>
      <c r="F85" s="7">
        <f t="shared" si="44"/>
        <v>2.8356758213497518E-4</v>
      </c>
      <c r="G85" s="2"/>
      <c r="H85" s="6"/>
      <c r="I85" s="2"/>
      <c r="J85" s="7">
        <f t="shared" si="45"/>
        <v>0</v>
      </c>
      <c r="K85" s="2"/>
      <c r="L85" s="6">
        <f t="shared" si="46"/>
        <v>27.61</v>
      </c>
      <c r="M85" s="2"/>
      <c r="N85" s="7">
        <f t="shared" si="47"/>
        <v>0</v>
      </c>
      <c r="O85" s="11"/>
      <c r="P85" s="6">
        <v>27.61</v>
      </c>
      <c r="Q85" s="2"/>
      <c r="R85" s="7">
        <f t="shared" si="48"/>
        <v>2.5979610569307264E-4</v>
      </c>
      <c r="S85" s="2"/>
      <c r="T85" s="6"/>
      <c r="U85" s="2"/>
      <c r="V85" s="7">
        <f t="shared" si="49"/>
        <v>0</v>
      </c>
      <c r="W85" s="2"/>
      <c r="X85" s="6">
        <f t="shared" si="50"/>
        <v>27.61</v>
      </c>
      <c r="Y85" s="2"/>
      <c r="Z85" s="7">
        <f t="shared" si="51"/>
        <v>0</v>
      </c>
    </row>
    <row r="86" spans="1:26" s="24" customFormat="1" hidden="1" outlineLevel="2" x14ac:dyDescent="0.25">
      <c r="A86" s="27"/>
      <c r="B86" s="11" t="str">
        <f>CONCATENATE("          ", "6243", " - ", "PAPER SUPPLIES")</f>
        <v xml:space="preserve">          6243 - PAPER SUPPLIES</v>
      </c>
      <c r="C86" s="11"/>
      <c r="D86" s="6">
        <v>1496.95</v>
      </c>
      <c r="E86" s="2"/>
      <c r="F86" s="7">
        <f t="shared" si="44"/>
        <v>1.5374374939404243E-2</v>
      </c>
      <c r="G86" s="2"/>
      <c r="H86" s="6">
        <v>250</v>
      </c>
      <c r="I86" s="2"/>
      <c r="J86" s="7">
        <f t="shared" si="45"/>
        <v>2.3084025854108957E-3</v>
      </c>
      <c r="K86" s="2"/>
      <c r="L86" s="6">
        <f t="shared" si="46"/>
        <v>1246.95</v>
      </c>
      <c r="M86" s="2"/>
      <c r="N86" s="7">
        <f t="shared" si="47"/>
        <v>4.9878</v>
      </c>
      <c r="O86" s="11"/>
      <c r="P86" s="6">
        <v>2658.29</v>
      </c>
      <c r="Q86" s="2"/>
      <c r="R86" s="7">
        <f t="shared" si="48"/>
        <v>2.5013161528534521E-2</v>
      </c>
      <c r="S86" s="2"/>
      <c r="T86" s="6">
        <v>500</v>
      </c>
      <c r="U86" s="2"/>
      <c r="V86" s="7">
        <f t="shared" si="49"/>
        <v>4.1771094402673348E-3</v>
      </c>
      <c r="W86" s="2"/>
      <c r="X86" s="6">
        <f t="shared" si="50"/>
        <v>2158.29</v>
      </c>
      <c r="Y86" s="2"/>
      <c r="Z86" s="7">
        <f t="shared" si="51"/>
        <v>4.3165800000000001</v>
      </c>
    </row>
    <row r="87" spans="1:26" s="24" customFormat="1" hidden="1" outlineLevel="2" x14ac:dyDescent="0.25">
      <c r="A87" s="27"/>
      <c r="B87" s="11" t="str">
        <f>CONCATENATE("          ", "6245", " - ", "PRINTING")</f>
        <v xml:space="preserve">          6245 - PRINTING</v>
      </c>
      <c r="C87" s="11"/>
      <c r="D87" s="6">
        <v>-12.7</v>
      </c>
      <c r="E87" s="2"/>
      <c r="F87" s="7">
        <f t="shared" si="44"/>
        <v>-1.3043492550214361E-4</v>
      </c>
      <c r="G87" s="2"/>
      <c r="H87" s="6"/>
      <c r="I87" s="2"/>
      <c r="J87" s="7">
        <f t="shared" si="45"/>
        <v>0</v>
      </c>
      <c r="K87" s="2"/>
      <c r="L87" s="6">
        <f t="shared" si="46"/>
        <v>-12.7</v>
      </c>
      <c r="M87" s="2"/>
      <c r="N87" s="7">
        <f t="shared" si="47"/>
        <v>0</v>
      </c>
      <c r="O87" s="11"/>
      <c r="P87" s="6">
        <v>-12.7</v>
      </c>
      <c r="Q87" s="2"/>
      <c r="R87" s="7">
        <f t="shared" si="48"/>
        <v>-1.195005629229273E-4</v>
      </c>
      <c r="S87" s="2"/>
      <c r="T87" s="6"/>
      <c r="U87" s="2"/>
      <c r="V87" s="7">
        <f t="shared" si="49"/>
        <v>0</v>
      </c>
      <c r="W87" s="2"/>
      <c r="X87" s="6">
        <f t="shared" si="50"/>
        <v>-12.7</v>
      </c>
      <c r="Y87" s="2"/>
      <c r="Z87" s="7">
        <f t="shared" si="51"/>
        <v>0</v>
      </c>
    </row>
    <row r="88" spans="1:26" s="24" customFormat="1" hidden="1" outlineLevel="2" x14ac:dyDescent="0.25">
      <c r="A88" s="27"/>
      <c r="B88" s="11" t="str">
        <f>CONCATENATE("          ", "6247", " - ", "STORE SUPPLIES")</f>
        <v xml:space="preserve">          6247 - STORE SUPPLIES</v>
      </c>
      <c r="C88" s="11"/>
      <c r="D88" s="6">
        <v>1286.04</v>
      </c>
      <c r="E88" s="2"/>
      <c r="F88" s="7">
        <f t="shared" si="44"/>
        <v>1.3208230834076911E-2</v>
      </c>
      <c r="G88" s="2"/>
      <c r="H88" s="6">
        <v>7250</v>
      </c>
      <c r="I88" s="2"/>
      <c r="J88" s="7">
        <f t="shared" si="45"/>
        <v>6.6943674976915973E-2</v>
      </c>
      <c r="K88" s="2"/>
      <c r="L88" s="6">
        <f t="shared" si="46"/>
        <v>-5963.96</v>
      </c>
      <c r="M88" s="2"/>
      <c r="N88" s="7">
        <f t="shared" si="47"/>
        <v>-0.82261517241379312</v>
      </c>
      <c r="O88" s="11"/>
      <c r="P88" s="6">
        <v>3603.12</v>
      </c>
      <c r="Q88" s="2"/>
      <c r="R88" s="7">
        <f t="shared" si="48"/>
        <v>3.3903532935343136E-2</v>
      </c>
      <c r="S88" s="2"/>
      <c r="T88" s="6">
        <v>10000</v>
      </c>
      <c r="U88" s="2"/>
      <c r="V88" s="7">
        <f t="shared" si="49"/>
        <v>8.3542188805346695E-2</v>
      </c>
      <c r="W88" s="2"/>
      <c r="X88" s="6">
        <f t="shared" si="50"/>
        <v>-6396.88</v>
      </c>
      <c r="Y88" s="2"/>
      <c r="Z88" s="7">
        <f t="shared" si="51"/>
        <v>-0.63968800000000003</v>
      </c>
    </row>
    <row r="89" spans="1:26" s="26" customFormat="1" outlineLevel="1" collapsed="1" x14ac:dyDescent="0.25">
      <c r="A89" s="25"/>
      <c r="B89" s="13" t="str">
        <f>CONCATENATE("     ","Telephone/Data Lines                              ")</f>
        <v xml:space="preserve">     Telephone/Data Lines                              </v>
      </c>
      <c r="C89" s="13"/>
      <c r="D89" s="1">
        <f>SUM(OSRRefD22_13x_0)</f>
        <v>199.6</v>
      </c>
      <c r="E89" s="1"/>
      <c r="F89" s="5">
        <f t="shared" ref="F89:F91" si="52">IF(D$12=0,0,D89/D$12)</f>
        <v>2.0499851283643988E-3</v>
      </c>
      <c r="G89" s="1"/>
      <c r="H89" s="1">
        <f>SUM(OSRRefH22_13x_0)</f>
        <v>200</v>
      </c>
      <c r="I89" s="1"/>
      <c r="J89" s="5">
        <f t="shared" ref="J89:J91" si="53">IF(H$12=0,0,H89/H$12)</f>
        <v>1.8467220683287165E-3</v>
      </c>
      <c r="K89" s="1"/>
      <c r="L89" s="1">
        <f t="shared" ref="L89:L91" si="54">+D89-H89</f>
        <v>-0.40000000000000568</v>
      </c>
      <c r="M89" s="1"/>
      <c r="N89" s="5">
        <f t="shared" ref="N89:N91" si="55">IF(H89=0,0,L89/H89)</f>
        <v>-2.0000000000000282E-3</v>
      </c>
      <c r="O89" s="13"/>
      <c r="P89" s="1">
        <f>SUM(OSRRefP22_13x_0)</f>
        <v>392.05</v>
      </c>
      <c r="Q89" s="1"/>
      <c r="R89" s="5">
        <f t="shared" ref="R89:R91" si="56">IF(P$12=0,0,P89/P$12)</f>
        <v>3.6889917869239093E-3</v>
      </c>
      <c r="S89" s="1"/>
      <c r="T89" s="1">
        <f>SUM(OSRRefT22_13x_0)</f>
        <v>400</v>
      </c>
      <c r="U89" s="1"/>
      <c r="V89" s="5">
        <f t="shared" ref="V89:V91" si="57">IF(T$12=0,0,T89/T$12)</f>
        <v>3.3416875522138678E-3</v>
      </c>
      <c r="W89" s="1"/>
      <c r="X89" s="1">
        <f t="shared" ref="X89:X91" si="58">+P89-T89</f>
        <v>-7.9499999999999886</v>
      </c>
      <c r="Y89" s="1"/>
      <c r="Z89" s="5">
        <f t="shared" ref="Z89:Z91" si="59">IF(T89=0,0,X89/T89)</f>
        <v>-1.9874999999999973E-2</v>
      </c>
    </row>
    <row r="90" spans="1:26" s="24" customFormat="1" hidden="1" outlineLevel="2" x14ac:dyDescent="0.25">
      <c r="A90" s="27"/>
      <c r="B90" s="11" t="str">
        <f>CONCATENATE("          ", "6303", " - ", "DATA PHONE LINES")</f>
        <v xml:space="preserve">          6303 - DATA PHONE LINES</v>
      </c>
      <c r="C90" s="11"/>
      <c r="D90" s="6"/>
      <c r="E90" s="2"/>
      <c r="F90" s="7">
        <f t="shared" si="52"/>
        <v>0</v>
      </c>
      <c r="G90" s="2"/>
      <c r="H90" s="6">
        <v>200</v>
      </c>
      <c r="I90" s="2"/>
      <c r="J90" s="7">
        <f t="shared" si="53"/>
        <v>1.8467220683287165E-3</v>
      </c>
      <c r="K90" s="2"/>
      <c r="L90" s="6">
        <f t="shared" si="54"/>
        <v>-200</v>
      </c>
      <c r="M90" s="2"/>
      <c r="N90" s="7">
        <f t="shared" si="55"/>
        <v>-1</v>
      </c>
      <c r="O90" s="11"/>
      <c r="P90" s="6"/>
      <c r="Q90" s="2"/>
      <c r="R90" s="7">
        <f t="shared" si="56"/>
        <v>0</v>
      </c>
      <c r="S90" s="2"/>
      <c r="T90" s="6">
        <v>400</v>
      </c>
      <c r="U90" s="2"/>
      <c r="V90" s="7">
        <f t="shared" si="57"/>
        <v>3.3416875522138678E-3</v>
      </c>
      <c r="W90" s="2"/>
      <c r="X90" s="6">
        <f t="shared" si="58"/>
        <v>-400</v>
      </c>
      <c r="Y90" s="2"/>
      <c r="Z90" s="7">
        <f t="shared" si="59"/>
        <v>-1</v>
      </c>
    </row>
    <row r="91" spans="1:26" s="24" customFormat="1" hidden="1" outlineLevel="2" x14ac:dyDescent="0.25">
      <c r="A91" s="27"/>
      <c r="B91" s="11" t="str">
        <f>CONCATENATE("          ", "6309", " - ", "TELEPHONE")</f>
        <v xml:space="preserve">          6309 - TELEPHONE</v>
      </c>
      <c r="C91" s="11"/>
      <c r="D91" s="6">
        <v>199.6</v>
      </c>
      <c r="E91" s="2"/>
      <c r="F91" s="7">
        <f t="shared" si="52"/>
        <v>2.0499851283643988E-3</v>
      </c>
      <c r="G91" s="2"/>
      <c r="H91" s="6"/>
      <c r="I91" s="2"/>
      <c r="J91" s="7">
        <f t="shared" si="53"/>
        <v>0</v>
      </c>
      <c r="K91" s="2"/>
      <c r="L91" s="6">
        <f t="shared" si="54"/>
        <v>199.6</v>
      </c>
      <c r="M91" s="2"/>
      <c r="N91" s="7">
        <f t="shared" si="55"/>
        <v>0</v>
      </c>
      <c r="O91" s="11"/>
      <c r="P91" s="6">
        <v>392.05</v>
      </c>
      <c r="Q91" s="2"/>
      <c r="R91" s="7">
        <f t="shared" si="56"/>
        <v>3.6889917869239093E-3</v>
      </c>
      <c r="S91" s="2"/>
      <c r="T91" s="6"/>
      <c r="U91" s="2"/>
      <c r="V91" s="7">
        <f t="shared" si="57"/>
        <v>0</v>
      </c>
      <c r="W91" s="2"/>
      <c r="X91" s="6">
        <f t="shared" si="58"/>
        <v>392.05</v>
      </c>
      <c r="Y91" s="2"/>
      <c r="Z91" s="7">
        <f t="shared" si="59"/>
        <v>0</v>
      </c>
    </row>
    <row r="92" spans="1:26" s="63" customFormat="1" x14ac:dyDescent="0.25">
      <c r="A92" s="36"/>
      <c r="B92" s="36"/>
      <c r="C92" s="36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6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collapsed="1" x14ac:dyDescent="0.25">
      <c r="A93" s="10"/>
      <c r="B93" s="28" t="s">
        <v>0</v>
      </c>
      <c r="C93" s="10"/>
      <c r="D93" s="4">
        <f>SUM(OSRRefD25x_0)</f>
        <v>36231.15</v>
      </c>
      <c r="E93" s="4"/>
      <c r="F93" s="12">
        <f t="shared" ref="F93:F99" si="60">IF(D$12=0,0,D93/D$12)</f>
        <v>0.37211081504779453</v>
      </c>
      <c r="G93" s="4"/>
      <c r="H93" s="4">
        <f>SUM(OSRRefH25x_0)</f>
        <v>26250</v>
      </c>
      <c r="I93" s="4"/>
      <c r="J93" s="12">
        <f t="shared" ref="J93:J99" si="61">IF(H$12=0,0,H93/H$12)</f>
        <v>0.24238227146814403</v>
      </c>
      <c r="K93" s="4"/>
      <c r="L93" s="4">
        <f t="shared" ref="L93:L99" si="62">+D93-H93</f>
        <v>9981.1500000000015</v>
      </c>
      <c r="M93" s="4"/>
      <c r="N93" s="12">
        <f t="shared" ref="N93:N99" si="63">IF(H93=0,0,L93/H93)</f>
        <v>0.38023428571428575</v>
      </c>
      <c r="O93" s="10"/>
      <c r="P93" s="4">
        <f>SUM(OSRRefP25x_0)</f>
        <v>49829.85</v>
      </c>
      <c r="Q93" s="4"/>
      <c r="R93" s="12">
        <f t="shared" ref="R93:R99" si="64">IF(P$12=0,0,P93/P$12)</f>
        <v>0.46887363191850623</v>
      </c>
      <c r="S93" s="4"/>
      <c r="T93" s="4">
        <f>SUM(OSRRefT25x_0)</f>
        <v>52000</v>
      </c>
      <c r="U93" s="4"/>
      <c r="V93" s="12">
        <f t="shared" ref="V93:V99" si="65">IF(T$12=0,0,T93/T$12)</f>
        <v>0.43441938178780282</v>
      </c>
      <c r="W93" s="4"/>
      <c r="X93" s="4">
        <f t="shared" ref="X93:X99" si="66">+P93-T93</f>
        <v>-2170.1500000000015</v>
      </c>
      <c r="Y93" s="4"/>
      <c r="Z93" s="12">
        <f t="shared" ref="Z93:Z99" si="67">IF(T93=0,0,X93/T93)</f>
        <v>-4.1733653846153872E-2</v>
      </c>
    </row>
    <row r="94" spans="1:26" s="24" customFormat="1" hidden="1" outlineLevel="1" x14ac:dyDescent="0.25">
      <c r="A94" s="46"/>
      <c r="B94" s="11" t="str">
        <f>CONCATENATE("          ", "4098", " - ", "TAXABLE SALES-GRAD RENTALS")</f>
        <v xml:space="preserve">          4098 - TAXABLE SALES-GRAD RENTALS</v>
      </c>
      <c r="C94" s="11"/>
      <c r="D94" s="2">
        <f>--1552.15</f>
        <v>1552.15</v>
      </c>
      <c r="E94" s="2"/>
      <c r="F94" s="21">
        <f t="shared" si="60"/>
        <v>1.5941304694342694E-2</v>
      </c>
      <c r="G94" s="2"/>
      <c r="H94" s="2"/>
      <c r="I94" s="2"/>
      <c r="J94" s="21">
        <f t="shared" si="61"/>
        <v>0</v>
      </c>
      <c r="K94" s="2"/>
      <c r="L94" s="2">
        <f t="shared" si="62"/>
        <v>1552.15</v>
      </c>
      <c r="M94" s="2"/>
      <c r="N94" s="21">
        <f t="shared" si="63"/>
        <v>0</v>
      </c>
      <c r="O94" s="11"/>
      <c r="P94" s="2">
        <f>--1626.85</f>
        <v>1626.85</v>
      </c>
      <c r="Q94" s="2"/>
      <c r="R94" s="21">
        <f t="shared" si="64"/>
        <v>1.5307833920564116E-2</v>
      </c>
      <c r="S94" s="2"/>
      <c r="T94" s="2"/>
      <c r="U94" s="2"/>
      <c r="V94" s="21">
        <f t="shared" si="65"/>
        <v>0</v>
      </c>
      <c r="W94" s="2"/>
      <c r="X94" s="2">
        <f t="shared" si="66"/>
        <v>1626.85</v>
      </c>
      <c r="Y94" s="2"/>
      <c r="Z94" s="21">
        <f t="shared" si="67"/>
        <v>0</v>
      </c>
    </row>
    <row r="95" spans="1:26" s="24" customFormat="1" hidden="1" outlineLevel="1" x14ac:dyDescent="0.25">
      <c r="A95" s="46"/>
      <c r="B95" s="11" t="str">
        <f>CONCATENATE("          ", "4197", " - ", "NON-TAXABLE SALES-RETURNED CHE")</f>
        <v xml:space="preserve">          4197 - NON-TAXABLE SALES-RETURNED CHE</v>
      </c>
      <c r="C95" s="11"/>
      <c r="D95" s="2">
        <f>--30</f>
        <v>30</v>
      </c>
      <c r="E95" s="2"/>
      <c r="F95" s="21">
        <f t="shared" si="60"/>
        <v>3.0811399724915814E-4</v>
      </c>
      <c r="G95" s="2"/>
      <c r="H95" s="2"/>
      <c r="I95" s="2"/>
      <c r="J95" s="21">
        <f t="shared" si="61"/>
        <v>0</v>
      </c>
      <c r="K95" s="2"/>
      <c r="L95" s="2">
        <f t="shared" si="62"/>
        <v>30</v>
      </c>
      <c r="M95" s="2"/>
      <c r="N95" s="21">
        <f t="shared" si="63"/>
        <v>0</v>
      </c>
      <c r="O95" s="11"/>
      <c r="P95" s="2">
        <f>--30</f>
        <v>30</v>
      </c>
      <c r="Q95" s="2"/>
      <c r="R95" s="21">
        <f t="shared" si="64"/>
        <v>2.8228479430612749E-4</v>
      </c>
      <c r="S95" s="2"/>
      <c r="T95" s="2"/>
      <c r="U95" s="2"/>
      <c r="V95" s="21">
        <f t="shared" si="65"/>
        <v>0</v>
      </c>
      <c r="W95" s="2"/>
      <c r="X95" s="2">
        <f t="shared" si="66"/>
        <v>30</v>
      </c>
      <c r="Y95" s="2"/>
      <c r="Z95" s="21">
        <f t="shared" si="67"/>
        <v>0</v>
      </c>
    </row>
    <row r="96" spans="1:26" s="24" customFormat="1" hidden="1" outlineLevel="1" x14ac:dyDescent="0.25">
      <c r="A96" s="46"/>
      <c r="B96" s="11" t="str">
        <f>CONCATENATE("          ", "4198", " - ", "NON-TAXABLE SALES-GRAD RENTALS")</f>
        <v xml:space="preserve">          4198 - NON-TAXABLE SALES-GRAD RENTALS</v>
      </c>
      <c r="C96" s="11"/>
      <c r="D96" s="2">
        <f>--210</f>
        <v>210</v>
      </c>
      <c r="E96" s="2"/>
      <c r="F96" s="21">
        <f t="shared" si="60"/>
        <v>2.1567979807441072E-3</v>
      </c>
      <c r="G96" s="2"/>
      <c r="H96" s="2"/>
      <c r="I96" s="2"/>
      <c r="J96" s="21">
        <f t="shared" si="61"/>
        <v>0</v>
      </c>
      <c r="K96" s="2"/>
      <c r="L96" s="2">
        <f t="shared" si="62"/>
        <v>210</v>
      </c>
      <c r="M96" s="2"/>
      <c r="N96" s="21">
        <f t="shared" si="63"/>
        <v>0</v>
      </c>
      <c r="O96" s="11"/>
      <c r="P96" s="2">
        <f>--465</f>
        <v>465</v>
      </c>
      <c r="Q96" s="2"/>
      <c r="R96" s="21">
        <f t="shared" si="64"/>
        <v>4.3754143117449764E-3</v>
      </c>
      <c r="S96" s="2"/>
      <c r="T96" s="2"/>
      <c r="U96" s="2"/>
      <c r="V96" s="21">
        <f t="shared" si="65"/>
        <v>0</v>
      </c>
      <c r="W96" s="2"/>
      <c r="X96" s="2">
        <f t="shared" si="66"/>
        <v>465</v>
      </c>
      <c r="Y96" s="2"/>
      <c r="Z96" s="21">
        <f t="shared" si="67"/>
        <v>0</v>
      </c>
    </row>
    <row r="97" spans="1:26" s="24" customFormat="1" hidden="1" outlineLevel="1" x14ac:dyDescent="0.25">
      <c r="A97" s="46"/>
      <c r="B97" s="11" t="str">
        <f>CONCATENATE("          ", "9150", " - ", "MISC. INCOME")</f>
        <v xml:space="preserve">          9150 - MISC. INCOME</v>
      </c>
      <c r="C97" s="11"/>
      <c r="D97" s="2">
        <f>--13269</f>
        <v>13269</v>
      </c>
      <c r="E97" s="2"/>
      <c r="F97" s="21">
        <f t="shared" si="60"/>
        <v>0.13627882098330266</v>
      </c>
      <c r="G97" s="2"/>
      <c r="H97" s="2">
        <v>12250</v>
      </c>
      <c r="I97" s="2"/>
      <c r="J97" s="21">
        <f t="shared" si="61"/>
        <v>0.11311172668513389</v>
      </c>
      <c r="K97" s="2"/>
      <c r="L97" s="2">
        <f t="shared" si="62"/>
        <v>1019</v>
      </c>
      <c r="M97" s="2"/>
      <c r="N97" s="21">
        <f t="shared" si="63"/>
        <v>8.3183673469387751E-2</v>
      </c>
      <c r="O97" s="11"/>
      <c r="P97" s="2">
        <f>--26538</f>
        <v>26538</v>
      </c>
      <c r="Q97" s="2"/>
      <c r="R97" s="21">
        <f t="shared" si="64"/>
        <v>0.24970912904320036</v>
      </c>
      <c r="S97" s="2"/>
      <c r="T97" s="2">
        <v>12250</v>
      </c>
      <c r="U97" s="2"/>
      <c r="V97" s="21">
        <f t="shared" si="65"/>
        <v>0.1023391812865497</v>
      </c>
      <c r="W97" s="2"/>
      <c r="X97" s="2">
        <f t="shared" si="66"/>
        <v>14288</v>
      </c>
      <c r="Y97" s="2"/>
      <c r="Z97" s="21">
        <f t="shared" si="67"/>
        <v>1.1663673469387754</v>
      </c>
    </row>
    <row r="98" spans="1:26" s="24" customFormat="1" hidden="1" outlineLevel="1" x14ac:dyDescent="0.25">
      <c r="A98" s="46"/>
      <c r="B98" s="11" t="str">
        <f>CONCATENATE("          ", "9151", " - ", "MISC. INCOME")</f>
        <v xml:space="preserve">          9151 - MISC. INCOME</v>
      </c>
      <c r="C98" s="11"/>
      <c r="D98" s="2">
        <f>0</f>
        <v>0</v>
      </c>
      <c r="E98" s="2"/>
      <c r="F98" s="21">
        <f t="shared" si="60"/>
        <v>0</v>
      </c>
      <c r="G98" s="2"/>
      <c r="H98" s="2"/>
      <c r="I98" s="2"/>
      <c r="J98" s="21">
        <f t="shared" si="61"/>
        <v>0</v>
      </c>
      <c r="K98" s="2"/>
      <c r="L98" s="2">
        <f t="shared" si="62"/>
        <v>0</v>
      </c>
      <c r="M98" s="2"/>
      <c r="N98" s="21">
        <f t="shared" si="63"/>
        <v>0</v>
      </c>
      <c r="O98" s="11"/>
      <c r="P98" s="2">
        <f>0</f>
        <v>0</v>
      </c>
      <c r="Q98" s="2"/>
      <c r="R98" s="21">
        <f t="shared" si="64"/>
        <v>0</v>
      </c>
      <c r="S98" s="2"/>
      <c r="T98" s="2">
        <v>12250</v>
      </c>
      <c r="U98" s="2"/>
      <c r="V98" s="21">
        <f t="shared" si="65"/>
        <v>0.1023391812865497</v>
      </c>
      <c r="W98" s="2"/>
      <c r="X98" s="2">
        <f t="shared" si="66"/>
        <v>-12250</v>
      </c>
      <c r="Y98" s="2"/>
      <c r="Z98" s="21">
        <f t="shared" si="67"/>
        <v>-1</v>
      </c>
    </row>
    <row r="99" spans="1:26" s="24" customFormat="1" hidden="1" outlineLevel="1" x14ac:dyDescent="0.25">
      <c r="A99" s="46"/>
      <c r="B99" s="11" t="str">
        <f>CONCATENATE("          ", "9160", " - ", "MISC. INCOME")</f>
        <v xml:space="preserve">          9160 - MISC. INCOME</v>
      </c>
      <c r="C99" s="11"/>
      <c r="D99" s="2">
        <f>--21170</f>
        <v>21170</v>
      </c>
      <c r="E99" s="2"/>
      <c r="F99" s="21">
        <f t="shared" si="60"/>
        <v>0.21742577739215593</v>
      </c>
      <c r="G99" s="2"/>
      <c r="H99" s="2">
        <v>14000</v>
      </c>
      <c r="I99" s="2"/>
      <c r="J99" s="21">
        <f t="shared" si="61"/>
        <v>0.12927054478301014</v>
      </c>
      <c r="K99" s="2"/>
      <c r="L99" s="2">
        <f t="shared" si="62"/>
        <v>7170</v>
      </c>
      <c r="M99" s="2"/>
      <c r="N99" s="21">
        <f t="shared" si="63"/>
        <v>0.51214285714285712</v>
      </c>
      <c r="O99" s="11"/>
      <c r="P99" s="2">
        <f>--21170</f>
        <v>21170</v>
      </c>
      <c r="Q99" s="2"/>
      <c r="R99" s="21">
        <f t="shared" si="64"/>
        <v>0.19919896984869062</v>
      </c>
      <c r="S99" s="2"/>
      <c r="T99" s="2">
        <v>27500</v>
      </c>
      <c r="U99" s="2"/>
      <c r="V99" s="21">
        <f t="shared" si="65"/>
        <v>0.22974101921470341</v>
      </c>
      <c r="W99" s="2"/>
      <c r="X99" s="2">
        <f t="shared" si="66"/>
        <v>-6330</v>
      </c>
      <c r="Y99" s="2"/>
      <c r="Z99" s="21">
        <f t="shared" si="67"/>
        <v>-0.23018181818181818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9" t="s">
        <v>3</v>
      </c>
      <c r="C101" s="29"/>
      <c r="D101" s="22">
        <f>+D37-D39+D93</f>
        <v>105707.90000000002</v>
      </c>
      <c r="E101" s="14"/>
      <c r="F101" s="20">
        <f>IF(D$12=0,0,D101/D$12)</f>
        <v>1.0856694536604763</v>
      </c>
      <c r="G101" s="14"/>
      <c r="H101" s="22">
        <f>+H37-H39+H93</f>
        <v>82673.600996239649</v>
      </c>
      <c r="I101" s="14"/>
      <c r="J101" s="20">
        <f>IF(H$12=0,0,H101/H$12)</f>
        <v>0.76337581713979363</v>
      </c>
      <c r="K101" s="15"/>
      <c r="L101" s="22">
        <f>+D101-H101</f>
        <v>23034.299003760374</v>
      </c>
      <c r="M101" s="15"/>
      <c r="N101" s="20">
        <f>IF(H101=0,0,L101/H101)</f>
        <v>0.27861734249132408</v>
      </c>
      <c r="O101" s="28"/>
      <c r="P101" s="22">
        <f>+P37-P39+P93</f>
        <v>92427.88</v>
      </c>
      <c r="Q101" s="14"/>
      <c r="R101" s="20">
        <f>IF(P$12=0,0,P101/P$12)</f>
        <v>0.86969950313171451</v>
      </c>
      <c r="S101" s="14"/>
      <c r="T101" s="22">
        <f>+T37-T39+T93</f>
        <v>66649.948358276102</v>
      </c>
      <c r="U101" s="14"/>
      <c r="V101" s="20">
        <f>IF(T$12=0,0,T101/T$12)</f>
        <v>0.55680825696137093</v>
      </c>
      <c r="W101" s="15"/>
      <c r="X101" s="22">
        <f>+P101-T101</f>
        <v>25777.931641723902</v>
      </c>
      <c r="Y101" s="15"/>
      <c r="Z101" s="20">
        <f>IF(T101=0,0,X101/T101)</f>
        <v>0.38676596571620581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2"/>
      <c r="B103" s="10" t="s">
        <v>14</v>
      </c>
      <c r="C103" s="10"/>
      <c r="D103" s="4">
        <v>11398.17</v>
      </c>
      <c r="E103" s="4"/>
      <c r="F103" s="12">
        <f>IF(D$12=0,0,D103/D$12)</f>
        <v>0.11706452400084789</v>
      </c>
      <c r="G103" s="4"/>
      <c r="H103" s="4">
        <v>16661</v>
      </c>
      <c r="I103" s="4"/>
      <c r="J103" s="12">
        <f>IF(H$12=0,0,H103/H$12)</f>
        <v>0.15384118190212373</v>
      </c>
      <c r="K103" s="4"/>
      <c r="L103" s="4">
        <f>+D103-H103</f>
        <v>-5262.83</v>
      </c>
      <c r="M103" s="4"/>
      <c r="N103" s="12">
        <f>IF(H103=0,0,L103/H103)</f>
        <v>-0.31587719824740412</v>
      </c>
      <c r="O103" s="10"/>
      <c r="P103" s="4">
        <v>13250.64</v>
      </c>
      <c r="Q103" s="4"/>
      <c r="R103" s="12">
        <f>IF(P$12=0,0,P103/P$12)</f>
        <v>0.12468180622748483</v>
      </c>
      <c r="S103" s="4"/>
      <c r="T103" s="4">
        <v>19439</v>
      </c>
      <c r="U103" s="4"/>
      <c r="V103" s="12">
        <f>IF(T$12=0,0,T103/T$12)</f>
        <v>0.16239766081871346</v>
      </c>
      <c r="W103" s="4"/>
      <c r="X103" s="4">
        <f>+P103-T103</f>
        <v>-6188.3600000000006</v>
      </c>
      <c r="Y103" s="4"/>
      <c r="Z103" s="12">
        <f>IF(T103=0,0,X103/T103)</f>
        <v>-0.31834765162817019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4</v>
      </c>
      <c r="C105" s="29"/>
      <c r="D105" s="31">
        <f>+D101-D103</f>
        <v>94309.730000000025</v>
      </c>
      <c r="E105" s="14"/>
      <c r="F105" s="32">
        <f>IF(D$12=0,0,D105/D$12)</f>
        <v>0.96860492965962852</v>
      </c>
      <c r="G105" s="14"/>
      <c r="H105" s="31">
        <f>+H101-H103</f>
        <v>66012.600996239649</v>
      </c>
      <c r="I105" s="14"/>
      <c r="J105" s="32">
        <f>IF(H$12=0,0,H105/H$12)</f>
        <v>0.60953463523766993</v>
      </c>
      <c r="K105" s="15"/>
      <c r="L105" s="31">
        <f>D105-H105</f>
        <v>28297.129003760376</v>
      </c>
      <c r="M105" s="15"/>
      <c r="N105" s="32">
        <f>IF(H105=0,0,L105/H105)</f>
        <v>0.4286625367991832</v>
      </c>
      <c r="O105" s="28"/>
      <c r="P105" s="31">
        <f>+P101-P103</f>
        <v>79177.240000000005</v>
      </c>
      <c r="Q105" s="14"/>
      <c r="R105" s="32">
        <f>IF(P$12=0,0,P105/P$12)</f>
        <v>0.7450176969042297</v>
      </c>
      <c r="S105" s="14"/>
      <c r="T105" s="31">
        <f>+T101-T103</f>
        <v>47210.948358276102</v>
      </c>
      <c r="U105" s="14"/>
      <c r="V105" s="32">
        <f>IF(T$12=0,0,T105/T$12)</f>
        <v>0.3944105961426575</v>
      </c>
      <c r="W105" s="15"/>
      <c r="X105" s="31">
        <f>P105-T105</f>
        <v>31966.291641723903</v>
      </c>
      <c r="Y105" s="15"/>
      <c r="Z105" s="32">
        <f>IF(T105=0,0,X105/T105)</f>
        <v>0.67709488483766489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9" t="s">
        <v>5</v>
      </c>
      <c r="C108" s="29"/>
      <c r="D108" s="33">
        <f>SUM(D105:D107)</f>
        <v>94309.730000000025</v>
      </c>
      <c r="E108" s="14"/>
      <c r="F108" s="35">
        <f>IF(D$12=0,0,D108/D$12)</f>
        <v>0.96860492965962852</v>
      </c>
      <c r="G108" s="14"/>
      <c r="H108" s="33">
        <f>SUM(H105:H107)</f>
        <v>66012.600996239649</v>
      </c>
      <c r="I108" s="14"/>
      <c r="J108" s="35">
        <f>IF(H$12=0,0,H108/H$12)</f>
        <v>0.60953463523766993</v>
      </c>
      <c r="K108" s="15"/>
      <c r="L108" s="33">
        <f>+D108-H108</f>
        <v>28297.129003760376</v>
      </c>
      <c r="M108" s="15"/>
      <c r="N108" s="35">
        <f>IF(H108=0,0,L108/H108)</f>
        <v>0.4286625367991832</v>
      </c>
      <c r="O108" s="28"/>
      <c r="P108" s="33">
        <f>SUM(P105:P107)</f>
        <v>79177.240000000005</v>
      </c>
      <c r="Q108" s="14"/>
      <c r="R108" s="35">
        <f>IF(P$12=0,0,P108/P$12)</f>
        <v>0.7450176969042297</v>
      </c>
      <c r="S108" s="14"/>
      <c r="T108" s="33">
        <f>SUM(T105:T107)</f>
        <v>47210.948358276102</v>
      </c>
      <c r="U108" s="14"/>
      <c r="V108" s="35">
        <f>IF(T$12=0,0,T108/T$12)</f>
        <v>0.3944105961426575</v>
      </c>
      <c r="W108" s="15"/>
      <c r="X108" s="33">
        <f>+P108-T108</f>
        <v>31966.291641723903</v>
      </c>
      <c r="Y108" s="15"/>
      <c r="Z108" s="35">
        <f>IF(T108=0,0,X108/T108)</f>
        <v>0.67709488483766489</v>
      </c>
    </row>
    <row r="109" spans="1:26" ht="15.75" thickTop="1" x14ac:dyDescent="0.25">
      <c r="A109" s="9"/>
      <c r="C109" s="9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A110" s="9"/>
      <c r="B110" s="61">
        <v>43732.70554560185</v>
      </c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62" t="s">
        <v>314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58"/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4:24" x14ac:dyDescent="0.25"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","316", " - ", "Campus Copy Center")</f>
        <v>Department 316 - Campus Copy Center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95870.160000000018</v>
      </c>
      <c r="E12" s="4"/>
      <c r="F12" s="12"/>
      <c r="G12" s="4"/>
      <c r="H12" s="4">
        <f>SUM(OSRRefH13x_0)</f>
        <v>108300</v>
      </c>
      <c r="I12" s="4"/>
      <c r="J12" s="12"/>
      <c r="K12" s="4"/>
      <c r="L12" s="4">
        <f t="shared" ref="L12:L25" si="0">+D12-H12</f>
        <v>-12429.839999999982</v>
      </c>
      <c r="M12" s="4"/>
      <c r="N12" s="12">
        <f t="shared" ref="N12:N25" si="1">IF(H12=0,0,L12/H12)</f>
        <v>-0.1147722991689749</v>
      </c>
      <c r="O12" s="10"/>
      <c r="P12" s="4">
        <f>SUM(OSRRefP13x_0)</f>
        <v>102624.93000000001</v>
      </c>
      <c r="Q12" s="4"/>
      <c r="R12" s="12"/>
      <c r="S12" s="4"/>
      <c r="T12" s="4">
        <f>SUM(OSRRefT13x_0)</f>
        <v>119700</v>
      </c>
      <c r="U12" s="4"/>
      <c r="V12" s="12"/>
      <c r="W12" s="4"/>
      <c r="X12" s="4">
        <f t="shared" ref="X12:X25" si="2">+P12-T12</f>
        <v>-17075.069999999992</v>
      </c>
      <c r="Y12" s="4"/>
      <c r="Z12" s="12">
        <f t="shared" ref="Z12:Z25" si="3">IF(T12=0,0,X12/T12)</f>
        <v>-0.14264887218045105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85025</v>
      </c>
      <c r="I13" s="2"/>
      <c r="J13" s="21"/>
      <c r="K13" s="2"/>
      <c r="L13" s="2">
        <f t="shared" si="0"/>
        <v>-85025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92625</v>
      </c>
      <c r="U13" s="2"/>
      <c r="V13" s="21"/>
      <c r="W13" s="2"/>
      <c r="X13" s="2">
        <f t="shared" si="2"/>
        <v>-92625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"4041", " - ", "TAXABLE SALES-LOGO GIFTS")</f>
        <v xml:space="preserve">          4041 - TAXABLE SALES-LOGO GIFTS</v>
      </c>
      <c r="C14" s="11"/>
      <c r="D14" s="2">
        <f>--73904.1</f>
        <v>73904.100000000006</v>
      </c>
      <c r="E14" s="2"/>
      <c r="F14" s="21"/>
      <c r="G14" s="2"/>
      <c r="H14" s="2"/>
      <c r="I14" s="2"/>
      <c r="J14" s="21"/>
      <c r="K14" s="2"/>
      <c r="L14" s="2">
        <f t="shared" si="0"/>
        <v>73904.100000000006</v>
      </c>
      <c r="M14" s="2"/>
      <c r="N14" s="21">
        <f t="shared" si="1"/>
        <v>0</v>
      </c>
      <c r="O14" s="11"/>
      <c r="P14" s="2">
        <f>--74367.8</f>
        <v>74367.8</v>
      </c>
      <c r="Q14" s="2"/>
      <c r="R14" s="21"/>
      <c r="S14" s="2"/>
      <c r="T14" s="2"/>
      <c r="U14" s="2"/>
      <c r="V14" s="21"/>
      <c r="W14" s="2"/>
      <c r="X14" s="2">
        <f t="shared" si="2"/>
        <v>74367.8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--8017.07</f>
        <v>8017.07</v>
      </c>
      <c r="E15" s="2"/>
      <c r="F15" s="21"/>
      <c r="G15" s="2"/>
      <c r="H15" s="2"/>
      <c r="I15" s="2"/>
      <c r="J15" s="21"/>
      <c r="K15" s="2"/>
      <c r="L15" s="2">
        <f t="shared" si="0"/>
        <v>8017.07</v>
      </c>
      <c r="M15" s="2"/>
      <c r="N15" s="21">
        <f t="shared" si="1"/>
        <v>0</v>
      </c>
      <c r="O15" s="11"/>
      <c r="P15" s="2">
        <f>--12076.99</f>
        <v>12076.99</v>
      </c>
      <c r="Q15" s="2"/>
      <c r="R15" s="21"/>
      <c r="S15" s="2"/>
      <c r="T15" s="2"/>
      <c r="U15" s="2"/>
      <c r="V15" s="21"/>
      <c r="W15" s="2"/>
      <c r="X15" s="2">
        <f t="shared" si="2"/>
        <v>12076.99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"4043", " - ", "TAXABLE SALES-CARDS")</f>
        <v xml:space="preserve">          4043 - TAXABLE SALES-CARDS</v>
      </c>
      <c r="C16" s="11"/>
      <c r="D16" s="2">
        <f>--61.71</f>
        <v>61.71</v>
      </c>
      <c r="E16" s="2"/>
      <c r="F16" s="21"/>
      <c r="G16" s="2"/>
      <c r="H16" s="2"/>
      <c r="I16" s="2"/>
      <c r="J16" s="21"/>
      <c r="K16" s="2"/>
      <c r="L16" s="2">
        <f t="shared" si="0"/>
        <v>61.71</v>
      </c>
      <c r="M16" s="2"/>
      <c r="N16" s="21">
        <f t="shared" si="1"/>
        <v>0</v>
      </c>
      <c r="O16" s="11"/>
      <c r="P16" s="2">
        <f>--77.26</f>
        <v>77.260000000000005</v>
      </c>
      <c r="Q16" s="2"/>
      <c r="R16" s="21"/>
      <c r="S16" s="2"/>
      <c r="T16" s="2"/>
      <c r="U16" s="2"/>
      <c r="V16" s="21"/>
      <c r="W16" s="2"/>
      <c r="X16" s="2">
        <f t="shared" si="2"/>
        <v>77.260000000000005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"4047", " - ", "TAXABLE SALES-MISC")</f>
        <v xml:space="preserve">          4047 - TAXABLE SALES-MISC</v>
      </c>
      <c r="C17" s="11"/>
      <c r="D17" s="2">
        <f>--442.38</f>
        <v>442.38</v>
      </c>
      <c r="E17" s="2"/>
      <c r="F17" s="21"/>
      <c r="G17" s="2"/>
      <c r="H17" s="2"/>
      <c r="I17" s="2"/>
      <c r="J17" s="21"/>
      <c r="K17" s="2"/>
      <c r="L17" s="2">
        <f t="shared" si="0"/>
        <v>442.38</v>
      </c>
      <c r="M17" s="2"/>
      <c r="N17" s="21">
        <f t="shared" si="1"/>
        <v>0</v>
      </c>
      <c r="O17" s="11"/>
      <c r="P17" s="2">
        <f>--482.38</f>
        <v>482.38</v>
      </c>
      <c r="Q17" s="2"/>
      <c r="R17" s="21"/>
      <c r="S17" s="2"/>
      <c r="T17" s="2"/>
      <c r="U17" s="2"/>
      <c r="V17" s="21"/>
      <c r="W17" s="2"/>
      <c r="X17" s="2">
        <f t="shared" si="2"/>
        <v>482.38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"4100", " - ", "NON-TAXABLE SALES")</f>
        <v xml:space="preserve">          4100 - NON-TAXABLE SALES</v>
      </c>
      <c r="C18" s="11"/>
      <c r="D18" s="2">
        <f>0</f>
        <v>0</v>
      </c>
      <c r="E18" s="2"/>
      <c r="F18" s="21"/>
      <c r="G18" s="2"/>
      <c r="H18" s="2">
        <v>23275</v>
      </c>
      <c r="I18" s="2"/>
      <c r="J18" s="21"/>
      <c r="K18" s="2"/>
      <c r="L18" s="2">
        <f t="shared" si="0"/>
        <v>-23275</v>
      </c>
      <c r="M18" s="2"/>
      <c r="N18" s="21">
        <f t="shared" si="1"/>
        <v>-1</v>
      </c>
      <c r="O18" s="11"/>
      <c r="P18" s="2">
        <f>0</f>
        <v>0</v>
      </c>
      <c r="Q18" s="2"/>
      <c r="R18" s="21"/>
      <c r="S18" s="2"/>
      <c r="T18" s="2">
        <v>27075</v>
      </c>
      <c r="U18" s="2"/>
      <c r="V18" s="21"/>
      <c r="W18" s="2"/>
      <c r="X18" s="2">
        <f t="shared" si="2"/>
        <v>-27075</v>
      </c>
      <c r="Y18" s="2"/>
      <c r="Z18" s="21">
        <f t="shared" si="3"/>
        <v>-1</v>
      </c>
    </row>
    <row r="19" spans="1:26" s="24" customFormat="1" hidden="1" outlineLevel="1" x14ac:dyDescent="0.25">
      <c r="A19" s="46"/>
      <c r="B19" s="11" t="str">
        <f>CONCATENATE("          ", "4141", " - ", "NON-TAXABLE SALES-LOGO GIFTS")</f>
        <v xml:space="preserve">          4141 - NON-TAXABLE SALES-LOGO GIFTS</v>
      </c>
      <c r="C19" s="11"/>
      <c r="D19" s="2">
        <f>--169.45</f>
        <v>169.45</v>
      </c>
      <c r="E19" s="2"/>
      <c r="F19" s="21"/>
      <c r="G19" s="2"/>
      <c r="H19" s="2"/>
      <c r="I19" s="2"/>
      <c r="J19" s="21"/>
      <c r="K19" s="2"/>
      <c r="L19" s="2">
        <f t="shared" si="0"/>
        <v>169.45</v>
      </c>
      <c r="M19" s="2"/>
      <c r="N19" s="21">
        <f t="shared" si="1"/>
        <v>0</v>
      </c>
      <c r="O19" s="11"/>
      <c r="P19" s="2">
        <f>--177.4</f>
        <v>177.4</v>
      </c>
      <c r="Q19" s="2"/>
      <c r="R19" s="21"/>
      <c r="S19" s="2"/>
      <c r="T19" s="2"/>
      <c r="U19" s="2"/>
      <c r="V19" s="21"/>
      <c r="W19" s="2"/>
      <c r="X19" s="2">
        <f t="shared" si="2"/>
        <v>177.4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"4142", " - ", "NON-TAXABLE SALES-EVERYDAY GIF")</f>
        <v xml:space="preserve">          4142 - NON-TAXABLE SALES-EVERYDAY GIF</v>
      </c>
      <c r="C20" s="11"/>
      <c r="D20" s="2">
        <f>--401</f>
        <v>401</v>
      </c>
      <c r="E20" s="2"/>
      <c r="F20" s="21"/>
      <c r="G20" s="2"/>
      <c r="H20" s="2"/>
      <c r="I20" s="2"/>
      <c r="J20" s="21"/>
      <c r="K20" s="2"/>
      <c r="L20" s="2">
        <f t="shared" si="0"/>
        <v>401</v>
      </c>
      <c r="M20" s="2"/>
      <c r="N20" s="21">
        <f t="shared" si="1"/>
        <v>0</v>
      </c>
      <c r="O20" s="11"/>
      <c r="P20" s="2">
        <f>--512</f>
        <v>512</v>
      </c>
      <c r="Q20" s="2"/>
      <c r="R20" s="21"/>
      <c r="S20" s="2"/>
      <c r="T20" s="2"/>
      <c r="U20" s="2"/>
      <c r="V20" s="21"/>
      <c r="W20" s="2"/>
      <c r="X20" s="2">
        <f t="shared" si="2"/>
        <v>512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"4146", " - ", "NON-TAXABLE SALES-COIN OP MACH")</f>
        <v xml:space="preserve">          4146 - NON-TAXABLE SALES-COIN OP MACH</v>
      </c>
      <c r="C21" s="11"/>
      <c r="D21" s="2">
        <f>--13281.65</f>
        <v>13281.65</v>
      </c>
      <c r="E21" s="2"/>
      <c r="F21" s="21"/>
      <c r="G21" s="2"/>
      <c r="H21" s="2"/>
      <c r="I21" s="2"/>
      <c r="J21" s="21"/>
      <c r="K21" s="2"/>
      <c r="L21" s="2">
        <f t="shared" si="0"/>
        <v>13281.65</v>
      </c>
      <c r="M21" s="2"/>
      <c r="N21" s="21">
        <f t="shared" si="1"/>
        <v>0</v>
      </c>
      <c r="O21" s="11"/>
      <c r="P21" s="2">
        <f>--15348.75</f>
        <v>15348.75</v>
      </c>
      <c r="Q21" s="2"/>
      <c r="R21" s="21"/>
      <c r="S21" s="2"/>
      <c r="T21" s="2"/>
      <c r="U21" s="2"/>
      <c r="V21" s="21"/>
      <c r="W21" s="2"/>
      <c r="X21" s="2">
        <f t="shared" si="2"/>
        <v>15348.75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"4147", " - ", "NON-TAXABLE SALES-MISC")</f>
        <v xml:space="preserve">          4147 - NON-TAXABLE SALES-MISC</v>
      </c>
      <c r="C22" s="11"/>
      <c r="D22" s="2">
        <f>--53.9</f>
        <v>53.9</v>
      </c>
      <c r="E22" s="2"/>
      <c r="F22" s="21"/>
      <c r="G22" s="2"/>
      <c r="H22" s="2"/>
      <c r="I22" s="2"/>
      <c r="J22" s="21"/>
      <c r="K22" s="2"/>
      <c r="L22" s="2">
        <f t="shared" si="0"/>
        <v>53.9</v>
      </c>
      <c r="M22" s="2"/>
      <c r="N22" s="21">
        <f t="shared" si="1"/>
        <v>0</v>
      </c>
      <c r="O22" s="11"/>
      <c r="P22" s="2">
        <f>--70.4</f>
        <v>70.400000000000006</v>
      </c>
      <c r="Q22" s="2"/>
      <c r="R22" s="21"/>
      <c r="S22" s="2"/>
      <c r="T22" s="2"/>
      <c r="U22" s="2"/>
      <c r="V22" s="21"/>
      <c r="W22" s="2"/>
      <c r="X22" s="2">
        <f t="shared" si="2"/>
        <v>70.400000000000006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>-452.95</f>
        <v>-452.95</v>
      </c>
      <c r="E23" s="2"/>
      <c r="F23" s="21"/>
      <c r="G23" s="2"/>
      <c r="H23" s="2"/>
      <c r="I23" s="2"/>
      <c r="J23" s="21"/>
      <c r="K23" s="2"/>
      <c r="L23" s="2">
        <f t="shared" si="0"/>
        <v>-452.95</v>
      </c>
      <c r="M23" s="2"/>
      <c r="N23" s="21">
        <f t="shared" si="1"/>
        <v>0</v>
      </c>
      <c r="O23" s="11"/>
      <c r="P23" s="2">
        <f>-463.7</f>
        <v>-463.7</v>
      </c>
      <c r="Q23" s="2"/>
      <c r="R23" s="21"/>
      <c r="S23" s="2"/>
      <c r="T23" s="2"/>
      <c r="U23" s="2"/>
      <c r="V23" s="21"/>
      <c r="W23" s="2"/>
      <c r="X23" s="2">
        <f t="shared" si="2"/>
        <v>-463.7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"4242", " - ", "SALES RETURN TAXABLE-EVERYDAY")</f>
        <v xml:space="preserve">          4242 - SALES RETURN TAXABLE-EVERYDAY</v>
      </c>
      <c r="C24" s="11"/>
      <c r="D24" s="2">
        <f>0</f>
        <v>0</v>
      </c>
      <c r="E24" s="2"/>
      <c r="F24" s="21"/>
      <c r="G24" s="2"/>
      <c r="H24" s="2"/>
      <c r="I24" s="2"/>
      <c r="J24" s="21"/>
      <c r="K24" s="2"/>
      <c r="L24" s="2">
        <f t="shared" si="0"/>
        <v>0</v>
      </c>
      <c r="M24" s="2"/>
      <c r="N24" s="21">
        <f t="shared" si="1"/>
        <v>0</v>
      </c>
      <c r="O24" s="11"/>
      <c r="P24" s="2">
        <f>-16.2</f>
        <v>-16.2</v>
      </c>
      <c r="Q24" s="2"/>
      <c r="R24" s="21"/>
      <c r="S24" s="2"/>
      <c r="T24" s="2"/>
      <c r="U24" s="2"/>
      <c r="V24" s="21"/>
      <c r="W24" s="2"/>
      <c r="X24" s="2">
        <f t="shared" si="2"/>
        <v>-16.2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"4346", " - ", "SALES RETURN NON TAXABLE-COIN-")</f>
        <v xml:space="preserve">          4346 - SALES RETURN NON TAXABLE-COIN-</v>
      </c>
      <c r="C25" s="11"/>
      <c r="D25" s="2">
        <f>-8.15</f>
        <v>-8.15</v>
      </c>
      <c r="E25" s="2"/>
      <c r="F25" s="21"/>
      <c r="G25" s="2"/>
      <c r="H25" s="2"/>
      <c r="I25" s="2"/>
      <c r="J25" s="21"/>
      <c r="K25" s="2"/>
      <c r="L25" s="2">
        <f t="shared" si="0"/>
        <v>-8.15</v>
      </c>
      <c r="M25" s="2"/>
      <c r="N25" s="21">
        <f t="shared" si="1"/>
        <v>0</v>
      </c>
      <c r="O25" s="11"/>
      <c r="P25" s="2">
        <f>-8.15</f>
        <v>-8.15</v>
      </c>
      <c r="Q25" s="2"/>
      <c r="R25" s="21"/>
      <c r="S25" s="2"/>
      <c r="T25" s="2"/>
      <c r="U25" s="2"/>
      <c r="V25" s="21"/>
      <c r="W25" s="2"/>
      <c r="X25" s="2">
        <f t="shared" si="2"/>
        <v>-8.15</v>
      </c>
      <c r="Y25" s="2"/>
      <c r="Z25" s="21">
        <f t="shared" si="3"/>
        <v>0</v>
      </c>
    </row>
    <row r="26" spans="1:26" x14ac:dyDescent="0.25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8" t="s">
        <v>8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6</v>
      </c>
      <c r="C29" s="29"/>
      <c r="D29" s="22">
        <f>D12-D27</f>
        <v>95870.160000000018</v>
      </c>
      <c r="E29" s="14"/>
      <c r="F29" s="20">
        <f>IF(D$12=0,0,D29/D$12)</f>
        <v>1</v>
      </c>
      <c r="G29" s="14"/>
      <c r="H29" s="22">
        <f>H12-H27</f>
        <v>108300</v>
      </c>
      <c r="I29" s="14"/>
      <c r="J29" s="20">
        <f>IF(H$12=0,0,H29/H$12)</f>
        <v>1</v>
      </c>
      <c r="K29" s="15"/>
      <c r="L29" s="22">
        <f>+D29-H29</f>
        <v>-12429.839999999982</v>
      </c>
      <c r="M29" s="15"/>
      <c r="N29" s="20">
        <f>IF(H29=0,0,L29/H29)</f>
        <v>-0.1147722991689749</v>
      </c>
      <c r="O29" s="28"/>
      <c r="P29" s="22">
        <f>P12-P27</f>
        <v>102624.93000000001</v>
      </c>
      <c r="Q29" s="14"/>
      <c r="R29" s="20">
        <f>IF(P$12=0,0,P29/P$12)</f>
        <v>1</v>
      </c>
      <c r="S29" s="14"/>
      <c r="T29" s="22">
        <f>T12-T27</f>
        <v>119700</v>
      </c>
      <c r="U29" s="14"/>
      <c r="V29" s="20">
        <f>IF(T$12=0,0,T29/T$12)</f>
        <v>1</v>
      </c>
      <c r="W29" s="15"/>
      <c r="X29" s="22">
        <f>+P29-T29</f>
        <v>-17075.069999999992</v>
      </c>
      <c r="Y29" s="15"/>
      <c r="Z29" s="20">
        <f>IF(T29=0,0,X29/T29)</f>
        <v>-0.14264887218045105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9</v>
      </c>
      <c r="C31" s="10"/>
      <c r="D31" s="19">
        <f>SUM(OSRRefD22x_0)</f>
        <v>38398.17</v>
      </c>
      <c r="E31" s="19"/>
      <c r="F31" s="34">
        <f t="shared" ref="F31:F41" si="4">IF(D$12=0,0,D31/D$12)</f>
        <v>0.40052264437651913</v>
      </c>
      <c r="G31" s="19"/>
      <c r="H31" s="19">
        <f>SUM(OSRRefH22x_0)</f>
        <v>50841.792411644958</v>
      </c>
      <c r="I31" s="19"/>
      <c r="J31" s="34">
        <f t="shared" ref="J31:J41" si="5">IF(H$12=0,0,H31/H$12)</f>
        <v>0.46945330019986109</v>
      </c>
      <c r="K31" s="4"/>
      <c r="L31" s="19">
        <f t="shared" ref="L31:L41" si="6">+D31-H31</f>
        <v>-12443.622411644959</v>
      </c>
      <c r="M31" s="4"/>
      <c r="N31" s="34">
        <f t="shared" ref="N31:N41" si="7">IF(H31=0,0,L31/H31)</f>
        <v>-0.2447518433436433</v>
      </c>
      <c r="O31" s="10"/>
      <c r="P31" s="19">
        <f>SUM(OSRRefP22x_0)</f>
        <v>72315.109999999986</v>
      </c>
      <c r="Q31" s="19"/>
      <c r="R31" s="34">
        <f t="shared" ref="R31:R41" si="8">IF(P$12=0,0,P31/P$12)</f>
        <v>0.70465441486781022</v>
      </c>
      <c r="S31" s="19"/>
      <c r="T31" s="19">
        <f>SUM(OSRRefT22x_0)</f>
        <v>100599.68680946427</v>
      </c>
      <c r="U31" s="19"/>
      <c r="V31" s="34">
        <f t="shared" ref="V31:V41" si="9">IF(T$12=0,0,T31/T$12)</f>
        <v>0.84043180291950104</v>
      </c>
      <c r="W31" s="4"/>
      <c r="X31" s="19">
        <f t="shared" ref="X31:X41" si="10">+P31-T31</f>
        <v>-28284.576809464284</v>
      </c>
      <c r="Y31" s="4"/>
      <c r="Z31" s="34">
        <f t="shared" ref="Z31:Z41" si="11">IF(T31=0,0,X31/T31)</f>
        <v>-0.28115969051708134</v>
      </c>
    </row>
    <row r="32" spans="1:26" s="26" customFormat="1" outlineLevel="1" collapsed="1" x14ac:dyDescent="0.25">
      <c r="A32" s="25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6811.57</v>
      </c>
      <c r="E32" s="1"/>
      <c r="F32" s="5">
        <f t="shared" si="4"/>
        <v>7.1049949222990752E-2</v>
      </c>
      <c r="G32" s="1"/>
      <c r="H32" s="1">
        <f>SUM(OSRRefH22_0x_0)</f>
        <v>5458.0515539865009</v>
      </c>
      <c r="I32" s="1"/>
      <c r="J32" s="5">
        <f t="shared" si="5"/>
        <v>5.039752127411358E-2</v>
      </c>
      <c r="K32" s="1"/>
      <c r="L32" s="1">
        <f t="shared" si="6"/>
        <v>1353.5184460134988</v>
      </c>
      <c r="M32" s="1"/>
      <c r="N32" s="5">
        <f t="shared" si="7"/>
        <v>0.24798564700710893</v>
      </c>
      <c r="O32" s="13"/>
      <c r="P32" s="1">
        <f>SUM(OSRRefP22_0x_0)</f>
        <v>14306.35</v>
      </c>
      <c r="Q32" s="1"/>
      <c r="R32" s="5">
        <f t="shared" si="8"/>
        <v>0.13940423637804186</v>
      </c>
      <c r="S32" s="1"/>
      <c r="T32" s="1">
        <f>SUM(OSRRefT22_0x_0)</f>
        <v>11918.260011682743</v>
      </c>
      <c r="U32" s="1"/>
      <c r="V32" s="5">
        <f t="shared" si="9"/>
        <v>9.956775281272133E-2</v>
      </c>
      <c r="W32" s="1"/>
      <c r="X32" s="1">
        <f t="shared" si="10"/>
        <v>2388.0899883172569</v>
      </c>
      <c r="Y32" s="1"/>
      <c r="Z32" s="5">
        <f t="shared" si="11"/>
        <v>0.20037236861558297</v>
      </c>
    </row>
    <row r="33" spans="1:26" s="24" customFormat="1" hidden="1" outlineLevel="2" x14ac:dyDescent="0.25">
      <c r="A33" s="27"/>
      <c r="B33" s="11" t="str">
        <f>CONCATENATE("          ", "6111", " - ", "F.I.C.A.")</f>
        <v xml:space="preserve">          6111 - F.I.C.A.</v>
      </c>
      <c r="C33" s="11"/>
      <c r="D33" s="6">
        <v>1279.9100000000001</v>
      </c>
      <c r="E33" s="2"/>
      <c r="F33" s="7">
        <f t="shared" si="4"/>
        <v>1.3350452320096262E-2</v>
      </c>
      <c r="G33" s="2"/>
      <c r="H33" s="6">
        <v>1040.3454644538499</v>
      </c>
      <c r="I33" s="2"/>
      <c r="J33" s="7">
        <f t="shared" si="5"/>
        <v>9.6061446394630646E-3</v>
      </c>
      <c r="K33" s="2"/>
      <c r="L33" s="6">
        <f t="shared" si="6"/>
        <v>239.56453554615018</v>
      </c>
      <c r="M33" s="2"/>
      <c r="N33" s="7">
        <f t="shared" si="7"/>
        <v>0.2302740231312628</v>
      </c>
      <c r="O33" s="11"/>
      <c r="P33" s="6">
        <v>2333.27</v>
      </c>
      <c r="Q33" s="2"/>
      <c r="R33" s="7">
        <f t="shared" si="8"/>
        <v>2.2735898577470406E-2</v>
      </c>
      <c r="S33" s="2"/>
      <c r="T33" s="6">
        <v>2586.7168858968498</v>
      </c>
      <c r="U33" s="2"/>
      <c r="V33" s="7">
        <f t="shared" si="9"/>
        <v>2.1609999046757308E-2</v>
      </c>
      <c r="W33" s="2"/>
      <c r="X33" s="6">
        <f t="shared" si="10"/>
        <v>-253.44688589684984</v>
      </c>
      <c r="Y33" s="2"/>
      <c r="Z33" s="7">
        <f t="shared" si="11"/>
        <v>-9.7980141266591048E-2</v>
      </c>
    </row>
    <row r="34" spans="1:26" s="24" customFormat="1" hidden="1" outlineLevel="2" x14ac:dyDescent="0.25">
      <c r="A34" s="27"/>
      <c r="B34" s="11" t="str">
        <f>CONCATENATE("          ", "6112", " - ", "COMPENSATION INSURANCE")</f>
        <v xml:space="preserve">          6112 - COMPENSATION INSURANCE</v>
      </c>
      <c r="C34" s="11"/>
      <c r="D34" s="6">
        <v>205.75</v>
      </c>
      <c r="E34" s="2"/>
      <c r="F34" s="7">
        <f t="shared" si="4"/>
        <v>2.1461318099396096E-3</v>
      </c>
      <c r="G34" s="2"/>
      <c r="H34" s="6">
        <v>201.09516692307699</v>
      </c>
      <c r="I34" s="2"/>
      <c r="J34" s="7">
        <f t="shared" si="5"/>
        <v>1.8568344129554662E-3</v>
      </c>
      <c r="K34" s="2"/>
      <c r="L34" s="6">
        <f t="shared" si="6"/>
        <v>4.654833076923012</v>
      </c>
      <c r="M34" s="2"/>
      <c r="N34" s="7">
        <f t="shared" si="7"/>
        <v>2.3147413973920023E-2</v>
      </c>
      <c r="O34" s="11"/>
      <c r="P34" s="6">
        <v>365.98</v>
      </c>
      <c r="Q34" s="2"/>
      <c r="R34" s="7">
        <f t="shared" si="8"/>
        <v>3.5661900086070702E-3</v>
      </c>
      <c r="S34" s="2"/>
      <c r="T34" s="6">
        <v>452.46412557692298</v>
      </c>
      <c r="U34" s="2"/>
      <c r="V34" s="7">
        <f t="shared" si="9"/>
        <v>3.7799843406593398E-3</v>
      </c>
      <c r="W34" s="2"/>
      <c r="X34" s="6">
        <f t="shared" si="10"/>
        <v>-86.484125576922963</v>
      </c>
      <c r="Y34" s="2"/>
      <c r="Z34" s="7">
        <f t="shared" si="11"/>
        <v>-0.19114029309318112</v>
      </c>
    </row>
    <row r="35" spans="1:26" s="24" customFormat="1" hidden="1" outlineLevel="2" x14ac:dyDescent="0.25">
      <c r="A35" s="27"/>
      <c r="B35" s="11" t="str">
        <f>CONCATENATE("          ", "6113", " - ", "GROUP INSURANCE")</f>
        <v xml:space="preserve">          6113 - GROUP INSURANCE</v>
      </c>
      <c r="C35" s="11"/>
      <c r="D35" s="6">
        <v>2589.16</v>
      </c>
      <c r="E35" s="2"/>
      <c r="F35" s="7">
        <f t="shared" si="4"/>
        <v>2.7006943557828622E-2</v>
      </c>
      <c r="G35" s="2"/>
      <c r="H35" s="6">
        <v>2044</v>
      </c>
      <c r="I35" s="2"/>
      <c r="J35" s="7">
        <f t="shared" si="5"/>
        <v>1.8873499538319481E-2</v>
      </c>
      <c r="K35" s="2"/>
      <c r="L35" s="6">
        <f t="shared" si="6"/>
        <v>545.15999999999985</v>
      </c>
      <c r="M35" s="2"/>
      <c r="N35" s="7">
        <f t="shared" si="7"/>
        <v>0.2667123287671232</v>
      </c>
      <c r="O35" s="11"/>
      <c r="P35" s="6">
        <v>5178.32</v>
      </c>
      <c r="Q35" s="2"/>
      <c r="R35" s="7">
        <f t="shared" si="8"/>
        <v>5.0458694588147335E-2</v>
      </c>
      <c r="S35" s="2"/>
      <c r="T35" s="6">
        <v>4088</v>
      </c>
      <c r="U35" s="2"/>
      <c r="V35" s="7">
        <f t="shared" si="9"/>
        <v>3.4152046783625732E-2</v>
      </c>
      <c r="W35" s="2"/>
      <c r="X35" s="6">
        <f t="shared" si="10"/>
        <v>1090.3199999999997</v>
      </c>
      <c r="Y35" s="2"/>
      <c r="Z35" s="7">
        <f t="shared" si="11"/>
        <v>0.2667123287671232</v>
      </c>
    </row>
    <row r="36" spans="1:26" s="24" customFormat="1" hidden="1" outlineLevel="2" x14ac:dyDescent="0.25">
      <c r="A36" s="27"/>
      <c r="B36" s="11" t="str">
        <f>CONCATENATE("          ", "6114", " - ", "STATE UNEMPLOYMENT INSURANCE")</f>
        <v xml:space="preserve">          6114 - STATE UNEMPLOYMENT INSURANCE</v>
      </c>
      <c r="C36" s="11"/>
      <c r="D36" s="6">
        <v>42.51</v>
      </c>
      <c r="E36" s="2"/>
      <c r="F36" s="7">
        <f t="shared" si="4"/>
        <v>4.4341221502081557E-4</v>
      </c>
      <c r="G36" s="2"/>
      <c r="H36" s="6">
        <v>45.709189109912003</v>
      </c>
      <c r="I36" s="2"/>
      <c r="J36" s="7">
        <f t="shared" si="5"/>
        <v>4.2206084127342569E-4</v>
      </c>
      <c r="K36" s="2"/>
      <c r="L36" s="6">
        <f t="shared" si="6"/>
        <v>-3.1991891099120053</v>
      </c>
      <c r="M36" s="2"/>
      <c r="N36" s="7">
        <f t="shared" si="7"/>
        <v>-6.9990064847119851E-2</v>
      </c>
      <c r="O36" s="11"/>
      <c r="P36" s="6">
        <v>78.790000000000006</v>
      </c>
      <c r="Q36" s="2"/>
      <c r="R36" s="7">
        <f t="shared" si="8"/>
        <v>7.6774717410282281E-4</v>
      </c>
      <c r="S36" s="2"/>
      <c r="T36" s="6">
        <v>98.245001154232</v>
      </c>
      <c r="U36" s="2"/>
      <c r="V36" s="7">
        <f t="shared" si="9"/>
        <v>8.2076024356083537E-4</v>
      </c>
      <c r="W36" s="2"/>
      <c r="X36" s="6">
        <f t="shared" si="10"/>
        <v>-19.455001154231994</v>
      </c>
      <c r="Y36" s="2"/>
      <c r="Z36" s="7">
        <f t="shared" si="11"/>
        <v>-0.19802535422326625</v>
      </c>
    </row>
    <row r="37" spans="1:26" s="24" customFormat="1" hidden="1" outlineLevel="2" x14ac:dyDescent="0.25">
      <c r="A37" s="27"/>
      <c r="B37" s="11" t="str">
        <f>CONCATENATE("          ", "6115", " - ", "P.E.R.S.")</f>
        <v xml:space="preserve">          6115 - P.E.R.S.</v>
      </c>
      <c r="C37" s="11"/>
      <c r="D37" s="6">
        <v>1089.6300000000001</v>
      </c>
      <c r="E37" s="2"/>
      <c r="F37" s="7">
        <f t="shared" si="4"/>
        <v>1.1365684588405818E-2</v>
      </c>
      <c r="G37" s="2"/>
      <c r="H37" s="6">
        <v>910.22022923076906</v>
      </c>
      <c r="I37" s="2"/>
      <c r="J37" s="7">
        <f t="shared" si="5"/>
        <v>8.4046189217984214E-3</v>
      </c>
      <c r="K37" s="2"/>
      <c r="L37" s="6">
        <f t="shared" si="6"/>
        <v>179.40977076923105</v>
      </c>
      <c r="M37" s="2"/>
      <c r="N37" s="7">
        <f t="shared" si="7"/>
        <v>0.19710589262650313</v>
      </c>
      <c r="O37" s="11"/>
      <c r="P37" s="6">
        <v>2179.2600000000002</v>
      </c>
      <c r="Q37" s="2"/>
      <c r="R37" s="7">
        <f t="shared" si="8"/>
        <v>2.1235191098303307E-2</v>
      </c>
      <c r="S37" s="2"/>
      <c r="T37" s="6">
        <v>2047.9955157692289</v>
      </c>
      <c r="U37" s="2"/>
      <c r="V37" s="7">
        <f t="shared" si="9"/>
        <v>1.710940280508963E-2</v>
      </c>
      <c r="W37" s="2"/>
      <c r="X37" s="6">
        <f t="shared" si="10"/>
        <v>131.26448423077136</v>
      </c>
      <c r="Y37" s="2"/>
      <c r="Z37" s="7">
        <f t="shared" si="11"/>
        <v>6.4094126779114705E-2</v>
      </c>
    </row>
    <row r="38" spans="1:26" s="24" customFormat="1" hidden="1" outlineLevel="2" x14ac:dyDescent="0.25">
      <c r="A38" s="27"/>
      <c r="B38" s="11" t="str">
        <f>CONCATENATE("          ", "6116", " - ", "EDUCATIONAL BENEFITS")</f>
        <v xml:space="preserve">          6116 - EDUCATIONAL BENEFITS</v>
      </c>
      <c r="C38" s="11"/>
      <c r="D38" s="6"/>
      <c r="E38" s="2"/>
      <c r="F38" s="7">
        <f t="shared" si="4"/>
        <v>0</v>
      </c>
      <c r="G38" s="2"/>
      <c r="H38" s="6">
        <v>0</v>
      </c>
      <c r="I38" s="2"/>
      <c r="J38" s="7">
        <f t="shared" si="5"/>
        <v>0</v>
      </c>
      <c r="K38" s="2"/>
      <c r="L38" s="6">
        <f t="shared" si="6"/>
        <v>0</v>
      </c>
      <c r="M38" s="2"/>
      <c r="N38" s="7">
        <f t="shared" si="7"/>
        <v>0</v>
      </c>
      <c r="O38" s="11"/>
      <c r="P38" s="6"/>
      <c r="Q38" s="2"/>
      <c r="R38" s="7">
        <f t="shared" si="8"/>
        <v>0</v>
      </c>
      <c r="S38" s="2"/>
      <c r="T38" s="6">
        <v>0</v>
      </c>
      <c r="U38" s="2"/>
      <c r="V38" s="7">
        <f t="shared" si="9"/>
        <v>0</v>
      </c>
      <c r="W38" s="2"/>
      <c r="X38" s="6">
        <f t="shared" si="10"/>
        <v>0</v>
      </c>
      <c r="Y38" s="2"/>
      <c r="Z38" s="7">
        <f t="shared" si="11"/>
        <v>0</v>
      </c>
    </row>
    <row r="39" spans="1:26" s="24" customFormat="1" hidden="1" outlineLevel="2" x14ac:dyDescent="0.25">
      <c r="A39" s="27"/>
      <c r="B39" s="11" t="str">
        <f>CONCATENATE("          ", "6118", " - ", "VACATION")</f>
        <v xml:space="preserve">          6118 - VACATION</v>
      </c>
      <c r="C39" s="11"/>
      <c r="D39" s="6">
        <v>969.46</v>
      </c>
      <c r="E39" s="2"/>
      <c r="F39" s="7">
        <f t="shared" si="4"/>
        <v>1.0112218442109619E-2</v>
      </c>
      <c r="G39" s="2"/>
      <c r="H39" s="6">
        <v>529.19780769230795</v>
      </c>
      <c r="I39" s="2"/>
      <c r="J39" s="7">
        <f t="shared" si="5"/>
        <v>4.8864063498828061E-3</v>
      </c>
      <c r="K39" s="2"/>
      <c r="L39" s="6">
        <f t="shared" si="6"/>
        <v>440.26219230769209</v>
      </c>
      <c r="M39" s="2"/>
      <c r="N39" s="7">
        <f t="shared" si="7"/>
        <v>0.83194258537759136</v>
      </c>
      <c r="O39" s="11"/>
      <c r="P39" s="6">
        <v>2446.42</v>
      </c>
      <c r="Q39" s="2"/>
      <c r="R39" s="7">
        <f t="shared" si="8"/>
        <v>2.3838457185792965E-2</v>
      </c>
      <c r="S39" s="2"/>
      <c r="T39" s="6">
        <v>1190.6950673076929</v>
      </c>
      <c r="U39" s="2"/>
      <c r="V39" s="7">
        <f t="shared" si="9"/>
        <v>9.9473272122614278E-3</v>
      </c>
      <c r="W39" s="2"/>
      <c r="X39" s="6">
        <f t="shared" si="10"/>
        <v>1255.7249326923072</v>
      </c>
      <c r="Y39" s="2"/>
      <c r="Z39" s="7">
        <f t="shared" si="11"/>
        <v>1.054615045589846</v>
      </c>
    </row>
    <row r="40" spans="1:26" s="24" customFormat="1" hidden="1" outlineLevel="2" x14ac:dyDescent="0.25">
      <c r="A40" s="27"/>
      <c r="B40" s="11" t="str">
        <f>CONCATENATE("          ", "6119", " - ", "SICK LEAVE")</f>
        <v xml:space="preserve">          6119 - SICK LEAVE</v>
      </c>
      <c r="C40" s="11"/>
      <c r="D40" s="6">
        <v>491.74</v>
      </c>
      <c r="E40" s="2"/>
      <c r="F40" s="7">
        <f t="shared" si="4"/>
        <v>5.1292289488199449E-3</v>
      </c>
      <c r="G40" s="2"/>
      <c r="H40" s="6">
        <v>387.48369657658503</v>
      </c>
      <c r="I40" s="2"/>
      <c r="J40" s="7">
        <f t="shared" si="5"/>
        <v>3.5778734679278398E-3</v>
      </c>
      <c r="K40" s="2"/>
      <c r="L40" s="6">
        <f t="shared" si="6"/>
        <v>104.25630342341498</v>
      </c>
      <c r="M40" s="2"/>
      <c r="N40" s="7">
        <f t="shared" si="7"/>
        <v>0.2690598452128915</v>
      </c>
      <c r="O40" s="11"/>
      <c r="P40" s="6">
        <v>1338.52</v>
      </c>
      <c r="Q40" s="2"/>
      <c r="R40" s="7">
        <f t="shared" si="8"/>
        <v>1.3042834718620513E-2</v>
      </c>
      <c r="S40" s="2"/>
      <c r="T40" s="6">
        <v>854.14341597781595</v>
      </c>
      <c r="U40" s="2"/>
      <c r="V40" s="7">
        <f t="shared" si="9"/>
        <v>7.1357010524462482E-3</v>
      </c>
      <c r="W40" s="2"/>
      <c r="X40" s="6">
        <f t="shared" si="10"/>
        <v>484.37658402218403</v>
      </c>
      <c r="Y40" s="2"/>
      <c r="Z40" s="7">
        <f t="shared" si="11"/>
        <v>0.56709046157977339</v>
      </c>
    </row>
    <row r="41" spans="1:26" s="24" customFormat="1" hidden="1" outlineLevel="2" x14ac:dyDescent="0.25">
      <c r="A41" s="27"/>
      <c r="B41" s="11" t="str">
        <f>CONCATENATE("          ", "6156", " - ", "EMPLOYEE MEALS")</f>
        <v xml:space="preserve">          6156 - EMPLOYEE MEALS</v>
      </c>
      <c r="C41" s="11"/>
      <c r="D41" s="6">
        <v>143.41</v>
      </c>
      <c r="E41" s="2"/>
      <c r="F41" s="7">
        <f t="shared" si="4"/>
        <v>1.4958773407700578E-3</v>
      </c>
      <c r="G41" s="2"/>
      <c r="H41" s="6">
        <v>300</v>
      </c>
      <c r="I41" s="2"/>
      <c r="J41" s="7">
        <f t="shared" si="5"/>
        <v>2.7700831024930748E-3</v>
      </c>
      <c r="K41" s="2"/>
      <c r="L41" s="6">
        <f t="shared" si="6"/>
        <v>-156.59</v>
      </c>
      <c r="M41" s="2"/>
      <c r="N41" s="7">
        <f t="shared" si="7"/>
        <v>-0.52196666666666669</v>
      </c>
      <c r="O41" s="11"/>
      <c r="P41" s="6">
        <v>385.79</v>
      </c>
      <c r="Q41" s="2"/>
      <c r="R41" s="7">
        <f t="shared" si="8"/>
        <v>3.7592230269974363E-3</v>
      </c>
      <c r="S41" s="2"/>
      <c r="T41" s="6">
        <v>600</v>
      </c>
      <c r="U41" s="2"/>
      <c r="V41" s="7">
        <f t="shared" si="9"/>
        <v>5.0125313283208017E-3</v>
      </c>
      <c r="W41" s="2"/>
      <c r="X41" s="6">
        <f t="shared" si="10"/>
        <v>-214.20999999999998</v>
      </c>
      <c r="Y41" s="2"/>
      <c r="Z41" s="7">
        <f t="shared" si="11"/>
        <v>-0.35701666666666665</v>
      </c>
    </row>
    <row r="42" spans="1:26" s="26" customFormat="1" outlineLevel="1" collapsed="1" x14ac:dyDescent="0.25">
      <c r="A42" s="25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17210.150000000001</v>
      </c>
      <c r="E42" s="1"/>
      <c r="F42" s="5">
        <f t="shared" ref="F42:F52" si="12">IF(D$12=0,0,D42/D$12)</f>
        <v>0.17951519012798142</v>
      </c>
      <c r="G42" s="1"/>
      <c r="H42" s="1">
        <f>SUM(OSRRefH22_1x_0)</f>
        <v>16733.74085765846</v>
      </c>
      <c r="I42" s="1"/>
      <c r="J42" s="5">
        <f t="shared" ref="J42:J52" si="13">IF(H$12=0,0,H42/H$12)</f>
        <v>0.15451284263765891</v>
      </c>
      <c r="K42" s="1"/>
      <c r="L42" s="1">
        <f t="shared" ref="L42:L52" si="14">+D42-H42</f>
        <v>476.40914234154116</v>
      </c>
      <c r="M42" s="1"/>
      <c r="N42" s="5">
        <f t="shared" ref="N42:N52" si="15">IF(H42=0,0,L42/H42)</f>
        <v>2.84699725180401E-2</v>
      </c>
      <c r="O42" s="13"/>
      <c r="P42" s="1">
        <f>SUM(OSRRefP22_1x_0)</f>
        <v>33817.019999999997</v>
      </c>
      <c r="Q42" s="1"/>
      <c r="R42" s="5">
        <f t="shared" ref="R42:R52" si="16">IF(P$12=0,0,P42/P$12)</f>
        <v>0.32952051709073021</v>
      </c>
      <c r="S42" s="1"/>
      <c r="T42" s="1">
        <f>SUM(OSRRefT22_1x_0)</f>
        <v>35881.42679778154</v>
      </c>
      <c r="U42" s="1"/>
      <c r="V42" s="5">
        <f t="shared" ref="V42:V52" si="17">IF(T$12=0,0,T42/T$12)</f>
        <v>0.2997612932145492</v>
      </c>
      <c r="W42" s="1"/>
      <c r="X42" s="1">
        <f t="shared" ref="X42:X52" si="18">+P42-T42</f>
        <v>-2064.406797781543</v>
      </c>
      <c r="Y42" s="1"/>
      <c r="Z42" s="5">
        <f t="shared" ref="Z42:Z52" si="19">IF(T42=0,0,X42/T42)</f>
        <v>-5.7534133450601252E-2</v>
      </c>
    </row>
    <row r="43" spans="1:26" s="24" customFormat="1" hidden="1" outlineLevel="2" x14ac:dyDescent="0.25">
      <c r="A43" s="27"/>
      <c r="B43" s="11" t="str">
        <f>CONCATENATE("          ", "6001", " - ", "ADMINISTRATIVE SALARIES")</f>
        <v xml:space="preserve">          6001 - ADMINISTRATIVE SALARIES</v>
      </c>
      <c r="C43" s="11"/>
      <c r="D43" s="6"/>
      <c r="E43" s="2"/>
      <c r="F43" s="7">
        <f t="shared" si="12"/>
        <v>0</v>
      </c>
      <c r="G43" s="2"/>
      <c r="H43" s="6">
        <v>5990.5432000000001</v>
      </c>
      <c r="I43" s="2"/>
      <c r="J43" s="7">
        <f t="shared" si="13"/>
        <v>5.5314341643582642E-2</v>
      </c>
      <c r="K43" s="2"/>
      <c r="L43" s="6">
        <f t="shared" si="14"/>
        <v>-5990.5432000000001</v>
      </c>
      <c r="M43" s="2"/>
      <c r="N43" s="7">
        <f t="shared" si="15"/>
        <v>-1</v>
      </c>
      <c r="O43" s="11"/>
      <c r="P43" s="6"/>
      <c r="Q43" s="2"/>
      <c r="R43" s="7">
        <f t="shared" si="16"/>
        <v>0</v>
      </c>
      <c r="S43" s="2"/>
      <c r="T43" s="6">
        <v>13478.7222</v>
      </c>
      <c r="U43" s="2"/>
      <c r="V43" s="7">
        <f t="shared" si="17"/>
        <v>0.1126041954887218</v>
      </c>
      <c r="W43" s="2"/>
      <c r="X43" s="6">
        <f t="shared" si="18"/>
        <v>-13478.7222</v>
      </c>
      <c r="Y43" s="2"/>
      <c r="Z43" s="7">
        <f t="shared" si="19"/>
        <v>-1</v>
      </c>
    </row>
    <row r="44" spans="1:26" s="24" customFormat="1" hidden="1" outlineLevel="2" x14ac:dyDescent="0.25">
      <c r="A44" s="27"/>
      <c r="B44" s="11" t="str">
        <f>CONCATENATE("          ", "6002", " - ", "STAFF SALARIES")</f>
        <v xml:space="preserve">          6002 - STAFF SALARIES</v>
      </c>
      <c r="C44" s="11"/>
      <c r="D44" s="6">
        <v>10342.4</v>
      </c>
      <c r="E44" s="2"/>
      <c r="F44" s="7">
        <f t="shared" si="12"/>
        <v>0.10787924000544066</v>
      </c>
      <c r="G44" s="2"/>
      <c r="H44" s="6">
        <v>3746.6964615384595</v>
      </c>
      <c r="I44" s="2"/>
      <c r="J44" s="7">
        <f t="shared" si="13"/>
        <v>3.4595535194260937E-2</v>
      </c>
      <c r="K44" s="2"/>
      <c r="L44" s="6">
        <f t="shared" si="14"/>
        <v>6595.7035384615401</v>
      </c>
      <c r="M44" s="2"/>
      <c r="N44" s="7">
        <f t="shared" si="15"/>
        <v>1.7604050945064358</v>
      </c>
      <c r="O44" s="11"/>
      <c r="P44" s="6">
        <v>22816.769999999997</v>
      </c>
      <c r="Q44" s="2"/>
      <c r="R44" s="7">
        <f t="shared" si="16"/>
        <v>0.22233164982426779</v>
      </c>
      <c r="S44" s="2"/>
      <c r="T44" s="6">
        <v>8430.0670384615387</v>
      </c>
      <c r="U44" s="2"/>
      <c r="V44" s="7">
        <f t="shared" si="17"/>
        <v>7.0426625216888375E-2</v>
      </c>
      <c r="W44" s="2"/>
      <c r="X44" s="6">
        <f t="shared" si="18"/>
        <v>14386.702961538458</v>
      </c>
      <c r="Y44" s="2"/>
      <c r="Z44" s="7">
        <f t="shared" si="19"/>
        <v>1.7065941345306297</v>
      </c>
    </row>
    <row r="45" spans="1:26" s="24" customFormat="1" hidden="1" outlineLevel="2" x14ac:dyDescent="0.25">
      <c r="A45" s="27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12"/>
        <v>0</v>
      </c>
      <c r="G45" s="2"/>
      <c r="H45" s="6">
        <v>0</v>
      </c>
      <c r="I45" s="2"/>
      <c r="J45" s="7">
        <f t="shared" si="13"/>
        <v>0</v>
      </c>
      <c r="K45" s="2"/>
      <c r="L45" s="6">
        <f t="shared" si="14"/>
        <v>0</v>
      </c>
      <c r="M45" s="2"/>
      <c r="N45" s="7">
        <f t="shared" si="15"/>
        <v>0</v>
      </c>
      <c r="O45" s="11"/>
      <c r="P45" s="6"/>
      <c r="Q45" s="2"/>
      <c r="R45" s="7">
        <f t="shared" si="16"/>
        <v>0</v>
      </c>
      <c r="S45" s="2"/>
      <c r="T45" s="6">
        <v>0</v>
      </c>
      <c r="U45" s="2"/>
      <c r="V45" s="7">
        <f t="shared" si="17"/>
        <v>0</v>
      </c>
      <c r="W45" s="2"/>
      <c r="X45" s="6">
        <f t="shared" si="18"/>
        <v>0</v>
      </c>
      <c r="Y45" s="2"/>
      <c r="Z45" s="7">
        <f t="shared" si="19"/>
        <v>0</v>
      </c>
    </row>
    <row r="46" spans="1:26" s="24" customFormat="1" hidden="1" outlineLevel="2" x14ac:dyDescent="0.25">
      <c r="A46" s="27"/>
      <c r="B46" s="11" t="str">
        <f>CONCATENATE("          ", "6004", " - ", "STAFF HOURLY")</f>
        <v xml:space="preserve">          6004 - STAFF HOURLY</v>
      </c>
      <c r="C46" s="11"/>
      <c r="D46" s="6"/>
      <c r="E46" s="2"/>
      <c r="F46" s="7">
        <f t="shared" si="12"/>
        <v>0</v>
      </c>
      <c r="G46" s="2"/>
      <c r="H46" s="6">
        <v>3010</v>
      </c>
      <c r="I46" s="2"/>
      <c r="J46" s="7">
        <f t="shared" si="13"/>
        <v>2.7793167128347184E-2</v>
      </c>
      <c r="K46" s="2"/>
      <c r="L46" s="6">
        <f t="shared" si="14"/>
        <v>-3010</v>
      </c>
      <c r="M46" s="2"/>
      <c r="N46" s="7">
        <f t="shared" si="15"/>
        <v>-1</v>
      </c>
      <c r="O46" s="11"/>
      <c r="P46" s="6"/>
      <c r="Q46" s="2"/>
      <c r="R46" s="7">
        <f t="shared" si="16"/>
        <v>0</v>
      </c>
      <c r="S46" s="2"/>
      <c r="T46" s="6">
        <v>6230</v>
      </c>
      <c r="U46" s="2"/>
      <c r="V46" s="7">
        <f t="shared" si="17"/>
        <v>5.2046783625730994E-2</v>
      </c>
      <c r="W46" s="2"/>
      <c r="X46" s="6">
        <f t="shared" si="18"/>
        <v>-6230</v>
      </c>
      <c r="Y46" s="2"/>
      <c r="Z46" s="7">
        <f t="shared" si="19"/>
        <v>-1</v>
      </c>
    </row>
    <row r="47" spans="1:26" s="24" customFormat="1" hidden="1" outlineLevel="2" x14ac:dyDescent="0.25">
      <c r="A47" s="27"/>
      <c r="B47" s="11" t="str">
        <f>CONCATENATE("          ", "6005", " - ", "TEMPORARY WAGES-HOURLY")</f>
        <v xml:space="preserve">          6005 - TEMPORARY WAGES-HOURLY</v>
      </c>
      <c r="C47" s="11"/>
      <c r="D47" s="6">
        <v>1505</v>
      </c>
      <c r="E47" s="2"/>
      <c r="F47" s="7">
        <f t="shared" si="12"/>
        <v>1.569831530478305E-2</v>
      </c>
      <c r="G47" s="2"/>
      <c r="H47" s="6">
        <v>0</v>
      </c>
      <c r="I47" s="2"/>
      <c r="J47" s="7">
        <f t="shared" si="13"/>
        <v>0</v>
      </c>
      <c r="K47" s="2"/>
      <c r="L47" s="6">
        <f t="shared" si="14"/>
        <v>1505</v>
      </c>
      <c r="M47" s="2"/>
      <c r="N47" s="7">
        <f t="shared" si="15"/>
        <v>0</v>
      </c>
      <c r="O47" s="11"/>
      <c r="P47" s="6">
        <v>2492</v>
      </c>
      <c r="Q47" s="2"/>
      <c r="R47" s="7">
        <f t="shared" si="16"/>
        <v>2.428259877984813E-2</v>
      </c>
      <c r="S47" s="2"/>
      <c r="T47" s="6">
        <v>0</v>
      </c>
      <c r="U47" s="2"/>
      <c r="V47" s="7">
        <f t="shared" si="17"/>
        <v>0</v>
      </c>
      <c r="W47" s="2"/>
      <c r="X47" s="6">
        <f t="shared" si="18"/>
        <v>2492</v>
      </c>
      <c r="Y47" s="2"/>
      <c r="Z47" s="7">
        <f t="shared" si="19"/>
        <v>0</v>
      </c>
    </row>
    <row r="48" spans="1:26" s="24" customFormat="1" hidden="1" outlineLevel="2" x14ac:dyDescent="0.25">
      <c r="A48" s="27"/>
      <c r="B48" s="11" t="str">
        <f>CONCATENATE("          ", "6006", " - ", "TEMPORARY PART TIME")</f>
        <v xml:space="preserve">          6006 - TEMPORARY PART TIME</v>
      </c>
      <c r="C48" s="11"/>
      <c r="D48" s="6"/>
      <c r="E48" s="2"/>
      <c r="F48" s="7">
        <f t="shared" si="12"/>
        <v>0</v>
      </c>
      <c r="G48" s="2"/>
      <c r="H48" s="6">
        <v>0</v>
      </c>
      <c r="I48" s="2"/>
      <c r="J48" s="7">
        <f t="shared" si="13"/>
        <v>0</v>
      </c>
      <c r="K48" s="2"/>
      <c r="L48" s="6">
        <f t="shared" si="14"/>
        <v>0</v>
      </c>
      <c r="M48" s="2"/>
      <c r="N48" s="7">
        <f t="shared" si="15"/>
        <v>0</v>
      </c>
      <c r="O48" s="11"/>
      <c r="P48" s="6"/>
      <c r="Q48" s="2"/>
      <c r="R48" s="7">
        <f t="shared" si="16"/>
        <v>0</v>
      </c>
      <c r="S48" s="2"/>
      <c r="T48" s="6">
        <v>0</v>
      </c>
      <c r="U48" s="2"/>
      <c r="V48" s="7">
        <f t="shared" si="17"/>
        <v>0</v>
      </c>
      <c r="W48" s="2"/>
      <c r="X48" s="6">
        <f t="shared" si="18"/>
        <v>0</v>
      </c>
      <c r="Y48" s="2"/>
      <c r="Z48" s="7">
        <f t="shared" si="19"/>
        <v>0</v>
      </c>
    </row>
    <row r="49" spans="1:26" s="24" customFormat="1" hidden="1" outlineLevel="2" x14ac:dyDescent="0.25">
      <c r="A49" s="27"/>
      <c r="B49" s="11" t="str">
        <f>CONCATENATE("          ", "6007", " - ", "STUDENT HOURLY")</f>
        <v xml:space="preserve">          6007 - STUDENT HOURLY</v>
      </c>
      <c r="C49" s="11"/>
      <c r="D49" s="6">
        <v>5362.75</v>
      </c>
      <c r="E49" s="2"/>
      <c r="F49" s="7">
        <f t="shared" si="12"/>
        <v>5.5937634817757674E-2</v>
      </c>
      <c r="G49" s="2"/>
      <c r="H49" s="6">
        <v>0</v>
      </c>
      <c r="I49" s="2"/>
      <c r="J49" s="7">
        <f t="shared" si="13"/>
        <v>0</v>
      </c>
      <c r="K49" s="2"/>
      <c r="L49" s="6">
        <f t="shared" si="14"/>
        <v>5362.75</v>
      </c>
      <c r="M49" s="2"/>
      <c r="N49" s="7">
        <f t="shared" si="15"/>
        <v>0</v>
      </c>
      <c r="O49" s="11"/>
      <c r="P49" s="6">
        <v>8508.25</v>
      </c>
      <c r="Q49" s="2"/>
      <c r="R49" s="7">
        <f t="shared" si="16"/>
        <v>8.290626848661431E-2</v>
      </c>
      <c r="S49" s="2"/>
      <c r="T49" s="6">
        <v>3756.1363631999998</v>
      </c>
      <c r="U49" s="2"/>
      <c r="V49" s="7">
        <f t="shared" si="17"/>
        <v>3.1379585323308271E-2</v>
      </c>
      <c r="W49" s="2"/>
      <c r="X49" s="6">
        <f t="shared" si="18"/>
        <v>4752.1136368000007</v>
      </c>
      <c r="Y49" s="2"/>
      <c r="Z49" s="7">
        <f t="shared" si="19"/>
        <v>1.2651600414079454</v>
      </c>
    </row>
    <row r="50" spans="1:26" s="24" customFormat="1" hidden="1" outlineLevel="2" x14ac:dyDescent="0.25">
      <c r="A50" s="27"/>
      <c r="B50" s="11" t="str">
        <f>CONCATENATE("          ", "6008", " - ", "STUDENT HOURLY-FICA EXEMPT")</f>
        <v xml:space="preserve">          6008 - STUDENT HOURLY-FICA EXEMPT</v>
      </c>
      <c r="C50" s="11"/>
      <c r="D50" s="6"/>
      <c r="E50" s="2"/>
      <c r="F50" s="7">
        <f t="shared" si="12"/>
        <v>0</v>
      </c>
      <c r="G50" s="2"/>
      <c r="H50" s="6">
        <v>3986.5011961200003</v>
      </c>
      <c r="I50" s="2"/>
      <c r="J50" s="7">
        <f t="shared" si="13"/>
        <v>3.680979867146815E-2</v>
      </c>
      <c r="K50" s="2"/>
      <c r="L50" s="6">
        <f t="shared" si="14"/>
        <v>-3986.5011961200003</v>
      </c>
      <c r="M50" s="2"/>
      <c r="N50" s="7">
        <f t="shared" si="15"/>
        <v>-1</v>
      </c>
      <c r="O50" s="11"/>
      <c r="P50" s="6"/>
      <c r="Q50" s="2"/>
      <c r="R50" s="7">
        <f t="shared" si="16"/>
        <v>0</v>
      </c>
      <c r="S50" s="2"/>
      <c r="T50" s="6">
        <v>3986.5011961200003</v>
      </c>
      <c r="U50" s="2"/>
      <c r="V50" s="7">
        <f t="shared" si="17"/>
        <v>3.3304103559899753E-2</v>
      </c>
      <c r="W50" s="2"/>
      <c r="X50" s="6">
        <f t="shared" si="18"/>
        <v>-3986.5011961200003</v>
      </c>
      <c r="Y50" s="2"/>
      <c r="Z50" s="7">
        <f t="shared" si="19"/>
        <v>-1</v>
      </c>
    </row>
    <row r="51" spans="1:26" s="24" customFormat="1" hidden="1" outlineLevel="2" x14ac:dyDescent="0.25">
      <c r="A51" s="27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12"/>
        <v>0</v>
      </c>
      <c r="G51" s="2"/>
      <c r="H51" s="6">
        <v>0</v>
      </c>
      <c r="I51" s="2"/>
      <c r="J51" s="7">
        <f t="shared" si="13"/>
        <v>0</v>
      </c>
      <c r="K51" s="2"/>
      <c r="L51" s="6">
        <f t="shared" si="14"/>
        <v>0</v>
      </c>
      <c r="M51" s="2"/>
      <c r="N51" s="7">
        <f t="shared" si="15"/>
        <v>0</v>
      </c>
      <c r="O51" s="11"/>
      <c r="P51" s="6"/>
      <c r="Q51" s="2"/>
      <c r="R51" s="7">
        <f t="shared" si="16"/>
        <v>0</v>
      </c>
      <c r="S51" s="2"/>
      <c r="T51" s="6">
        <v>0</v>
      </c>
      <c r="U51" s="2"/>
      <c r="V51" s="7">
        <f t="shared" si="17"/>
        <v>0</v>
      </c>
      <c r="W51" s="2"/>
      <c r="X51" s="6">
        <f t="shared" si="18"/>
        <v>0</v>
      </c>
      <c r="Y51" s="2"/>
      <c r="Z51" s="7">
        <f t="shared" si="19"/>
        <v>0</v>
      </c>
    </row>
    <row r="52" spans="1:26" s="24" customFormat="1" hidden="1" outlineLevel="2" x14ac:dyDescent="0.25">
      <c r="A52" s="27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12"/>
        <v>0</v>
      </c>
      <c r="G52" s="2"/>
      <c r="H52" s="6">
        <v>0</v>
      </c>
      <c r="I52" s="2"/>
      <c r="J52" s="7">
        <f t="shared" si="13"/>
        <v>0</v>
      </c>
      <c r="K52" s="2"/>
      <c r="L52" s="6">
        <f t="shared" si="14"/>
        <v>0</v>
      </c>
      <c r="M52" s="2"/>
      <c r="N52" s="7">
        <f t="shared" si="15"/>
        <v>0</v>
      </c>
      <c r="O52" s="11"/>
      <c r="P52" s="6"/>
      <c r="Q52" s="2"/>
      <c r="R52" s="7">
        <f t="shared" si="16"/>
        <v>0</v>
      </c>
      <c r="S52" s="2"/>
      <c r="T52" s="6">
        <v>0</v>
      </c>
      <c r="U52" s="2"/>
      <c r="V52" s="7">
        <f t="shared" si="17"/>
        <v>0</v>
      </c>
      <c r="W52" s="2"/>
      <c r="X52" s="6">
        <f t="shared" si="18"/>
        <v>0</v>
      </c>
      <c r="Y52" s="2"/>
      <c r="Z52" s="7">
        <f t="shared" si="19"/>
        <v>0</v>
      </c>
    </row>
    <row r="53" spans="1:26" s="26" customFormat="1" outlineLevel="1" collapsed="1" x14ac:dyDescent="0.25">
      <c r="A53" s="25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0</v>
      </c>
      <c r="E53" s="1"/>
      <c r="F53" s="5">
        <f t="shared" ref="F53:F71" si="20">IF(D$12=0,0,D53/D$12)</f>
        <v>0</v>
      </c>
      <c r="G53" s="1"/>
      <c r="H53" s="1">
        <f>SUM(OSRRefH22_2x_0)</f>
        <v>100</v>
      </c>
      <c r="I53" s="1"/>
      <c r="J53" s="5">
        <f t="shared" ref="J53:J71" si="21">IF(H$12=0,0,H53/H$12)</f>
        <v>9.2336103416435823E-4</v>
      </c>
      <c r="K53" s="1"/>
      <c r="L53" s="1">
        <f t="shared" ref="L53:L71" si="22">+D53-H53</f>
        <v>-100</v>
      </c>
      <c r="M53" s="1"/>
      <c r="N53" s="5">
        <f t="shared" ref="N53:N71" si="23">IF(H53=0,0,L53/H53)</f>
        <v>-1</v>
      </c>
      <c r="O53" s="13"/>
      <c r="P53" s="1">
        <f>SUM(OSRRefP22_2x_0)</f>
        <v>0</v>
      </c>
      <c r="Q53" s="1"/>
      <c r="R53" s="5">
        <f t="shared" ref="R53:R71" si="24">IF(P$12=0,0,P53/P$12)</f>
        <v>0</v>
      </c>
      <c r="S53" s="1"/>
      <c r="T53" s="1">
        <f>SUM(OSRRefT22_2x_0)</f>
        <v>200</v>
      </c>
      <c r="U53" s="1"/>
      <c r="V53" s="5">
        <f t="shared" ref="V53:V71" si="25">IF(T$12=0,0,T53/T$12)</f>
        <v>1.6708437761069339E-3</v>
      </c>
      <c r="W53" s="1"/>
      <c r="X53" s="1">
        <f t="shared" ref="X53:X71" si="26">+P53-T53</f>
        <v>-200</v>
      </c>
      <c r="Y53" s="1"/>
      <c r="Z53" s="5">
        <f t="shared" ref="Z53:Z71" si="27">IF(T53=0,0,X53/T53)</f>
        <v>-1</v>
      </c>
    </row>
    <row r="54" spans="1:26" s="24" customFormat="1" hidden="1" outlineLevel="2" x14ac:dyDescent="0.25">
      <c r="A54" s="27"/>
      <c r="B54" s="11" t="str">
        <f>CONCATENATE("          ", "6362", " - ", "ADVERTISING EXPENSE")</f>
        <v xml:space="preserve">          6362 - ADVERTISING EXPENSE</v>
      </c>
      <c r="C54" s="11"/>
      <c r="D54" s="6"/>
      <c r="E54" s="2"/>
      <c r="F54" s="7">
        <f t="shared" si="20"/>
        <v>0</v>
      </c>
      <c r="G54" s="2"/>
      <c r="H54" s="6">
        <v>100</v>
      </c>
      <c r="I54" s="2"/>
      <c r="J54" s="7">
        <f t="shared" si="21"/>
        <v>9.2336103416435823E-4</v>
      </c>
      <c r="K54" s="2"/>
      <c r="L54" s="6">
        <f t="shared" si="22"/>
        <v>-100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200</v>
      </c>
      <c r="U54" s="2"/>
      <c r="V54" s="7">
        <f t="shared" si="25"/>
        <v>1.6708437761069339E-3</v>
      </c>
      <c r="W54" s="2"/>
      <c r="X54" s="6">
        <f t="shared" si="26"/>
        <v>-200</v>
      </c>
      <c r="Y54" s="2"/>
      <c r="Z54" s="7">
        <f t="shared" si="27"/>
        <v>-1</v>
      </c>
    </row>
    <row r="55" spans="1:26" s="26" customFormat="1" outlineLevel="1" collapsed="1" x14ac:dyDescent="0.25">
      <c r="A55" s="25"/>
      <c r="B55" s="13" t="str">
        <f>CONCATENATE("     ","Depreciation                                      ")</f>
        <v xml:space="preserve">     Depreciation                                      </v>
      </c>
      <c r="C55" s="13"/>
      <c r="D55" s="1">
        <f>SUM(OSRRefD22_3x_0)</f>
        <v>0</v>
      </c>
      <c r="E55" s="1"/>
      <c r="F55" s="5">
        <f t="shared" si="20"/>
        <v>0</v>
      </c>
      <c r="G55" s="1"/>
      <c r="H55" s="1">
        <f>SUM(OSRRefH22_3x_0)</f>
        <v>0</v>
      </c>
      <c r="I55" s="1"/>
      <c r="J55" s="5">
        <f t="shared" si="21"/>
        <v>0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SUM(OSRRefP22_3x_0)</f>
        <v>0</v>
      </c>
      <c r="Q55" s="1"/>
      <c r="R55" s="5">
        <f t="shared" si="24"/>
        <v>0</v>
      </c>
      <c r="S55" s="1"/>
      <c r="T55" s="1">
        <f>SUM(OSRRefT22_3x_0)</f>
        <v>0</v>
      </c>
      <c r="U55" s="1"/>
      <c r="V55" s="5">
        <f t="shared" si="25"/>
        <v>0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7"/>
      <c r="B56" s="11" t="str">
        <f>CONCATENATE("          ", "6322", " - ", "EQUIPMENT DEPRECIATION EXPENSE")</f>
        <v xml:space="preserve">          6322 - EQUIPMENT DEPRECIATION EXPENSE</v>
      </c>
      <c r="C56" s="11"/>
      <c r="D56" s="6"/>
      <c r="E56" s="2"/>
      <c r="F56" s="7">
        <f t="shared" si="20"/>
        <v>0</v>
      </c>
      <c r="G56" s="2"/>
      <c r="H56" s="6">
        <v>0</v>
      </c>
      <c r="I56" s="2"/>
      <c r="J56" s="7">
        <f t="shared" si="21"/>
        <v>0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/>
      <c r="Q56" s="2"/>
      <c r="R56" s="7">
        <f t="shared" si="24"/>
        <v>0</v>
      </c>
      <c r="S56" s="2"/>
      <c r="T56" s="6">
        <v>0</v>
      </c>
      <c r="U56" s="2"/>
      <c r="V56" s="7">
        <f t="shared" si="25"/>
        <v>0</v>
      </c>
      <c r="W56" s="2"/>
      <c r="X56" s="6">
        <f t="shared" si="26"/>
        <v>0</v>
      </c>
      <c r="Y56" s="2"/>
      <c r="Z56" s="7">
        <f t="shared" si="27"/>
        <v>0</v>
      </c>
    </row>
    <row r="57" spans="1:26" s="26" customFormat="1" outlineLevel="1" collapsed="1" x14ac:dyDescent="0.25">
      <c r="A57" s="25"/>
      <c r="B57" s="13" t="str">
        <f>CONCATENATE("     ","Discounts and Markdowns                           ")</f>
        <v xml:space="preserve">     Discounts and Markdowns                           </v>
      </c>
      <c r="C57" s="13"/>
      <c r="D57" s="1">
        <f>SUM(OSRRefD22_4x_0)</f>
        <v>96.95</v>
      </c>
      <c r="E57" s="1"/>
      <c r="F57" s="5">
        <f t="shared" si="20"/>
        <v>1.0112635673081175E-3</v>
      </c>
      <c r="G57" s="1"/>
      <c r="H57" s="1">
        <f>SUM(OSRRefH22_4x_0)</f>
        <v>600</v>
      </c>
      <c r="I57" s="1"/>
      <c r="J57" s="5">
        <f t="shared" si="21"/>
        <v>5.5401662049861496E-3</v>
      </c>
      <c r="K57" s="1"/>
      <c r="L57" s="1">
        <f t="shared" si="22"/>
        <v>-503.05</v>
      </c>
      <c r="M57" s="1"/>
      <c r="N57" s="5">
        <f t="shared" si="23"/>
        <v>-0.8384166666666667</v>
      </c>
      <c r="O57" s="13"/>
      <c r="P57" s="1">
        <f>SUM(OSRRefP22_4x_0)</f>
        <v>160.16999999999999</v>
      </c>
      <c r="Q57" s="1"/>
      <c r="R57" s="5">
        <f t="shared" si="24"/>
        <v>1.5607318806453751E-3</v>
      </c>
      <c r="S57" s="1"/>
      <c r="T57" s="1">
        <f>SUM(OSRRefT22_4x_0)</f>
        <v>1200</v>
      </c>
      <c r="U57" s="1"/>
      <c r="V57" s="5">
        <f t="shared" si="25"/>
        <v>1.0025062656641603E-2</v>
      </c>
      <c r="W57" s="1"/>
      <c r="X57" s="1">
        <f t="shared" si="26"/>
        <v>-1039.83</v>
      </c>
      <c r="Y57" s="1"/>
      <c r="Z57" s="5">
        <f t="shared" si="27"/>
        <v>-0.86652499999999999</v>
      </c>
    </row>
    <row r="58" spans="1:26" s="24" customFormat="1" hidden="1" outlineLevel="2" x14ac:dyDescent="0.25">
      <c r="A58" s="27"/>
      <c r="B58" s="11" t="str">
        <f>CONCATENATE("          ", "6382", " - ", "DISCOUNTS/MARK DOWNS")</f>
        <v xml:space="preserve">          6382 - DISCOUNTS/MARK DOWNS</v>
      </c>
      <c r="C58" s="11"/>
      <c r="D58" s="6">
        <v>96.95</v>
      </c>
      <c r="E58" s="2"/>
      <c r="F58" s="7">
        <f t="shared" si="20"/>
        <v>1.0112635673081175E-3</v>
      </c>
      <c r="G58" s="2"/>
      <c r="H58" s="6">
        <v>600</v>
      </c>
      <c r="I58" s="2"/>
      <c r="J58" s="7">
        <f t="shared" si="21"/>
        <v>5.5401662049861496E-3</v>
      </c>
      <c r="K58" s="2"/>
      <c r="L58" s="6">
        <f t="shared" si="22"/>
        <v>-503.05</v>
      </c>
      <c r="M58" s="2"/>
      <c r="N58" s="7">
        <f t="shared" si="23"/>
        <v>-0.8384166666666667</v>
      </c>
      <c r="O58" s="11"/>
      <c r="P58" s="6">
        <v>160.16999999999999</v>
      </c>
      <c r="Q58" s="2"/>
      <c r="R58" s="7">
        <f t="shared" si="24"/>
        <v>1.5607318806453751E-3</v>
      </c>
      <c r="S58" s="2"/>
      <c r="T58" s="6">
        <v>1200</v>
      </c>
      <c r="U58" s="2"/>
      <c r="V58" s="7">
        <f t="shared" si="25"/>
        <v>1.0025062656641603E-2</v>
      </c>
      <c r="W58" s="2"/>
      <c r="X58" s="6">
        <f t="shared" si="26"/>
        <v>-1039.83</v>
      </c>
      <c r="Y58" s="2"/>
      <c r="Z58" s="7">
        <f t="shared" si="27"/>
        <v>-0.86652499999999999</v>
      </c>
    </row>
    <row r="59" spans="1:26" s="26" customFormat="1" outlineLevel="1" collapsed="1" x14ac:dyDescent="0.25">
      <c r="A59" s="25"/>
      <c r="B59" s="13" t="str">
        <f>CONCATENATE("     ","Employees' Appreciation                           ")</f>
        <v xml:space="preserve">     Employees' Appreciation                           </v>
      </c>
      <c r="C59" s="13"/>
      <c r="D59" s="1">
        <f>SUM(OSRRefD22_5x_0)</f>
        <v>0</v>
      </c>
      <c r="E59" s="1"/>
      <c r="F59" s="5">
        <f t="shared" si="20"/>
        <v>0</v>
      </c>
      <c r="G59" s="1"/>
      <c r="H59" s="1">
        <f>SUM(OSRRefH22_5x_0)</f>
        <v>100</v>
      </c>
      <c r="I59" s="1"/>
      <c r="J59" s="5">
        <f t="shared" si="21"/>
        <v>9.2336103416435823E-4</v>
      </c>
      <c r="K59" s="1"/>
      <c r="L59" s="1">
        <f t="shared" si="22"/>
        <v>-100</v>
      </c>
      <c r="M59" s="1"/>
      <c r="N59" s="5">
        <f t="shared" si="23"/>
        <v>-1</v>
      </c>
      <c r="O59" s="13"/>
      <c r="P59" s="1">
        <f>SUM(OSRRefP22_5x_0)</f>
        <v>0</v>
      </c>
      <c r="Q59" s="1"/>
      <c r="R59" s="5">
        <f t="shared" si="24"/>
        <v>0</v>
      </c>
      <c r="S59" s="1"/>
      <c r="T59" s="1">
        <f>SUM(OSRRefT22_5x_0)</f>
        <v>200</v>
      </c>
      <c r="U59" s="1"/>
      <c r="V59" s="5">
        <f t="shared" si="25"/>
        <v>1.6708437761069339E-3</v>
      </c>
      <c r="W59" s="1"/>
      <c r="X59" s="1">
        <f t="shared" si="26"/>
        <v>-200</v>
      </c>
      <c r="Y59" s="1"/>
      <c r="Z59" s="5">
        <f t="shared" si="27"/>
        <v>-1</v>
      </c>
    </row>
    <row r="60" spans="1:26" s="24" customFormat="1" hidden="1" outlineLevel="2" x14ac:dyDescent="0.25">
      <c r="A60" s="27"/>
      <c r="B60" s="11" t="str">
        <f>CONCATENATE("          ", "6277", " - ", "EMPLOYEE APPRECIATION")</f>
        <v xml:space="preserve">          6277 - EMPLOYEE APPRECIATION</v>
      </c>
      <c r="C60" s="11"/>
      <c r="D60" s="6"/>
      <c r="E60" s="2"/>
      <c r="F60" s="7">
        <f t="shared" si="20"/>
        <v>0</v>
      </c>
      <c r="G60" s="2"/>
      <c r="H60" s="6">
        <v>100</v>
      </c>
      <c r="I60" s="2"/>
      <c r="J60" s="7">
        <f t="shared" si="21"/>
        <v>9.2336103416435823E-4</v>
      </c>
      <c r="K60" s="2"/>
      <c r="L60" s="6">
        <f t="shared" si="22"/>
        <v>-100</v>
      </c>
      <c r="M60" s="2"/>
      <c r="N60" s="7">
        <f t="shared" si="23"/>
        <v>-1</v>
      </c>
      <c r="O60" s="11"/>
      <c r="P60" s="6"/>
      <c r="Q60" s="2"/>
      <c r="R60" s="7">
        <f t="shared" si="24"/>
        <v>0</v>
      </c>
      <c r="S60" s="2"/>
      <c r="T60" s="6">
        <v>200</v>
      </c>
      <c r="U60" s="2"/>
      <c r="V60" s="7">
        <f t="shared" si="25"/>
        <v>1.6708437761069339E-3</v>
      </c>
      <c r="W60" s="2"/>
      <c r="X60" s="6">
        <f t="shared" si="26"/>
        <v>-200</v>
      </c>
      <c r="Y60" s="2"/>
      <c r="Z60" s="7">
        <f t="shared" si="27"/>
        <v>-1</v>
      </c>
    </row>
    <row r="61" spans="1:26" s="26" customFormat="1" outlineLevel="1" collapsed="1" x14ac:dyDescent="0.25">
      <c r="A61" s="25"/>
      <c r="B61" s="13" t="str">
        <f>CONCATENATE("     ","Equipment Rental                                  ")</f>
        <v xml:space="preserve">     Equipment Rental                                  </v>
      </c>
      <c r="C61" s="13"/>
      <c r="D61" s="1">
        <f>SUM(OSRRefD22_6x_0)</f>
        <v>1205.6400000000001</v>
      </c>
      <c r="E61" s="1"/>
      <c r="F61" s="5">
        <f t="shared" si="20"/>
        <v>1.2575758713660224E-2</v>
      </c>
      <c r="G61" s="1"/>
      <c r="H61" s="1">
        <f>SUM(OSRRefH22_6x_0)</f>
        <v>3000</v>
      </c>
      <c r="I61" s="1"/>
      <c r="J61" s="5">
        <f t="shared" si="21"/>
        <v>2.7700831024930747E-2</v>
      </c>
      <c r="K61" s="1"/>
      <c r="L61" s="1">
        <f t="shared" si="22"/>
        <v>-1794.36</v>
      </c>
      <c r="M61" s="1"/>
      <c r="N61" s="5">
        <f t="shared" si="23"/>
        <v>-0.59811999999999999</v>
      </c>
      <c r="O61" s="13"/>
      <c r="P61" s="1">
        <f>SUM(OSRRefP22_6x_0)</f>
        <v>2411.2800000000002</v>
      </c>
      <c r="Q61" s="1"/>
      <c r="R61" s="5">
        <f t="shared" si="24"/>
        <v>2.3496045259178252E-2</v>
      </c>
      <c r="S61" s="1"/>
      <c r="T61" s="1">
        <f>SUM(OSRRefT22_6x_0)</f>
        <v>6000</v>
      </c>
      <c r="U61" s="1"/>
      <c r="V61" s="5">
        <f t="shared" si="25"/>
        <v>5.0125313283208017E-2</v>
      </c>
      <c r="W61" s="1"/>
      <c r="X61" s="1">
        <f t="shared" si="26"/>
        <v>-3588.72</v>
      </c>
      <c r="Y61" s="1"/>
      <c r="Z61" s="5">
        <f t="shared" si="27"/>
        <v>-0.59811999999999999</v>
      </c>
    </row>
    <row r="62" spans="1:26" s="24" customFormat="1" hidden="1" outlineLevel="2" x14ac:dyDescent="0.25">
      <c r="A62" s="27"/>
      <c r="B62" s="11" t="str">
        <f>CONCATENATE("          ", "6351", " - ", "EQUIPMENT RENTAL")</f>
        <v xml:space="preserve">          6351 - EQUIPMENT RENTAL</v>
      </c>
      <c r="C62" s="11"/>
      <c r="D62" s="6">
        <v>1205.6400000000001</v>
      </c>
      <c r="E62" s="2"/>
      <c r="F62" s="7">
        <f t="shared" si="20"/>
        <v>1.2575758713660224E-2</v>
      </c>
      <c r="G62" s="2"/>
      <c r="H62" s="6">
        <v>3000</v>
      </c>
      <c r="I62" s="2"/>
      <c r="J62" s="7">
        <f t="shared" si="21"/>
        <v>2.7700831024930747E-2</v>
      </c>
      <c r="K62" s="2"/>
      <c r="L62" s="6">
        <f t="shared" si="22"/>
        <v>-1794.36</v>
      </c>
      <c r="M62" s="2"/>
      <c r="N62" s="7">
        <f t="shared" si="23"/>
        <v>-0.59811999999999999</v>
      </c>
      <c r="O62" s="11"/>
      <c r="P62" s="6">
        <v>2411.2800000000002</v>
      </c>
      <c r="Q62" s="2"/>
      <c r="R62" s="7">
        <f t="shared" si="24"/>
        <v>2.3496045259178252E-2</v>
      </c>
      <c r="S62" s="2"/>
      <c r="T62" s="6">
        <v>6000</v>
      </c>
      <c r="U62" s="2"/>
      <c r="V62" s="7">
        <f t="shared" si="25"/>
        <v>5.0125313283208017E-2</v>
      </c>
      <c r="W62" s="2"/>
      <c r="X62" s="6">
        <f t="shared" si="26"/>
        <v>-3588.72</v>
      </c>
      <c r="Y62" s="2"/>
      <c r="Z62" s="7">
        <f t="shared" si="27"/>
        <v>-0.59811999999999999</v>
      </c>
    </row>
    <row r="63" spans="1:26" s="26" customFormat="1" outlineLevel="1" collapsed="1" x14ac:dyDescent="0.25">
      <c r="A63" s="25"/>
      <c r="B63" s="13" t="str">
        <f>CONCATENATE("     ","Freight out/Postage                               ")</f>
        <v xml:space="preserve">     Freight out/Postage                               </v>
      </c>
      <c r="C63" s="13"/>
      <c r="D63" s="1">
        <f>SUM(OSRRefD22_7x_0)</f>
        <v>0</v>
      </c>
      <c r="E63" s="1"/>
      <c r="F63" s="5">
        <f t="shared" si="20"/>
        <v>0</v>
      </c>
      <c r="G63" s="1"/>
      <c r="H63" s="1">
        <f>SUM(OSRRefH22_7x_0)</f>
        <v>-300</v>
      </c>
      <c r="I63" s="1"/>
      <c r="J63" s="5">
        <f t="shared" si="21"/>
        <v>-2.7700831024930748E-3</v>
      </c>
      <c r="K63" s="1"/>
      <c r="L63" s="1">
        <f t="shared" si="22"/>
        <v>300</v>
      </c>
      <c r="M63" s="1"/>
      <c r="N63" s="5">
        <f t="shared" si="23"/>
        <v>-1</v>
      </c>
      <c r="O63" s="13"/>
      <c r="P63" s="1">
        <f>SUM(OSRRefP22_7x_0)</f>
        <v>0</v>
      </c>
      <c r="Q63" s="1"/>
      <c r="R63" s="5">
        <f t="shared" si="24"/>
        <v>0</v>
      </c>
      <c r="S63" s="1"/>
      <c r="T63" s="1">
        <f>SUM(OSRRefT22_7x_0)</f>
        <v>-600</v>
      </c>
      <c r="U63" s="1"/>
      <c r="V63" s="5">
        <f t="shared" si="25"/>
        <v>-5.0125313283208017E-3</v>
      </c>
      <c r="W63" s="1"/>
      <c r="X63" s="1">
        <f t="shared" si="26"/>
        <v>600</v>
      </c>
      <c r="Y63" s="1"/>
      <c r="Z63" s="5">
        <f t="shared" si="27"/>
        <v>-1</v>
      </c>
    </row>
    <row r="64" spans="1:26" s="24" customFormat="1" hidden="1" outlineLevel="2" x14ac:dyDescent="0.25">
      <c r="A64" s="27"/>
      <c r="B64" s="11" t="str">
        <f>CONCATENATE("          ", "6305", " - ", "FREIGHT OUT")</f>
        <v xml:space="preserve">          6305 - FREIGHT OUT</v>
      </c>
      <c r="C64" s="11"/>
      <c r="D64" s="6"/>
      <c r="E64" s="2"/>
      <c r="F64" s="7">
        <f t="shared" si="20"/>
        <v>0</v>
      </c>
      <c r="G64" s="2"/>
      <c r="H64" s="6">
        <v>-300</v>
      </c>
      <c r="I64" s="2"/>
      <c r="J64" s="7">
        <f t="shared" si="21"/>
        <v>-2.7700831024930748E-3</v>
      </c>
      <c r="K64" s="2"/>
      <c r="L64" s="6">
        <f t="shared" si="22"/>
        <v>300</v>
      </c>
      <c r="M64" s="2"/>
      <c r="N64" s="7">
        <f t="shared" si="23"/>
        <v>-1</v>
      </c>
      <c r="O64" s="11"/>
      <c r="P64" s="6"/>
      <c r="Q64" s="2"/>
      <c r="R64" s="7">
        <f t="shared" si="24"/>
        <v>0</v>
      </c>
      <c r="S64" s="2"/>
      <c r="T64" s="6">
        <v>-600</v>
      </c>
      <c r="U64" s="2"/>
      <c r="V64" s="7">
        <f t="shared" si="25"/>
        <v>-5.0125313283208017E-3</v>
      </c>
      <c r="W64" s="2"/>
      <c r="X64" s="6">
        <f t="shared" si="26"/>
        <v>600</v>
      </c>
      <c r="Y64" s="2"/>
      <c r="Z64" s="7">
        <f t="shared" si="27"/>
        <v>-1</v>
      </c>
    </row>
    <row r="65" spans="1:26" s="26" customFormat="1" outlineLevel="1" collapsed="1" x14ac:dyDescent="0.25">
      <c r="A65" s="25"/>
      <c r="B65" s="13" t="str">
        <f>CONCATENATE("     ","General                                           ")</f>
        <v xml:space="preserve">     General                                           </v>
      </c>
      <c r="C65" s="13"/>
      <c r="D65" s="1">
        <f>SUM(OSRRefD22_8x_0)</f>
        <v>0</v>
      </c>
      <c r="E65" s="1"/>
      <c r="F65" s="5">
        <f t="shared" si="20"/>
        <v>0</v>
      </c>
      <c r="G65" s="1"/>
      <c r="H65" s="1">
        <f>SUM(OSRRefH22_8x_0)</f>
        <v>200</v>
      </c>
      <c r="I65" s="1"/>
      <c r="J65" s="5">
        <f t="shared" si="21"/>
        <v>1.8467220683287165E-3</v>
      </c>
      <c r="K65" s="1"/>
      <c r="L65" s="1">
        <f t="shared" si="22"/>
        <v>-200</v>
      </c>
      <c r="M65" s="1"/>
      <c r="N65" s="5">
        <f t="shared" si="23"/>
        <v>-1</v>
      </c>
      <c r="O65" s="13"/>
      <c r="P65" s="1">
        <f>SUM(OSRRefP22_8x_0)</f>
        <v>0</v>
      </c>
      <c r="Q65" s="1"/>
      <c r="R65" s="5">
        <f t="shared" si="24"/>
        <v>0</v>
      </c>
      <c r="S65" s="1"/>
      <c r="T65" s="1">
        <f>SUM(OSRRefT22_8x_0)</f>
        <v>400</v>
      </c>
      <c r="U65" s="1"/>
      <c r="V65" s="5">
        <f t="shared" si="25"/>
        <v>3.3416875522138678E-3</v>
      </c>
      <c r="W65" s="1"/>
      <c r="X65" s="1">
        <f t="shared" si="26"/>
        <v>-400</v>
      </c>
      <c r="Y65" s="1"/>
      <c r="Z65" s="5">
        <f t="shared" si="27"/>
        <v>-1</v>
      </c>
    </row>
    <row r="66" spans="1:26" s="24" customFormat="1" hidden="1" outlineLevel="2" x14ac:dyDescent="0.25">
      <c r="A66" s="27"/>
      <c r="B66" s="11" t="str">
        <f>CONCATENATE("          ", "6279", " - ", "GENERAL EXPENSE")</f>
        <v xml:space="preserve">          6279 - GENERAL EXPENSE</v>
      </c>
      <c r="C66" s="11"/>
      <c r="D66" s="6"/>
      <c r="E66" s="2"/>
      <c r="F66" s="7">
        <f t="shared" si="20"/>
        <v>0</v>
      </c>
      <c r="G66" s="2"/>
      <c r="H66" s="6">
        <v>200</v>
      </c>
      <c r="I66" s="2"/>
      <c r="J66" s="7">
        <f t="shared" si="21"/>
        <v>1.8467220683287165E-3</v>
      </c>
      <c r="K66" s="2"/>
      <c r="L66" s="6">
        <f t="shared" si="22"/>
        <v>-200</v>
      </c>
      <c r="M66" s="2"/>
      <c r="N66" s="7">
        <f t="shared" si="23"/>
        <v>-1</v>
      </c>
      <c r="O66" s="11"/>
      <c r="P66" s="6"/>
      <c r="Q66" s="2"/>
      <c r="R66" s="7">
        <f t="shared" si="24"/>
        <v>0</v>
      </c>
      <c r="S66" s="2"/>
      <c r="T66" s="6">
        <v>400</v>
      </c>
      <c r="U66" s="2"/>
      <c r="V66" s="7">
        <f t="shared" si="25"/>
        <v>3.3416875522138678E-3</v>
      </c>
      <c r="W66" s="2"/>
      <c r="X66" s="6">
        <f t="shared" si="26"/>
        <v>-400</v>
      </c>
      <c r="Y66" s="2"/>
      <c r="Z66" s="7">
        <f t="shared" si="27"/>
        <v>-1</v>
      </c>
    </row>
    <row r="67" spans="1:26" s="26" customFormat="1" outlineLevel="1" collapsed="1" x14ac:dyDescent="0.25">
      <c r="A67" s="25"/>
      <c r="B67" s="13" t="str">
        <f>CONCATENATE("     ","Repair and Maintenance                            ")</f>
        <v xml:space="preserve">     Repair and Maintenance                            </v>
      </c>
      <c r="C67" s="13"/>
      <c r="D67" s="1">
        <f>SUM(OSRRefD22_9x_0)</f>
        <v>5867.62</v>
      </c>
      <c r="E67" s="1"/>
      <c r="F67" s="5">
        <f t="shared" si="20"/>
        <v>6.1203819832990773E-2</v>
      </c>
      <c r="G67" s="1"/>
      <c r="H67" s="1">
        <f>SUM(OSRRefH22_9x_0)</f>
        <v>7000</v>
      </c>
      <c r="I67" s="1"/>
      <c r="J67" s="5">
        <f t="shared" si="21"/>
        <v>6.4635272391505072E-2</v>
      </c>
      <c r="K67" s="1"/>
      <c r="L67" s="1">
        <f t="shared" si="22"/>
        <v>-1132.3800000000001</v>
      </c>
      <c r="M67" s="1"/>
      <c r="N67" s="5">
        <f t="shared" si="23"/>
        <v>-0.16176857142857146</v>
      </c>
      <c r="O67" s="13"/>
      <c r="P67" s="1">
        <f>SUM(OSRRefP22_9x_0)</f>
        <v>11810.02</v>
      </c>
      <c r="Q67" s="1"/>
      <c r="R67" s="5">
        <f t="shared" si="24"/>
        <v>0.1150794451211806</v>
      </c>
      <c r="S67" s="1"/>
      <c r="T67" s="1">
        <f>SUM(OSRRefT22_9x_0)</f>
        <v>14000</v>
      </c>
      <c r="U67" s="1"/>
      <c r="V67" s="5">
        <f t="shared" si="25"/>
        <v>0.11695906432748537</v>
      </c>
      <c r="W67" s="1"/>
      <c r="X67" s="1">
        <f t="shared" si="26"/>
        <v>-2189.9799999999996</v>
      </c>
      <c r="Y67" s="1"/>
      <c r="Z67" s="5">
        <f t="shared" si="27"/>
        <v>-0.15642714285714282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5867.62</v>
      </c>
      <c r="E68" s="2"/>
      <c r="F68" s="7">
        <f t="shared" si="20"/>
        <v>6.1203819832990773E-2</v>
      </c>
      <c r="G68" s="2"/>
      <c r="H68" s="6">
        <v>7000</v>
      </c>
      <c r="I68" s="2"/>
      <c r="J68" s="7">
        <f t="shared" si="21"/>
        <v>6.4635272391505072E-2</v>
      </c>
      <c r="K68" s="2"/>
      <c r="L68" s="6">
        <f t="shared" si="22"/>
        <v>-1132.3800000000001</v>
      </c>
      <c r="M68" s="2"/>
      <c r="N68" s="7">
        <f t="shared" si="23"/>
        <v>-0.16176857142857146</v>
      </c>
      <c r="O68" s="11"/>
      <c r="P68" s="6">
        <v>11810.02</v>
      </c>
      <c r="Q68" s="2"/>
      <c r="R68" s="7">
        <f t="shared" si="24"/>
        <v>0.1150794451211806</v>
      </c>
      <c r="S68" s="2"/>
      <c r="T68" s="6">
        <v>14000</v>
      </c>
      <c r="U68" s="2"/>
      <c r="V68" s="7">
        <f t="shared" si="25"/>
        <v>0.11695906432748537</v>
      </c>
      <c r="W68" s="2"/>
      <c r="X68" s="6">
        <f t="shared" si="26"/>
        <v>-2189.9799999999996</v>
      </c>
      <c r="Y68" s="2"/>
      <c r="Z68" s="7">
        <f t="shared" si="27"/>
        <v>-0.15642714285714282</v>
      </c>
    </row>
    <row r="69" spans="1:26" s="26" customFormat="1" outlineLevel="1" collapsed="1" x14ac:dyDescent="0.25">
      <c r="A69" s="25"/>
      <c r="B69" s="13" t="str">
        <f>CONCATENATE("     ","Royalty &amp; Commissions                             ")</f>
        <v xml:space="preserve">     Royalty &amp; Commissions                             </v>
      </c>
      <c r="C69" s="13"/>
      <c r="D69" s="1">
        <f>SUM(OSRRefD22_10x_0)</f>
        <v>3649.17</v>
      </c>
      <c r="E69" s="1"/>
      <c r="F69" s="5">
        <f t="shared" si="20"/>
        <v>3.8063668611797448E-2</v>
      </c>
      <c r="G69" s="1"/>
      <c r="H69" s="1">
        <f>SUM(OSRRefH22_10x_0)</f>
        <v>11000</v>
      </c>
      <c r="I69" s="1"/>
      <c r="J69" s="5">
        <f t="shared" si="21"/>
        <v>0.10156971375807941</v>
      </c>
      <c r="K69" s="1"/>
      <c r="L69" s="1">
        <f t="shared" si="22"/>
        <v>-7350.83</v>
      </c>
      <c r="M69" s="1"/>
      <c r="N69" s="5">
        <f t="shared" si="23"/>
        <v>-0.66825727272727276</v>
      </c>
      <c r="O69" s="13"/>
      <c r="P69" s="1">
        <f>SUM(OSRRefP22_10x_0)</f>
        <v>4254.18</v>
      </c>
      <c r="Q69" s="1"/>
      <c r="R69" s="5">
        <f t="shared" si="24"/>
        <v>4.1453670175463211E-2</v>
      </c>
      <c r="S69" s="1"/>
      <c r="T69" s="1">
        <f>SUM(OSRRefT22_10x_0)</f>
        <v>22000</v>
      </c>
      <c r="U69" s="1"/>
      <c r="V69" s="5">
        <f t="shared" si="25"/>
        <v>0.18379281537176273</v>
      </c>
      <c r="W69" s="1"/>
      <c r="X69" s="1">
        <f t="shared" si="26"/>
        <v>-17745.82</v>
      </c>
      <c r="Y69" s="1"/>
      <c r="Z69" s="5">
        <f t="shared" si="27"/>
        <v>-0.80662818181818186</v>
      </c>
    </row>
    <row r="70" spans="1:26" s="24" customFormat="1" hidden="1" outlineLevel="2" x14ac:dyDescent="0.25">
      <c r="A70" s="27"/>
      <c r="B70" s="11" t="str">
        <f>CONCATENATE("          ", "6254", " - ", "ROYALTY &amp; COMMISSIONS")</f>
        <v xml:space="preserve">          6254 - ROYALTY &amp; COMMISSIONS</v>
      </c>
      <c r="C70" s="11"/>
      <c r="D70" s="6"/>
      <c r="E70" s="2"/>
      <c r="F70" s="7">
        <f t="shared" si="20"/>
        <v>0</v>
      </c>
      <c r="G70" s="2"/>
      <c r="H70" s="6">
        <v>11000</v>
      </c>
      <c r="I70" s="2"/>
      <c r="J70" s="7">
        <f t="shared" si="21"/>
        <v>0.10156971375807941</v>
      </c>
      <c r="K70" s="2"/>
      <c r="L70" s="6">
        <f t="shared" si="22"/>
        <v>-11000</v>
      </c>
      <c r="M70" s="2"/>
      <c r="N70" s="7">
        <f t="shared" si="23"/>
        <v>-1</v>
      </c>
      <c r="O70" s="11"/>
      <c r="P70" s="6"/>
      <c r="Q70" s="2"/>
      <c r="R70" s="7">
        <f t="shared" si="24"/>
        <v>0</v>
      </c>
      <c r="S70" s="2"/>
      <c r="T70" s="6">
        <v>22000</v>
      </c>
      <c r="U70" s="2"/>
      <c r="V70" s="7">
        <f t="shared" si="25"/>
        <v>0.18379281537176273</v>
      </c>
      <c r="W70" s="2"/>
      <c r="X70" s="6">
        <f t="shared" si="26"/>
        <v>-22000</v>
      </c>
      <c r="Y70" s="2"/>
      <c r="Z70" s="7">
        <f t="shared" si="27"/>
        <v>-1</v>
      </c>
    </row>
    <row r="71" spans="1:26" s="24" customFormat="1" hidden="1" outlineLevel="2" x14ac:dyDescent="0.25">
      <c r="A71" s="27"/>
      <c r="B71" s="11" t="str">
        <f>CONCATENATE("          ", "6259", " - ", "ROYALTY &amp; COMMISSIONS")</f>
        <v xml:space="preserve">          6259 - ROYALTY &amp; COMMISSIONS</v>
      </c>
      <c r="C71" s="11"/>
      <c r="D71" s="6">
        <v>3649.17</v>
      </c>
      <c r="E71" s="2"/>
      <c r="F71" s="7">
        <f t="shared" si="20"/>
        <v>3.8063668611797448E-2</v>
      </c>
      <c r="G71" s="2"/>
      <c r="H71" s="6"/>
      <c r="I71" s="2"/>
      <c r="J71" s="7">
        <f t="shared" si="21"/>
        <v>0</v>
      </c>
      <c r="K71" s="2"/>
      <c r="L71" s="6">
        <f t="shared" si="22"/>
        <v>3649.17</v>
      </c>
      <c r="M71" s="2"/>
      <c r="N71" s="7">
        <f t="shared" si="23"/>
        <v>0</v>
      </c>
      <c r="O71" s="11"/>
      <c r="P71" s="6">
        <v>4254.18</v>
      </c>
      <c r="Q71" s="2"/>
      <c r="R71" s="7">
        <f t="shared" si="24"/>
        <v>4.1453670175463211E-2</v>
      </c>
      <c r="S71" s="2"/>
      <c r="T71" s="6"/>
      <c r="U71" s="2"/>
      <c r="V71" s="7">
        <f t="shared" si="25"/>
        <v>0</v>
      </c>
      <c r="W71" s="2"/>
      <c r="X71" s="6">
        <f t="shared" si="26"/>
        <v>4254.18</v>
      </c>
      <c r="Y71" s="2"/>
      <c r="Z71" s="7">
        <f t="shared" si="27"/>
        <v>0</v>
      </c>
    </row>
    <row r="72" spans="1:26" s="26" customFormat="1" outlineLevel="1" collapsed="1" x14ac:dyDescent="0.25">
      <c r="A72" s="25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SUM(OSRRefD22_11x_0)</f>
        <v>3399.9700000000003</v>
      </c>
      <c r="E72" s="1"/>
      <c r="F72" s="5">
        <f t="shared" ref="F72:F76" si="28">IF(D$12=0,0,D72/D$12)</f>
        <v>3.5464319659005469E-2</v>
      </c>
      <c r="G72" s="1"/>
      <c r="H72" s="1">
        <f>SUM(OSRRefH22_11x_0)</f>
        <v>6750</v>
      </c>
      <c r="I72" s="1"/>
      <c r="J72" s="5">
        <f t="shared" ref="J72:J76" si="29">IF(H$12=0,0,H72/H$12)</f>
        <v>6.2326869806094184E-2</v>
      </c>
      <c r="K72" s="1"/>
      <c r="L72" s="1">
        <f t="shared" ref="L72:L76" si="30">+D72-H72</f>
        <v>-3350.0299999999997</v>
      </c>
      <c r="M72" s="1"/>
      <c r="N72" s="5">
        <f t="shared" ref="N72:N76" si="31">IF(H72=0,0,L72/H72)</f>
        <v>-0.49630074074074071</v>
      </c>
      <c r="O72" s="13"/>
      <c r="P72" s="1">
        <f>SUM(OSRRefP22_11x_0)</f>
        <v>5310.34</v>
      </c>
      <c r="Q72" s="1"/>
      <c r="R72" s="5">
        <f t="shared" ref="R72:R76" si="32">IF(P$12=0,0,P72/P$12)</f>
        <v>5.1745126647102214E-2</v>
      </c>
      <c r="S72" s="1"/>
      <c r="T72" s="1">
        <f>SUM(OSRRefT22_11x_0)</f>
        <v>9000</v>
      </c>
      <c r="U72" s="1"/>
      <c r="V72" s="5">
        <f t="shared" ref="V72:V76" si="33">IF(T$12=0,0,T72/T$12)</f>
        <v>7.5187969924812026E-2</v>
      </c>
      <c r="W72" s="1"/>
      <c r="X72" s="1">
        <f t="shared" ref="X72:X76" si="34">+P72-T72</f>
        <v>-3689.66</v>
      </c>
      <c r="Y72" s="1"/>
      <c r="Z72" s="5">
        <f t="shared" ref="Z72:Z76" si="35">IF(T72=0,0,X72/T72)</f>
        <v>-0.40996222222222223</v>
      </c>
    </row>
    <row r="73" spans="1:26" s="24" customFormat="1" hidden="1" outlineLevel="2" x14ac:dyDescent="0.25">
      <c r="A73" s="27"/>
      <c r="B73" s="11" t="str">
        <f>CONCATENATE("          ", "6234", " - ", "EXPENDABLE SUPPLIES &amp; EQUIPMEN")</f>
        <v xml:space="preserve">          6234 - EXPENDABLE SUPPLIES &amp; EQUIPMEN</v>
      </c>
      <c r="C73" s="11"/>
      <c r="D73" s="6">
        <v>1000</v>
      </c>
      <c r="E73" s="2"/>
      <c r="F73" s="7">
        <f t="shared" si="28"/>
        <v>1.0430774288892391E-2</v>
      </c>
      <c r="G73" s="2"/>
      <c r="H73" s="6"/>
      <c r="I73" s="2"/>
      <c r="J73" s="7">
        <f t="shared" si="29"/>
        <v>0</v>
      </c>
      <c r="K73" s="2"/>
      <c r="L73" s="6">
        <f t="shared" si="30"/>
        <v>1000</v>
      </c>
      <c r="M73" s="2"/>
      <c r="N73" s="7">
        <f t="shared" si="31"/>
        <v>0</v>
      </c>
      <c r="O73" s="11"/>
      <c r="P73" s="6">
        <v>1017.27</v>
      </c>
      <c r="Q73" s="2"/>
      <c r="R73" s="7">
        <f t="shared" si="32"/>
        <v>9.9125037162022898E-3</v>
      </c>
      <c r="S73" s="2"/>
      <c r="T73" s="6"/>
      <c r="U73" s="2"/>
      <c r="V73" s="7">
        <f t="shared" si="33"/>
        <v>0</v>
      </c>
      <c r="W73" s="2"/>
      <c r="X73" s="6">
        <f t="shared" si="34"/>
        <v>1017.27</v>
      </c>
      <c r="Y73" s="2"/>
      <c r="Z73" s="7">
        <f t="shared" si="35"/>
        <v>0</v>
      </c>
    </row>
    <row r="74" spans="1:26" s="24" customFormat="1" hidden="1" outlineLevel="2" x14ac:dyDescent="0.25">
      <c r="A74" s="27"/>
      <c r="B74" s="11" t="str">
        <f>CONCATENATE("          ", "6243", " - ", "PAPER SUPPLIES")</f>
        <v xml:space="preserve">          6243 - PAPER SUPPLIES</v>
      </c>
      <c r="C74" s="11"/>
      <c r="D74" s="6">
        <v>1496.95</v>
      </c>
      <c r="E74" s="2"/>
      <c r="F74" s="7">
        <f t="shared" si="28"/>
        <v>1.5614347571757467E-2</v>
      </c>
      <c r="G74" s="2"/>
      <c r="H74" s="6">
        <v>250</v>
      </c>
      <c r="I74" s="2"/>
      <c r="J74" s="7">
        <f t="shared" si="29"/>
        <v>2.3084025854108957E-3</v>
      </c>
      <c r="K74" s="2"/>
      <c r="L74" s="6">
        <f t="shared" si="30"/>
        <v>1246.95</v>
      </c>
      <c r="M74" s="2"/>
      <c r="N74" s="7">
        <f t="shared" si="31"/>
        <v>4.9878</v>
      </c>
      <c r="O74" s="11"/>
      <c r="P74" s="6">
        <v>2658.29</v>
      </c>
      <c r="Q74" s="2"/>
      <c r="R74" s="7">
        <f t="shared" si="32"/>
        <v>2.5902965293131013E-2</v>
      </c>
      <c r="S74" s="2"/>
      <c r="T74" s="6">
        <v>500</v>
      </c>
      <c r="U74" s="2"/>
      <c r="V74" s="7">
        <f t="shared" si="33"/>
        <v>4.1771094402673348E-3</v>
      </c>
      <c r="W74" s="2"/>
      <c r="X74" s="6">
        <f t="shared" si="34"/>
        <v>2158.29</v>
      </c>
      <c r="Y74" s="2"/>
      <c r="Z74" s="7">
        <f t="shared" si="35"/>
        <v>4.3165800000000001</v>
      </c>
    </row>
    <row r="75" spans="1:26" s="24" customFormat="1" hidden="1" outlineLevel="2" x14ac:dyDescent="0.25">
      <c r="A75" s="27"/>
      <c r="B75" s="11" t="str">
        <f>CONCATENATE("          ", "6245", " - ", "PRINTING")</f>
        <v xml:space="preserve">          6245 - PRINTING</v>
      </c>
      <c r="C75" s="11"/>
      <c r="D75" s="6">
        <v>-12.7</v>
      </c>
      <c r="E75" s="2"/>
      <c r="F75" s="7">
        <f t="shared" si="28"/>
        <v>-1.3247083346893337E-4</v>
      </c>
      <c r="G75" s="2"/>
      <c r="H75" s="6"/>
      <c r="I75" s="2"/>
      <c r="J75" s="7">
        <f t="shared" si="29"/>
        <v>0</v>
      </c>
      <c r="K75" s="2"/>
      <c r="L75" s="6">
        <f t="shared" si="30"/>
        <v>-12.7</v>
      </c>
      <c r="M75" s="2"/>
      <c r="N75" s="7">
        <f t="shared" si="31"/>
        <v>0</v>
      </c>
      <c r="O75" s="11"/>
      <c r="P75" s="6">
        <v>-12.7</v>
      </c>
      <c r="Q75" s="2"/>
      <c r="R75" s="7">
        <f t="shared" si="32"/>
        <v>-1.2375160694384882E-4</v>
      </c>
      <c r="S75" s="2"/>
      <c r="T75" s="6"/>
      <c r="U75" s="2"/>
      <c r="V75" s="7">
        <f t="shared" si="33"/>
        <v>0</v>
      </c>
      <c r="W75" s="2"/>
      <c r="X75" s="6">
        <f t="shared" si="34"/>
        <v>-12.7</v>
      </c>
      <c r="Y75" s="2"/>
      <c r="Z75" s="7">
        <f t="shared" si="35"/>
        <v>0</v>
      </c>
    </row>
    <row r="76" spans="1:26" s="24" customFormat="1" hidden="1" outlineLevel="2" x14ac:dyDescent="0.25">
      <c r="A76" s="27"/>
      <c r="B76" s="11" t="str">
        <f>CONCATENATE("          ", "6247", " - ", "STORE SUPPLIES")</f>
        <v xml:space="preserve">          6247 - STORE SUPPLIES</v>
      </c>
      <c r="C76" s="11"/>
      <c r="D76" s="6">
        <v>915.72</v>
      </c>
      <c r="E76" s="2"/>
      <c r="F76" s="7">
        <f t="shared" si="28"/>
        <v>9.5516686318245416E-3</v>
      </c>
      <c r="G76" s="2"/>
      <c r="H76" s="6">
        <v>6500</v>
      </c>
      <c r="I76" s="2"/>
      <c r="J76" s="7">
        <f t="shared" si="29"/>
        <v>6.001846722068329E-2</v>
      </c>
      <c r="K76" s="2"/>
      <c r="L76" s="6">
        <f t="shared" si="30"/>
        <v>-5584.28</v>
      </c>
      <c r="M76" s="2"/>
      <c r="N76" s="7">
        <f t="shared" si="31"/>
        <v>-0.85911999999999999</v>
      </c>
      <c r="O76" s="11"/>
      <c r="P76" s="6">
        <v>1647.48</v>
      </c>
      <c r="Q76" s="2"/>
      <c r="R76" s="7">
        <f t="shared" si="32"/>
        <v>1.6053409244712762E-2</v>
      </c>
      <c r="S76" s="2"/>
      <c r="T76" s="6">
        <v>8500</v>
      </c>
      <c r="U76" s="2"/>
      <c r="V76" s="7">
        <f t="shared" si="33"/>
        <v>7.1010860484544691E-2</v>
      </c>
      <c r="W76" s="2"/>
      <c r="X76" s="6">
        <f t="shared" si="34"/>
        <v>-6852.52</v>
      </c>
      <c r="Y76" s="2"/>
      <c r="Z76" s="7">
        <f t="shared" si="35"/>
        <v>-0.80617882352941184</v>
      </c>
    </row>
    <row r="77" spans="1:26" s="26" customFormat="1" outlineLevel="1" collapsed="1" x14ac:dyDescent="0.25">
      <c r="A77" s="25"/>
      <c r="B77" s="13" t="str">
        <f>CONCATENATE("     ","Telephone/Data Lines                              ")</f>
        <v xml:space="preserve">     Telephone/Data Lines                              </v>
      </c>
      <c r="C77" s="13"/>
      <c r="D77" s="1">
        <f>SUM(OSRRefD22_12x_0)</f>
        <v>157.1</v>
      </c>
      <c r="E77" s="1"/>
      <c r="F77" s="5">
        <f t="shared" ref="F77:F79" si="36">IF(D$12=0,0,D77/D$12)</f>
        <v>1.6386746407849946E-3</v>
      </c>
      <c r="G77" s="1"/>
      <c r="H77" s="1">
        <f>SUM(OSRRefH22_12x_0)</f>
        <v>200</v>
      </c>
      <c r="I77" s="1"/>
      <c r="J77" s="5">
        <f t="shared" ref="J77:J79" si="37">IF(H$12=0,0,H77/H$12)</f>
        <v>1.8467220683287165E-3</v>
      </c>
      <c r="K77" s="1"/>
      <c r="L77" s="1">
        <f t="shared" ref="L77:L79" si="38">+D77-H77</f>
        <v>-42.900000000000006</v>
      </c>
      <c r="M77" s="1"/>
      <c r="N77" s="5">
        <f t="shared" ref="N77:N79" si="39">IF(H77=0,0,L77/H77)</f>
        <v>-0.21450000000000002</v>
      </c>
      <c r="O77" s="13"/>
      <c r="P77" s="1">
        <f>SUM(OSRRefP22_12x_0)</f>
        <v>245.75</v>
      </c>
      <c r="Q77" s="1"/>
      <c r="R77" s="5">
        <f t="shared" ref="R77:R79" si="40">IF(P$12=0,0,P77/P$12)</f>
        <v>2.3946423154685707E-3</v>
      </c>
      <c r="S77" s="1"/>
      <c r="T77" s="1">
        <f>SUM(OSRRefT22_12x_0)</f>
        <v>400</v>
      </c>
      <c r="U77" s="1"/>
      <c r="V77" s="5">
        <f t="shared" ref="V77:V79" si="41">IF(T$12=0,0,T77/T$12)</f>
        <v>3.3416875522138678E-3</v>
      </c>
      <c r="W77" s="1"/>
      <c r="X77" s="1">
        <f t="shared" ref="X77:X79" si="42">+P77-T77</f>
        <v>-154.25</v>
      </c>
      <c r="Y77" s="1"/>
      <c r="Z77" s="5">
        <f t="shared" ref="Z77:Z79" si="43">IF(T77=0,0,X77/T77)</f>
        <v>-0.385625</v>
      </c>
    </row>
    <row r="78" spans="1:26" s="24" customFormat="1" hidden="1" outlineLevel="2" x14ac:dyDescent="0.25">
      <c r="A78" s="27"/>
      <c r="B78" s="11" t="str">
        <f>CONCATENATE("          ", "6303", " - ", "DATA PHONE LINES")</f>
        <v xml:space="preserve">          6303 - DATA PHONE LINES</v>
      </c>
      <c r="C78" s="11"/>
      <c r="D78" s="6"/>
      <c r="E78" s="2"/>
      <c r="F78" s="7">
        <f t="shared" si="36"/>
        <v>0</v>
      </c>
      <c r="G78" s="2"/>
      <c r="H78" s="6">
        <v>200</v>
      </c>
      <c r="I78" s="2"/>
      <c r="J78" s="7">
        <f t="shared" si="37"/>
        <v>1.8467220683287165E-3</v>
      </c>
      <c r="K78" s="2"/>
      <c r="L78" s="6">
        <f t="shared" si="38"/>
        <v>-200</v>
      </c>
      <c r="M78" s="2"/>
      <c r="N78" s="7">
        <f t="shared" si="39"/>
        <v>-1</v>
      </c>
      <c r="O78" s="11"/>
      <c r="P78" s="6"/>
      <c r="Q78" s="2"/>
      <c r="R78" s="7">
        <f t="shared" si="40"/>
        <v>0</v>
      </c>
      <c r="S78" s="2"/>
      <c r="T78" s="6">
        <v>400</v>
      </c>
      <c r="U78" s="2"/>
      <c r="V78" s="7">
        <f t="shared" si="41"/>
        <v>3.3416875522138678E-3</v>
      </c>
      <c r="W78" s="2"/>
      <c r="X78" s="6">
        <f t="shared" si="42"/>
        <v>-400</v>
      </c>
      <c r="Y78" s="2"/>
      <c r="Z78" s="7">
        <f t="shared" si="43"/>
        <v>-1</v>
      </c>
    </row>
    <row r="79" spans="1:26" s="24" customFormat="1" hidden="1" outlineLevel="2" x14ac:dyDescent="0.25">
      <c r="A79" s="27"/>
      <c r="B79" s="11" t="str">
        <f>CONCATENATE("          ", "6309", " - ", "TELEPHONE")</f>
        <v xml:space="preserve">          6309 - TELEPHONE</v>
      </c>
      <c r="C79" s="11"/>
      <c r="D79" s="6">
        <v>157.1</v>
      </c>
      <c r="E79" s="2"/>
      <c r="F79" s="7">
        <f t="shared" si="36"/>
        <v>1.6386746407849946E-3</v>
      </c>
      <c r="G79" s="2"/>
      <c r="H79" s="6"/>
      <c r="I79" s="2"/>
      <c r="J79" s="7">
        <f t="shared" si="37"/>
        <v>0</v>
      </c>
      <c r="K79" s="2"/>
      <c r="L79" s="6">
        <f t="shared" si="38"/>
        <v>157.1</v>
      </c>
      <c r="M79" s="2"/>
      <c r="N79" s="7">
        <f t="shared" si="39"/>
        <v>0</v>
      </c>
      <c r="O79" s="11"/>
      <c r="P79" s="6">
        <v>245.75</v>
      </c>
      <c r="Q79" s="2"/>
      <c r="R79" s="7">
        <f t="shared" si="40"/>
        <v>2.3946423154685707E-3</v>
      </c>
      <c r="S79" s="2"/>
      <c r="T79" s="6"/>
      <c r="U79" s="2"/>
      <c r="V79" s="7">
        <f t="shared" si="41"/>
        <v>0</v>
      </c>
      <c r="W79" s="2"/>
      <c r="X79" s="6">
        <f t="shared" si="42"/>
        <v>245.75</v>
      </c>
      <c r="Y79" s="2"/>
      <c r="Z79" s="7">
        <f t="shared" si="43"/>
        <v>0</v>
      </c>
    </row>
    <row r="80" spans="1:26" s="63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8" t="s">
        <v>0</v>
      </c>
      <c r="C81" s="10"/>
      <c r="D81" s="4">
        <f>SUM(OSRRefD25x_0)</f>
        <v>13269</v>
      </c>
      <c r="E81" s="4"/>
      <c r="F81" s="12">
        <f t="shared" ref="F81:F83" si="44">IF(D$12=0,0,D81/D$12)</f>
        <v>0.13840594403931314</v>
      </c>
      <c r="G81" s="4"/>
      <c r="H81" s="4">
        <f>SUM(OSRRefH25x_0)</f>
        <v>12250</v>
      </c>
      <c r="I81" s="4"/>
      <c r="J81" s="12">
        <f t="shared" ref="J81:J83" si="45">IF(H$12=0,0,H81/H$12)</f>
        <v>0.11311172668513389</v>
      </c>
      <c r="K81" s="4"/>
      <c r="L81" s="4">
        <f t="shared" ref="L81:L83" si="46">+D81-H81</f>
        <v>1019</v>
      </c>
      <c r="M81" s="4"/>
      <c r="N81" s="12">
        <f t="shared" ref="N81:N83" si="47">IF(H81=0,0,L81/H81)</f>
        <v>8.3183673469387751E-2</v>
      </c>
      <c r="O81" s="10"/>
      <c r="P81" s="4">
        <f>SUM(OSRRefP25x_0)</f>
        <v>26538</v>
      </c>
      <c r="Q81" s="4"/>
      <c r="R81" s="12">
        <f t="shared" ref="R81:R83" si="48">IF(P$12=0,0,P81/P$12)</f>
        <v>0.25859213740754805</v>
      </c>
      <c r="S81" s="4"/>
      <c r="T81" s="4">
        <f>SUM(OSRRefT25x_0)</f>
        <v>24500</v>
      </c>
      <c r="U81" s="4"/>
      <c r="V81" s="12">
        <f t="shared" ref="V81:V83" si="49">IF(T$12=0,0,T81/T$12)</f>
        <v>0.2046783625730994</v>
      </c>
      <c r="W81" s="4"/>
      <c r="X81" s="4">
        <f t="shared" ref="X81:X83" si="50">+P81-T81</f>
        <v>2038</v>
      </c>
      <c r="Y81" s="4"/>
      <c r="Z81" s="12">
        <f t="shared" ref="Z81:Z83" si="51">IF(T81=0,0,X81/T81)</f>
        <v>8.3183673469387751E-2</v>
      </c>
    </row>
    <row r="82" spans="1:26" s="24" customFormat="1" hidden="1" outlineLevel="1" x14ac:dyDescent="0.25">
      <c r="A82" s="46"/>
      <c r="B82" s="11" t="str">
        <f>CONCATENATE("          ", "9150", " - ", "MISC. INCOME")</f>
        <v xml:space="preserve">          9150 - MISC. INCOME</v>
      </c>
      <c r="C82" s="11"/>
      <c r="D82" s="2">
        <f>--13269</f>
        <v>13269</v>
      </c>
      <c r="E82" s="2"/>
      <c r="F82" s="21">
        <f t="shared" si="44"/>
        <v>0.13840594403931314</v>
      </c>
      <c r="G82" s="2"/>
      <c r="H82" s="2">
        <v>12250</v>
      </c>
      <c r="I82" s="2"/>
      <c r="J82" s="21">
        <f t="shared" si="45"/>
        <v>0.11311172668513389</v>
      </c>
      <c r="K82" s="2"/>
      <c r="L82" s="2">
        <f t="shared" si="46"/>
        <v>1019</v>
      </c>
      <c r="M82" s="2"/>
      <c r="N82" s="21">
        <f t="shared" si="47"/>
        <v>8.3183673469387751E-2</v>
      </c>
      <c r="O82" s="11"/>
      <c r="P82" s="2">
        <f>--26538</f>
        <v>26538</v>
      </c>
      <c r="Q82" s="2"/>
      <c r="R82" s="21">
        <f t="shared" si="48"/>
        <v>0.25859213740754805</v>
      </c>
      <c r="S82" s="2"/>
      <c r="T82" s="2">
        <v>12250</v>
      </c>
      <c r="U82" s="2"/>
      <c r="V82" s="21">
        <f t="shared" si="49"/>
        <v>0.1023391812865497</v>
      </c>
      <c r="W82" s="2"/>
      <c r="X82" s="2">
        <f t="shared" si="50"/>
        <v>14288</v>
      </c>
      <c r="Y82" s="2"/>
      <c r="Z82" s="21">
        <f t="shared" si="51"/>
        <v>1.1663673469387754</v>
      </c>
    </row>
    <row r="83" spans="1:26" s="24" customFormat="1" hidden="1" outlineLevel="1" x14ac:dyDescent="0.25">
      <c r="A83" s="46"/>
      <c r="B83" s="11" t="str">
        <f>CONCATENATE("          ", "9151", " - ", "MISC. INCOME")</f>
        <v xml:space="preserve">          9151 - MISC. INCOME</v>
      </c>
      <c r="C83" s="11"/>
      <c r="D83" s="2">
        <f>0</f>
        <v>0</v>
      </c>
      <c r="E83" s="2"/>
      <c r="F83" s="21">
        <f t="shared" si="44"/>
        <v>0</v>
      </c>
      <c r="G83" s="2"/>
      <c r="H83" s="2"/>
      <c r="I83" s="2"/>
      <c r="J83" s="21">
        <f t="shared" si="45"/>
        <v>0</v>
      </c>
      <c r="K83" s="2"/>
      <c r="L83" s="2">
        <f t="shared" si="46"/>
        <v>0</v>
      </c>
      <c r="M83" s="2"/>
      <c r="N83" s="21">
        <f t="shared" si="47"/>
        <v>0</v>
      </c>
      <c r="O83" s="11"/>
      <c r="P83" s="2">
        <f>0</f>
        <v>0</v>
      </c>
      <c r="Q83" s="2"/>
      <c r="R83" s="21">
        <f t="shared" si="48"/>
        <v>0</v>
      </c>
      <c r="S83" s="2"/>
      <c r="T83" s="2">
        <v>12250</v>
      </c>
      <c r="U83" s="2"/>
      <c r="V83" s="21">
        <f t="shared" si="49"/>
        <v>0.1023391812865497</v>
      </c>
      <c r="W83" s="2"/>
      <c r="X83" s="2">
        <f t="shared" si="50"/>
        <v>-12250</v>
      </c>
      <c r="Y83" s="2"/>
      <c r="Z83" s="21">
        <f t="shared" si="51"/>
        <v>-1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2">
        <f>+D29-D31+D81</f>
        <v>70740.99000000002</v>
      </c>
      <c r="E85" s="14"/>
      <c r="F85" s="20">
        <f>IF(D$12=0,0,D85/D$12)</f>
        <v>0.73788329966279398</v>
      </c>
      <c r="G85" s="14"/>
      <c r="H85" s="22">
        <f>+H29-H31+H81</f>
        <v>69708.207588355042</v>
      </c>
      <c r="I85" s="14"/>
      <c r="J85" s="20">
        <f>IF(H$12=0,0,H85/H$12)</f>
        <v>0.64365842648527283</v>
      </c>
      <c r="K85" s="15"/>
      <c r="L85" s="22">
        <f>+D85-H85</f>
        <v>1032.7824116449774</v>
      </c>
      <c r="M85" s="15"/>
      <c r="N85" s="20">
        <f>IF(H85=0,0,L85/H85)</f>
        <v>1.4815793539604749E-2</v>
      </c>
      <c r="O85" s="28"/>
      <c r="P85" s="22">
        <f>+P29-P31+P81</f>
        <v>56847.820000000022</v>
      </c>
      <c r="Q85" s="14"/>
      <c r="R85" s="20">
        <f>IF(P$12=0,0,P85/P$12)</f>
        <v>0.55393772253973783</v>
      </c>
      <c r="S85" s="14"/>
      <c r="T85" s="22">
        <f>+T29-T31+T81</f>
        <v>43600.31319053573</v>
      </c>
      <c r="U85" s="14"/>
      <c r="V85" s="20">
        <f>IF(T$12=0,0,T85/T$12)</f>
        <v>0.36424655965359842</v>
      </c>
      <c r="W85" s="15"/>
      <c r="X85" s="22">
        <f>+P85-T85</f>
        <v>13247.506809464292</v>
      </c>
      <c r="Y85" s="15"/>
      <c r="Z85" s="20">
        <f>IF(T85=0,0,X85/T85)</f>
        <v>0.30383971673717042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11390.94</v>
      </c>
      <c r="E87" s="4"/>
      <c r="F87" s="12">
        <f>IF(D$12=0,0,D87/D$12)</f>
        <v>0.11881632407831591</v>
      </c>
      <c r="G87" s="4"/>
      <c r="H87" s="4">
        <v>16661</v>
      </c>
      <c r="I87" s="4"/>
      <c r="J87" s="12">
        <f>IF(H$12=0,0,H87/H$12)</f>
        <v>0.15384118190212373</v>
      </c>
      <c r="K87" s="4"/>
      <c r="L87" s="4">
        <f>+D87-H87</f>
        <v>-5270.0599999999995</v>
      </c>
      <c r="M87" s="4"/>
      <c r="N87" s="12">
        <f>IF(H87=0,0,L87/H87)</f>
        <v>-0.31631114578956843</v>
      </c>
      <c r="O87" s="10"/>
      <c r="P87" s="4">
        <v>12795.46</v>
      </c>
      <c r="Q87" s="4"/>
      <c r="R87" s="12">
        <f>IF(P$12=0,0,P87/P$12)</f>
        <v>0.12468179028234171</v>
      </c>
      <c r="S87" s="4"/>
      <c r="T87" s="4">
        <v>19439</v>
      </c>
      <c r="U87" s="4"/>
      <c r="V87" s="12">
        <f>IF(T$12=0,0,T87/T$12)</f>
        <v>0.16239766081871346</v>
      </c>
      <c r="W87" s="4"/>
      <c r="X87" s="4">
        <f>+P87-T87</f>
        <v>-6643.5400000000009</v>
      </c>
      <c r="Y87" s="4"/>
      <c r="Z87" s="12">
        <f>IF(T87=0,0,X87/T87)</f>
        <v>-0.34176346519882717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1">
        <f>+D85-D87</f>
        <v>59350.050000000017</v>
      </c>
      <c r="E89" s="14"/>
      <c r="F89" s="32">
        <f>IF(D$12=0,0,D89/D$12)</f>
        <v>0.6190669755844781</v>
      </c>
      <c r="G89" s="14"/>
      <c r="H89" s="31">
        <f>+H85-H87</f>
        <v>53047.207588355042</v>
      </c>
      <c r="I89" s="14"/>
      <c r="J89" s="32">
        <f>IF(H$12=0,0,H89/H$12)</f>
        <v>0.48981724458314907</v>
      </c>
      <c r="K89" s="15"/>
      <c r="L89" s="31">
        <f>D89-H89</f>
        <v>6302.8424116449751</v>
      </c>
      <c r="M89" s="15"/>
      <c r="N89" s="32">
        <f>IF(H89=0,0,L89/H89)</f>
        <v>0.11881572467593146</v>
      </c>
      <c r="O89" s="28"/>
      <c r="P89" s="31">
        <f>+P85-P87</f>
        <v>44052.360000000022</v>
      </c>
      <c r="Q89" s="14"/>
      <c r="R89" s="32">
        <f>IF(P$12=0,0,P89/P$12)</f>
        <v>0.42925593225739611</v>
      </c>
      <c r="S89" s="14"/>
      <c r="T89" s="31">
        <f>+T85-T87</f>
        <v>24161.31319053573</v>
      </c>
      <c r="U89" s="14"/>
      <c r="V89" s="32">
        <f>IF(T$12=0,0,T89/T$12)</f>
        <v>0.20184889883488497</v>
      </c>
      <c r="W89" s="15"/>
      <c r="X89" s="31">
        <f>P89-T89</f>
        <v>19891.046809464293</v>
      </c>
      <c r="Y89" s="15"/>
      <c r="Z89" s="32">
        <f>IF(T89=0,0,X89/T89)</f>
        <v>0.8232601701986898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3">
        <f>SUM(D89:D91)</f>
        <v>59350.050000000017</v>
      </c>
      <c r="E92" s="14"/>
      <c r="F92" s="35">
        <f>IF(D$12=0,0,D92/D$12)</f>
        <v>0.6190669755844781</v>
      </c>
      <c r="G92" s="14"/>
      <c r="H92" s="33">
        <f>SUM(H89:H91)</f>
        <v>53047.207588355042</v>
      </c>
      <c r="I92" s="14"/>
      <c r="J92" s="35">
        <f>IF(H$12=0,0,H92/H$12)</f>
        <v>0.48981724458314907</v>
      </c>
      <c r="K92" s="15"/>
      <c r="L92" s="33">
        <f>+D92-H92</f>
        <v>6302.8424116449751</v>
      </c>
      <c r="M92" s="15"/>
      <c r="N92" s="35">
        <f>IF(H92=0,0,L92/H92)</f>
        <v>0.11881572467593146</v>
      </c>
      <c r="O92" s="28"/>
      <c r="P92" s="33">
        <f>SUM(P89:P91)</f>
        <v>44052.360000000022</v>
      </c>
      <c r="Q92" s="14"/>
      <c r="R92" s="35">
        <f>IF(P$12=0,0,P92/P$12)</f>
        <v>0.42925593225739611</v>
      </c>
      <c r="S92" s="14"/>
      <c r="T92" s="33">
        <f>SUM(T89:T91)</f>
        <v>24161.31319053573</v>
      </c>
      <c r="U92" s="14"/>
      <c r="V92" s="35">
        <f>IF(T$12=0,0,T92/T$12)</f>
        <v>0.20184889883488497</v>
      </c>
      <c r="W92" s="15"/>
      <c r="X92" s="33">
        <f>+P92-T92</f>
        <v>19891.046809464293</v>
      </c>
      <c r="Y92" s="15"/>
      <c r="Z92" s="35">
        <f>IF(T92=0,0,X92/T92)</f>
        <v>0.8232601701986898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61">
        <v>43732.706065625003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2" t="s">
        <v>314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8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36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","320", " - ", "Customer Service (old)")</f>
        <v>Department 320 - Customer Service (old)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1496.3999999999999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1496.3999999999999</v>
      </c>
      <c r="M12" s="4"/>
      <c r="N12" s="12">
        <f t="shared" ref="N12:N15" si="1">IF(H12=0,0,L12/H12)</f>
        <v>0</v>
      </c>
      <c r="O12" s="10"/>
      <c r="P12" s="4">
        <f>SUM(OSRRefP13x_0)</f>
        <v>3650.72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3650.72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46"/>
      <c r="B13" s="11" t="str">
        <f>CONCATENATE("          ", "4092", " - ", "TAXABLE SALES-GRAD MERCH")</f>
        <v xml:space="preserve">          4092 - TAXABLE SALES-GRAD MERCH</v>
      </c>
      <c r="C13" s="11"/>
      <c r="D13" s="2">
        <f>--1734.05</f>
        <v>1734.05</v>
      </c>
      <c r="E13" s="2"/>
      <c r="F13" s="21"/>
      <c r="G13" s="2"/>
      <c r="H13" s="2"/>
      <c r="I13" s="2"/>
      <c r="J13" s="21"/>
      <c r="K13" s="2"/>
      <c r="L13" s="2">
        <f t="shared" si="0"/>
        <v>1734.05</v>
      </c>
      <c r="M13" s="2"/>
      <c r="N13" s="21">
        <f t="shared" si="1"/>
        <v>0</v>
      </c>
      <c r="O13" s="11"/>
      <c r="P13" s="2">
        <f>--3862.68</f>
        <v>3862.68</v>
      </c>
      <c r="Q13" s="2"/>
      <c r="R13" s="21"/>
      <c r="S13" s="2"/>
      <c r="T13" s="2"/>
      <c r="U13" s="2"/>
      <c r="V13" s="21"/>
      <c r="W13" s="2"/>
      <c r="X13" s="2">
        <f t="shared" si="2"/>
        <v>3862.68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>--121.55</f>
        <v>121.55</v>
      </c>
      <c r="E14" s="2"/>
      <c r="F14" s="21"/>
      <c r="G14" s="2"/>
      <c r="H14" s="2"/>
      <c r="I14" s="2"/>
      <c r="J14" s="21"/>
      <c r="K14" s="2"/>
      <c r="L14" s="2">
        <f t="shared" si="0"/>
        <v>121.55</v>
      </c>
      <c r="M14" s="2"/>
      <c r="N14" s="21">
        <f t="shared" si="1"/>
        <v>0</v>
      </c>
      <c r="O14" s="11"/>
      <c r="P14" s="2">
        <f>--157.19</f>
        <v>157.19</v>
      </c>
      <c r="Q14" s="2"/>
      <c r="R14" s="21"/>
      <c r="S14" s="2"/>
      <c r="T14" s="2"/>
      <c r="U14" s="2"/>
      <c r="V14" s="21"/>
      <c r="W14" s="2"/>
      <c r="X14" s="2">
        <f t="shared" si="2"/>
        <v>157.19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>-359.2</f>
        <v>-359.2</v>
      </c>
      <c r="E15" s="2"/>
      <c r="F15" s="21"/>
      <c r="G15" s="2"/>
      <c r="H15" s="2"/>
      <c r="I15" s="2"/>
      <c r="J15" s="21"/>
      <c r="K15" s="2"/>
      <c r="L15" s="2">
        <f t="shared" si="0"/>
        <v>-359.2</v>
      </c>
      <c r="M15" s="2"/>
      <c r="N15" s="21">
        <f t="shared" si="1"/>
        <v>0</v>
      </c>
      <c r="O15" s="11"/>
      <c r="P15" s="2">
        <f>-369.15</f>
        <v>-369.15</v>
      </c>
      <c r="Q15" s="2"/>
      <c r="R15" s="21"/>
      <c r="S15" s="2"/>
      <c r="T15" s="2"/>
      <c r="U15" s="2"/>
      <c r="V15" s="21"/>
      <c r="W15" s="2"/>
      <c r="X15" s="2">
        <f t="shared" si="2"/>
        <v>-369.15</v>
      </c>
      <c r="Y15" s="2"/>
      <c r="Z15" s="21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820.97</v>
      </c>
      <c r="E17" s="4"/>
      <c r="F17" s="12">
        <f t="shared" ref="F17:F22" si="4">IF(D$12=0,0,D17/D$12)</f>
        <v>0.54863004544239513</v>
      </c>
      <c r="G17" s="4"/>
      <c r="H17" s="4">
        <f>SUM(OSRRefH16x_0)</f>
        <v>0</v>
      </c>
      <c r="I17" s="4"/>
      <c r="J17" s="12">
        <f t="shared" ref="J17:J22" si="5">IF(H$12=0,0,H17/H$12)</f>
        <v>0</v>
      </c>
      <c r="K17" s="4"/>
      <c r="L17" s="4">
        <f t="shared" ref="L17:L22" si="6">+D17-H17</f>
        <v>820.97</v>
      </c>
      <c r="M17" s="4"/>
      <c r="N17" s="12">
        <f t="shared" ref="N17:N22" si="7">IF(H17=0,0,L17/H17)</f>
        <v>0</v>
      </c>
      <c r="O17" s="10"/>
      <c r="P17" s="4">
        <f>SUM(OSRRefP16x_0)</f>
        <v>1865.4199999999998</v>
      </c>
      <c r="Q17" s="4"/>
      <c r="R17" s="12">
        <f t="shared" ref="R17:R22" si="8">IF(P$12=0,0,P17/P$12)</f>
        <v>0.5109731778936758</v>
      </c>
      <c r="S17" s="4"/>
      <c r="T17" s="4">
        <f>SUM(OSRRefT16x_0)</f>
        <v>0</v>
      </c>
      <c r="U17" s="4"/>
      <c r="V17" s="12">
        <f t="shared" ref="V17:V22" si="9">IF(T$12=0,0,T17/T$12)</f>
        <v>0</v>
      </c>
      <c r="W17" s="4"/>
      <c r="X17" s="4">
        <f t="shared" ref="X17:X22" si="10">+P17-T17</f>
        <v>1865.4199999999998</v>
      </c>
      <c r="Y17" s="4"/>
      <c r="Z17" s="12">
        <f t="shared" ref="Z17:Z22" si="11">IF(T17=0,0,X17/T17)</f>
        <v>0</v>
      </c>
    </row>
    <row r="18" spans="1:26" s="24" customFormat="1" hidden="1" outlineLevel="1" x14ac:dyDescent="0.25">
      <c r="A18" s="46"/>
      <c r="B18" s="11" t="str">
        <f>CONCATENATE("          ", "5092", " - ", "PURCHASES @ COST-GRAD MERCH")</f>
        <v xml:space="preserve">          5092 - PURCHASES @ COST-GRAD MERCH</v>
      </c>
      <c r="C18" s="11"/>
      <c r="D18" s="2">
        <v>-600.6</v>
      </c>
      <c r="E18" s="2"/>
      <c r="F18" s="21">
        <f t="shared" si="4"/>
        <v>-0.40136327185244591</v>
      </c>
      <c r="G18" s="2"/>
      <c r="H18" s="2"/>
      <c r="I18" s="2"/>
      <c r="J18" s="21">
        <f t="shared" si="5"/>
        <v>0</v>
      </c>
      <c r="K18" s="2"/>
      <c r="L18" s="2">
        <f t="shared" si="6"/>
        <v>-600.6</v>
      </c>
      <c r="M18" s="2"/>
      <c r="N18" s="21">
        <f t="shared" si="7"/>
        <v>0</v>
      </c>
      <c r="O18" s="11"/>
      <c r="P18" s="2">
        <v>628</v>
      </c>
      <c r="Q18" s="2"/>
      <c r="R18" s="21">
        <f t="shared" si="8"/>
        <v>0.1720208616382522</v>
      </c>
      <c r="S18" s="2"/>
      <c r="T18" s="2"/>
      <c r="U18" s="2"/>
      <c r="V18" s="21">
        <f t="shared" si="9"/>
        <v>0</v>
      </c>
      <c r="W18" s="2"/>
      <c r="X18" s="2">
        <f t="shared" si="10"/>
        <v>628</v>
      </c>
      <c r="Y18" s="2"/>
      <c r="Z18" s="21">
        <f t="shared" si="11"/>
        <v>0</v>
      </c>
    </row>
    <row r="19" spans="1:26" s="24" customFormat="1" hidden="1" outlineLevel="1" x14ac:dyDescent="0.25">
      <c r="A19" s="46"/>
      <c r="B19" s="11" t="str">
        <f>CONCATENATE("          ", "5095", " - ", "PURCHASES @ COST-CUSTOMER SERV")</f>
        <v xml:space="preserve">          5095 - PURCHASES @ COST-CUSTOMER SERV</v>
      </c>
      <c r="C19" s="11"/>
      <c r="D19" s="2"/>
      <c r="E19" s="2"/>
      <c r="F19" s="21">
        <f t="shared" si="4"/>
        <v>0</v>
      </c>
      <c r="G19" s="2"/>
      <c r="H19" s="2"/>
      <c r="I19" s="2"/>
      <c r="J19" s="21">
        <f t="shared" si="5"/>
        <v>0</v>
      </c>
      <c r="K19" s="2"/>
      <c r="L19" s="2">
        <f t="shared" si="6"/>
        <v>0</v>
      </c>
      <c r="M19" s="2"/>
      <c r="N19" s="21">
        <f t="shared" si="7"/>
        <v>0</v>
      </c>
      <c r="O19" s="11"/>
      <c r="P19" s="2">
        <v>11.85</v>
      </c>
      <c r="Q19" s="2"/>
      <c r="R19" s="21">
        <f t="shared" si="8"/>
        <v>3.2459350484288032E-3</v>
      </c>
      <c r="S19" s="2"/>
      <c r="T19" s="2"/>
      <c r="U19" s="2"/>
      <c r="V19" s="21">
        <f t="shared" si="9"/>
        <v>0</v>
      </c>
      <c r="W19" s="2"/>
      <c r="X19" s="2">
        <f t="shared" si="10"/>
        <v>11.85</v>
      </c>
      <c r="Y19" s="2"/>
      <c r="Z19" s="21">
        <f t="shared" si="11"/>
        <v>0</v>
      </c>
    </row>
    <row r="20" spans="1:26" s="24" customFormat="1" hidden="1" outlineLevel="1" x14ac:dyDescent="0.25">
      <c r="A20" s="46"/>
      <c r="B20" s="11" t="str">
        <f>CONCATENATE("          ", "5200", " - ", "PURCHASES OFFSET")</f>
        <v xml:space="preserve">          5200 - PURCHASES OFFSET</v>
      </c>
      <c r="C20" s="11"/>
      <c r="D20" s="2">
        <v>541</v>
      </c>
      <c r="E20" s="2"/>
      <c r="F20" s="21">
        <f t="shared" si="4"/>
        <v>0.36153434910451754</v>
      </c>
      <c r="G20" s="2"/>
      <c r="H20" s="2"/>
      <c r="I20" s="2"/>
      <c r="J20" s="21">
        <f t="shared" si="5"/>
        <v>0</v>
      </c>
      <c r="K20" s="2"/>
      <c r="L20" s="2">
        <f t="shared" si="6"/>
        <v>541</v>
      </c>
      <c r="M20" s="2"/>
      <c r="N20" s="21">
        <f t="shared" si="7"/>
        <v>0</v>
      </c>
      <c r="O20" s="11"/>
      <c r="P20" s="2">
        <v>-700</v>
      </c>
      <c r="Q20" s="2"/>
      <c r="R20" s="21">
        <f t="shared" si="8"/>
        <v>-0.1917429986413639</v>
      </c>
      <c r="S20" s="2"/>
      <c r="T20" s="2"/>
      <c r="U20" s="2"/>
      <c r="V20" s="21">
        <f t="shared" si="9"/>
        <v>0</v>
      </c>
      <c r="W20" s="2"/>
      <c r="X20" s="2">
        <f t="shared" si="10"/>
        <v>-700</v>
      </c>
      <c r="Y20" s="2"/>
      <c r="Z20" s="21">
        <f t="shared" si="11"/>
        <v>0</v>
      </c>
    </row>
    <row r="21" spans="1:26" s="24" customFormat="1" hidden="1" outlineLevel="1" x14ac:dyDescent="0.25">
      <c r="A21" s="46"/>
      <c r="B21" s="11" t="str">
        <f>CONCATENATE("          ", "5300", " - ", "COG$ OFFSET")</f>
        <v xml:space="preserve">          5300 - COG$ OFFSET</v>
      </c>
      <c r="C21" s="11"/>
      <c r="D21" s="2">
        <v>821</v>
      </c>
      <c r="E21" s="2"/>
      <c r="F21" s="21">
        <f t="shared" si="4"/>
        <v>0.54865009355787231</v>
      </c>
      <c r="G21" s="2"/>
      <c r="H21" s="2"/>
      <c r="I21" s="2"/>
      <c r="J21" s="21">
        <f t="shared" si="5"/>
        <v>0</v>
      </c>
      <c r="K21" s="2"/>
      <c r="L21" s="2">
        <f t="shared" si="6"/>
        <v>821</v>
      </c>
      <c r="M21" s="2"/>
      <c r="N21" s="21">
        <f t="shared" si="7"/>
        <v>0</v>
      </c>
      <c r="O21" s="11"/>
      <c r="P21" s="2">
        <v>1866</v>
      </c>
      <c r="Q21" s="2"/>
      <c r="R21" s="21">
        <f t="shared" si="8"/>
        <v>0.5111320506639786</v>
      </c>
      <c r="S21" s="2"/>
      <c r="T21" s="2"/>
      <c r="U21" s="2"/>
      <c r="V21" s="21">
        <f t="shared" si="9"/>
        <v>0</v>
      </c>
      <c r="W21" s="2"/>
      <c r="X21" s="2">
        <f t="shared" si="10"/>
        <v>1866</v>
      </c>
      <c r="Y21" s="2"/>
      <c r="Z21" s="21">
        <f t="shared" si="11"/>
        <v>0</v>
      </c>
    </row>
    <row r="22" spans="1:26" s="24" customFormat="1" hidden="1" outlineLevel="1" x14ac:dyDescent="0.25">
      <c r="A22" s="46"/>
      <c r="B22" s="11" t="str">
        <f>CONCATENATE("          ", "5592", " - ", "FREIGHT-IN-GRAD MERCH")</f>
        <v xml:space="preserve">          5592 - FREIGHT-IN-GRAD MERCH</v>
      </c>
      <c r="C22" s="11"/>
      <c r="D22" s="2">
        <v>59.57</v>
      </c>
      <c r="E22" s="2"/>
      <c r="F22" s="21">
        <f t="shared" si="4"/>
        <v>3.9808874632451217E-2</v>
      </c>
      <c r="G22" s="2"/>
      <c r="H22" s="2"/>
      <c r="I22" s="2"/>
      <c r="J22" s="21">
        <f t="shared" si="5"/>
        <v>0</v>
      </c>
      <c r="K22" s="2"/>
      <c r="L22" s="2">
        <f t="shared" si="6"/>
        <v>59.57</v>
      </c>
      <c r="M22" s="2"/>
      <c r="N22" s="21">
        <f t="shared" si="7"/>
        <v>0</v>
      </c>
      <c r="O22" s="11"/>
      <c r="P22" s="2">
        <v>59.57</v>
      </c>
      <c r="Q22" s="2"/>
      <c r="R22" s="21">
        <f t="shared" si="8"/>
        <v>1.6317329184380069E-2</v>
      </c>
      <c r="S22" s="2"/>
      <c r="T22" s="2"/>
      <c r="U22" s="2"/>
      <c r="V22" s="21">
        <f t="shared" si="9"/>
        <v>0</v>
      </c>
      <c r="W22" s="2"/>
      <c r="X22" s="2">
        <f t="shared" si="10"/>
        <v>59.57</v>
      </c>
      <c r="Y22" s="2"/>
      <c r="Z22" s="21">
        <f t="shared" si="11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9" t="s">
        <v>6</v>
      </c>
      <c r="C24" s="29"/>
      <c r="D24" s="22">
        <f>D12-D17</f>
        <v>675.42999999999984</v>
      </c>
      <c r="E24" s="14"/>
      <c r="F24" s="20">
        <f>IF(D$12=0,0,D24/D$12)</f>
        <v>0.45136995455760487</v>
      </c>
      <c r="G24" s="14"/>
      <c r="H24" s="22">
        <f>H12-H17</f>
        <v>0</v>
      </c>
      <c r="I24" s="14"/>
      <c r="J24" s="20">
        <f>IF(H$12=0,0,H24/H$12)</f>
        <v>0</v>
      </c>
      <c r="K24" s="15"/>
      <c r="L24" s="22">
        <f>+D24-H24</f>
        <v>675.42999999999984</v>
      </c>
      <c r="M24" s="15"/>
      <c r="N24" s="20">
        <f>IF(H24=0,0,L24/H24)</f>
        <v>0</v>
      </c>
      <c r="O24" s="28"/>
      <c r="P24" s="22">
        <f>P12-P17</f>
        <v>1785.3</v>
      </c>
      <c r="Q24" s="14"/>
      <c r="R24" s="20">
        <f>IF(P$12=0,0,P24/P$12)</f>
        <v>0.48902682210632425</v>
      </c>
      <c r="S24" s="14"/>
      <c r="T24" s="22">
        <f>T12-T17</f>
        <v>0</v>
      </c>
      <c r="U24" s="14"/>
      <c r="V24" s="20">
        <f>IF(T$12=0,0,T24/T$12)</f>
        <v>0</v>
      </c>
      <c r="W24" s="15"/>
      <c r="X24" s="22">
        <f>+P24-T24</f>
        <v>1785.3</v>
      </c>
      <c r="Y24" s="15"/>
      <c r="Z24" s="20">
        <f>IF(T24=0,0,X24/T24)</f>
        <v>0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9</v>
      </c>
      <c r="C26" s="10"/>
      <c r="D26" s="19">
        <f>SUM(OSRRefD22x_0)</f>
        <v>-11329.329999999998</v>
      </c>
      <c r="E26" s="19"/>
      <c r="F26" s="34">
        <f t="shared" ref="F26:F35" si="12">IF(D$12=0,0,D26/D$12)</f>
        <v>-7.571057203956161</v>
      </c>
      <c r="G26" s="19"/>
      <c r="H26" s="19">
        <f>SUM(OSRRefH22x_0)</f>
        <v>1034.606592115389</v>
      </c>
      <c r="I26" s="19"/>
      <c r="J26" s="34">
        <f t="shared" ref="J26:J35" si="13">IF(H$12=0,0,H26/H$12)</f>
        <v>0</v>
      </c>
      <c r="K26" s="4"/>
      <c r="L26" s="19">
        <f t="shared" ref="L26:L35" si="14">+D26-H26</f>
        <v>-12363.936592115388</v>
      </c>
      <c r="M26" s="4"/>
      <c r="N26" s="34">
        <f t="shared" ref="N26:N35" si="15">IF(H26=0,0,L26/H26)</f>
        <v>-11.950374844254274</v>
      </c>
      <c r="O26" s="10"/>
      <c r="P26" s="19">
        <f>SUM(OSRRefP22x_0)</f>
        <v>-10502.91</v>
      </c>
      <c r="Q26" s="19"/>
      <c r="R26" s="34">
        <f t="shared" ref="R26:R35" si="16">IF(P$12=0,0,P26/P$12)</f>
        <v>-2.8769420826576675</v>
      </c>
      <c r="S26" s="19"/>
      <c r="T26" s="19">
        <f>SUM(OSRRefT22x_0)</f>
        <v>4450.3648322596218</v>
      </c>
      <c r="U26" s="19"/>
      <c r="V26" s="34">
        <f t="shared" ref="V26:V35" si="17">IF(T$12=0,0,T26/T$12)</f>
        <v>0</v>
      </c>
      <c r="W26" s="4"/>
      <c r="X26" s="19">
        <f t="shared" ref="X26:X35" si="18">+P26-T26</f>
        <v>-14953.274832259622</v>
      </c>
      <c r="Y26" s="4"/>
      <c r="Z26" s="34">
        <f t="shared" ref="Z26:Z35" si="19">IF(T26=0,0,X26/T26)</f>
        <v>-3.3600110094046531</v>
      </c>
    </row>
    <row r="27" spans="1:26" s="26" customFormat="1" outlineLevel="1" collapsed="1" x14ac:dyDescent="0.25">
      <c r="A27" s="25"/>
      <c r="B27" s="13" t="str">
        <f>CONCATENATE("     ","*Benefits                                         ")</f>
        <v xml:space="preserve">     *Benefits                                         </v>
      </c>
      <c r="C27" s="13"/>
      <c r="D27" s="1">
        <f>SUM(OSRRefD22_0x_0)</f>
        <v>422.25</v>
      </c>
      <c r="E27" s="1"/>
      <c r="F27" s="5">
        <f t="shared" si="12"/>
        <v>0.28217722534081802</v>
      </c>
      <c r="G27" s="1"/>
      <c r="H27" s="1">
        <f>SUM(OSRRefH22_0x_0)</f>
        <v>1178.5227459615389</v>
      </c>
      <c r="I27" s="1"/>
      <c r="J27" s="5">
        <f t="shared" si="13"/>
        <v>0</v>
      </c>
      <c r="K27" s="1"/>
      <c r="L27" s="1">
        <f t="shared" si="14"/>
        <v>-756.27274596153893</v>
      </c>
      <c r="M27" s="1"/>
      <c r="N27" s="5">
        <f t="shared" si="15"/>
        <v>-0.64171247313899527</v>
      </c>
      <c r="O27" s="13"/>
      <c r="P27" s="1">
        <f>SUM(OSRRefP22_0x_0)</f>
        <v>835.72</v>
      </c>
      <c r="Q27" s="1"/>
      <c r="R27" s="5">
        <f t="shared" si="16"/>
        <v>0.22891922689222949</v>
      </c>
      <c r="S27" s="1"/>
      <c r="T27" s="1">
        <f>SUM(OSRRefT22_0x_0)</f>
        <v>2486.6761784134619</v>
      </c>
      <c r="U27" s="1"/>
      <c r="V27" s="5">
        <f t="shared" si="17"/>
        <v>0</v>
      </c>
      <c r="W27" s="1"/>
      <c r="X27" s="1">
        <f t="shared" si="18"/>
        <v>-1650.9561784134619</v>
      </c>
      <c r="Y27" s="1"/>
      <c r="Z27" s="5">
        <f t="shared" si="19"/>
        <v>-0.66392085658165501</v>
      </c>
    </row>
    <row r="28" spans="1:26" s="24" customFormat="1" hidden="1" outlineLevel="2" x14ac:dyDescent="0.25">
      <c r="A28" s="27"/>
      <c r="B28" s="11" t="str">
        <f>CONCATENATE("          ", "6111", " - ", "F.I.C.A.")</f>
        <v xml:space="preserve">          6111 - F.I.C.A.</v>
      </c>
      <c r="C28" s="11"/>
      <c r="D28" s="6">
        <v>82.22</v>
      </c>
      <c r="E28" s="2"/>
      <c r="F28" s="7">
        <f t="shared" si="12"/>
        <v>5.4945201817695806E-2</v>
      </c>
      <c r="G28" s="2"/>
      <c r="H28" s="6">
        <v>150.23869211538502</v>
      </c>
      <c r="I28" s="2"/>
      <c r="J28" s="7">
        <f t="shared" si="13"/>
        <v>0</v>
      </c>
      <c r="K28" s="2"/>
      <c r="L28" s="6">
        <f t="shared" si="14"/>
        <v>-68.018692115385022</v>
      </c>
      <c r="M28" s="2"/>
      <c r="N28" s="7">
        <f t="shared" si="15"/>
        <v>-0.45273751493487374</v>
      </c>
      <c r="O28" s="11"/>
      <c r="P28" s="6">
        <v>155.66</v>
      </c>
      <c r="Q28" s="2"/>
      <c r="R28" s="7">
        <f t="shared" si="16"/>
        <v>4.2638164526449578E-2</v>
      </c>
      <c r="S28" s="2"/>
      <c r="T28" s="6">
        <v>338.03705725961601</v>
      </c>
      <c r="U28" s="2"/>
      <c r="V28" s="7">
        <f t="shared" si="17"/>
        <v>0</v>
      </c>
      <c r="W28" s="2"/>
      <c r="X28" s="6">
        <f t="shared" si="18"/>
        <v>-182.37705725961601</v>
      </c>
      <c r="Y28" s="2"/>
      <c r="Z28" s="7">
        <f t="shared" si="19"/>
        <v>-0.539517941429565</v>
      </c>
    </row>
    <row r="29" spans="1:26" s="24" customFormat="1" hidden="1" outlineLevel="2" x14ac:dyDescent="0.25">
      <c r="A29" s="27"/>
      <c r="B29" s="11" t="str">
        <f>CONCATENATE("          ", "6112", " - ", "COMPENSATION INSURANCE")</f>
        <v xml:space="preserve">          6112 - COMPENSATION INSURANCE</v>
      </c>
      <c r="C29" s="11"/>
      <c r="D29" s="6">
        <v>18.239999999999998</v>
      </c>
      <c r="E29" s="2"/>
      <c r="F29" s="7">
        <f t="shared" si="12"/>
        <v>1.218925421010425E-2</v>
      </c>
      <c r="G29" s="2"/>
      <c r="H29" s="6">
        <v>37.299557692307701</v>
      </c>
      <c r="I29" s="2"/>
      <c r="J29" s="7">
        <f t="shared" si="13"/>
        <v>0</v>
      </c>
      <c r="K29" s="2"/>
      <c r="L29" s="6">
        <f t="shared" si="14"/>
        <v>-19.059557692307703</v>
      </c>
      <c r="M29" s="2"/>
      <c r="N29" s="7">
        <f t="shared" si="15"/>
        <v>-0.51098615832214977</v>
      </c>
      <c r="O29" s="11"/>
      <c r="P29" s="6">
        <v>36.479999999999997</v>
      </c>
      <c r="Q29" s="2"/>
      <c r="R29" s="7">
        <f t="shared" si="16"/>
        <v>9.9925494149099344E-3</v>
      </c>
      <c r="S29" s="2"/>
      <c r="T29" s="6">
        <v>83.924004807692299</v>
      </c>
      <c r="U29" s="2"/>
      <c r="V29" s="7">
        <f t="shared" si="17"/>
        <v>0</v>
      </c>
      <c r="W29" s="2"/>
      <c r="X29" s="6">
        <f t="shared" si="18"/>
        <v>-47.444004807692302</v>
      </c>
      <c r="Y29" s="2"/>
      <c r="Z29" s="7">
        <f t="shared" si="19"/>
        <v>-0.56532102961968855</v>
      </c>
    </row>
    <row r="30" spans="1:26" s="24" customFormat="1" hidden="1" outlineLevel="2" x14ac:dyDescent="0.25">
      <c r="A30" s="27"/>
      <c r="B30" s="11" t="str">
        <f>CONCATENATE("          ", "6113", " - ", "GROUP INSURANCE")</f>
        <v xml:space="preserve">          6113 - GROUP INSURANCE</v>
      </c>
      <c r="C30" s="11"/>
      <c r="D30" s="6">
        <v>152.63</v>
      </c>
      <c r="E30" s="2"/>
      <c r="F30" s="7">
        <f t="shared" si="12"/>
        <v>0.10199812884255548</v>
      </c>
      <c r="G30" s="2"/>
      <c r="H30" s="6">
        <v>660</v>
      </c>
      <c r="I30" s="2"/>
      <c r="J30" s="7">
        <f t="shared" si="13"/>
        <v>0</v>
      </c>
      <c r="K30" s="2"/>
      <c r="L30" s="6">
        <f t="shared" si="14"/>
        <v>-507.37</v>
      </c>
      <c r="M30" s="2"/>
      <c r="N30" s="7">
        <f t="shared" si="15"/>
        <v>-0.76874242424242423</v>
      </c>
      <c r="O30" s="11"/>
      <c r="P30" s="6">
        <v>305.26</v>
      </c>
      <c r="Q30" s="2"/>
      <c r="R30" s="7">
        <f t="shared" si="16"/>
        <v>8.3616382521803923E-2</v>
      </c>
      <c r="S30" s="2"/>
      <c r="T30" s="6">
        <v>1320</v>
      </c>
      <c r="U30" s="2"/>
      <c r="V30" s="7">
        <f t="shared" si="17"/>
        <v>0</v>
      </c>
      <c r="W30" s="2"/>
      <c r="X30" s="6">
        <f t="shared" si="18"/>
        <v>-1014.74</v>
      </c>
      <c r="Y30" s="2"/>
      <c r="Z30" s="7">
        <f t="shared" si="19"/>
        <v>-0.76874242424242423</v>
      </c>
    </row>
    <row r="31" spans="1:26" s="24" customFormat="1" hidden="1" outlineLevel="2" x14ac:dyDescent="0.25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6">
        <v>2.5</v>
      </c>
      <c r="E31" s="2"/>
      <c r="F31" s="7">
        <f t="shared" si="12"/>
        <v>1.6706762897620959E-3</v>
      </c>
      <c r="G31" s="2"/>
      <c r="H31" s="6">
        <v>5.1041499999999997</v>
      </c>
      <c r="I31" s="2"/>
      <c r="J31" s="7">
        <f t="shared" si="13"/>
        <v>0</v>
      </c>
      <c r="K31" s="2"/>
      <c r="L31" s="6">
        <f t="shared" si="14"/>
        <v>-2.6041499999999997</v>
      </c>
      <c r="M31" s="2"/>
      <c r="N31" s="7">
        <f t="shared" si="15"/>
        <v>-0.5102024822938197</v>
      </c>
      <c r="O31" s="11"/>
      <c r="P31" s="6">
        <v>5</v>
      </c>
      <c r="Q31" s="2"/>
      <c r="R31" s="7">
        <f t="shared" si="16"/>
        <v>1.3695928474383135E-3</v>
      </c>
      <c r="S31" s="2"/>
      <c r="T31" s="6">
        <v>11.484337500000001</v>
      </c>
      <c r="U31" s="2"/>
      <c r="V31" s="7">
        <f t="shared" si="17"/>
        <v>0</v>
      </c>
      <c r="W31" s="2"/>
      <c r="X31" s="6">
        <f t="shared" si="18"/>
        <v>-6.4843375000000005</v>
      </c>
      <c r="Y31" s="2"/>
      <c r="Z31" s="7">
        <f t="shared" si="19"/>
        <v>-0.56462442870561758</v>
      </c>
    </row>
    <row r="32" spans="1:26" s="24" customFormat="1" hidden="1" outlineLevel="2" x14ac:dyDescent="0.25">
      <c r="A32" s="27"/>
      <c r="B32" s="11" t="str">
        <f>CONCATENATE("          ", "6115", " - ", "P.E.R.S.")</f>
        <v xml:space="preserve">          6115 - P.E.R.S.</v>
      </c>
      <c r="C32" s="11"/>
      <c r="D32" s="6">
        <v>67.06</v>
      </c>
      <c r="E32" s="2"/>
      <c r="F32" s="7">
        <f t="shared" si="12"/>
        <v>4.4814220796578458E-2</v>
      </c>
      <c r="G32" s="2"/>
      <c r="H32" s="6">
        <v>168.82957692307698</v>
      </c>
      <c r="I32" s="2"/>
      <c r="J32" s="7">
        <f t="shared" si="13"/>
        <v>0</v>
      </c>
      <c r="K32" s="2"/>
      <c r="L32" s="6">
        <f t="shared" si="14"/>
        <v>-101.76957692307698</v>
      </c>
      <c r="M32" s="2"/>
      <c r="N32" s="7">
        <f t="shared" si="15"/>
        <v>-0.60279471629219195</v>
      </c>
      <c r="O32" s="11"/>
      <c r="P32" s="6">
        <v>134.12</v>
      </c>
      <c r="Q32" s="2"/>
      <c r="R32" s="7">
        <f t="shared" si="16"/>
        <v>3.6737958539685325E-2</v>
      </c>
      <c r="S32" s="2"/>
      <c r="T32" s="6">
        <v>379.86654807692298</v>
      </c>
      <c r="U32" s="2"/>
      <c r="V32" s="7">
        <f t="shared" si="17"/>
        <v>0</v>
      </c>
      <c r="W32" s="2"/>
      <c r="X32" s="6">
        <f t="shared" si="18"/>
        <v>-245.74654807692298</v>
      </c>
      <c r="Y32" s="2"/>
      <c r="Z32" s="7">
        <f t="shared" si="19"/>
        <v>-0.64692863670417033</v>
      </c>
    </row>
    <row r="33" spans="1:26" s="24" customFormat="1" hidden="1" outlineLevel="2" x14ac:dyDescent="0.25">
      <c r="A33" s="27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55.32</v>
      </c>
      <c r="E34" s="2"/>
      <c r="F34" s="7">
        <f t="shared" si="12"/>
        <v>3.696872493985566E-2</v>
      </c>
      <c r="G34" s="2"/>
      <c r="H34" s="6">
        <v>98.156730769230791</v>
      </c>
      <c r="I34" s="2"/>
      <c r="J34" s="7">
        <f t="shared" si="13"/>
        <v>0</v>
      </c>
      <c r="K34" s="2"/>
      <c r="L34" s="6">
        <f t="shared" si="14"/>
        <v>-42.83673076923079</v>
      </c>
      <c r="M34" s="2"/>
      <c r="N34" s="7">
        <f t="shared" si="15"/>
        <v>-0.43641154746627758</v>
      </c>
      <c r="O34" s="11"/>
      <c r="P34" s="6">
        <v>110.64</v>
      </c>
      <c r="Q34" s="2"/>
      <c r="R34" s="7">
        <f t="shared" si="16"/>
        <v>3.0306350528115002E-2</v>
      </c>
      <c r="S34" s="2"/>
      <c r="T34" s="6">
        <v>220.85264423076879</v>
      </c>
      <c r="U34" s="2"/>
      <c r="V34" s="7">
        <f t="shared" si="17"/>
        <v>0</v>
      </c>
      <c r="W34" s="2"/>
      <c r="X34" s="6">
        <f t="shared" si="18"/>
        <v>-110.21264423076879</v>
      </c>
      <c r="Y34" s="2"/>
      <c r="Z34" s="7">
        <f t="shared" si="19"/>
        <v>-0.49903248663669003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44.28</v>
      </c>
      <c r="E35" s="2"/>
      <c r="F35" s="7">
        <f t="shared" si="12"/>
        <v>2.9591018444266242E-2</v>
      </c>
      <c r="G35" s="2"/>
      <c r="H35" s="6">
        <v>58.894038461538493</v>
      </c>
      <c r="I35" s="2"/>
      <c r="J35" s="7">
        <f t="shared" si="13"/>
        <v>0</v>
      </c>
      <c r="K35" s="2"/>
      <c r="L35" s="6">
        <f t="shared" si="14"/>
        <v>-14.614038461538492</v>
      </c>
      <c r="M35" s="2"/>
      <c r="N35" s="7">
        <f t="shared" si="15"/>
        <v>-0.24814121842030543</v>
      </c>
      <c r="O35" s="11"/>
      <c r="P35" s="6">
        <v>88.56</v>
      </c>
      <c r="Q35" s="2"/>
      <c r="R35" s="7">
        <f t="shared" si="16"/>
        <v>2.4258228513827411E-2</v>
      </c>
      <c r="S35" s="2"/>
      <c r="T35" s="6">
        <v>132.51158653846159</v>
      </c>
      <c r="U35" s="2"/>
      <c r="V35" s="7">
        <f t="shared" si="17"/>
        <v>0</v>
      </c>
      <c r="W35" s="2"/>
      <c r="X35" s="6">
        <f t="shared" si="18"/>
        <v>-43.951586538461584</v>
      </c>
      <c r="Y35" s="2"/>
      <c r="Z35" s="7">
        <f t="shared" si="19"/>
        <v>-0.33168108304027138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911.74</v>
      </c>
      <c r="E36" s="1"/>
      <c r="F36" s="5">
        <f t="shared" ref="F36:F46" si="20">IF(D$12=0,0,D36/D$12)</f>
        <v>0.60928896017107737</v>
      </c>
      <c r="G36" s="1"/>
      <c r="H36" s="1">
        <f>SUM(OSRRefH22_1x_0)</f>
        <v>1806.0838461538501</v>
      </c>
      <c r="I36" s="1"/>
      <c r="J36" s="5">
        <f t="shared" ref="J36:J46" si="21">IF(H$12=0,0,H36/H$12)</f>
        <v>0</v>
      </c>
      <c r="K36" s="1"/>
      <c r="L36" s="1">
        <f t="shared" ref="L36:L46" si="22">+D36-H36</f>
        <v>-894.34384615385011</v>
      </c>
      <c r="M36" s="1"/>
      <c r="N36" s="5">
        <f t="shared" ref="N36:N46" si="23">IF(H36=0,0,L36/H36)</f>
        <v>-0.49518401266829448</v>
      </c>
      <c r="O36" s="13"/>
      <c r="P36" s="1">
        <f>SUM(OSRRefP22_1x_0)</f>
        <v>2226.7399999999998</v>
      </c>
      <c r="Q36" s="1"/>
      <c r="R36" s="5">
        <f t="shared" ref="R36:R46" si="24">IF(P$12=0,0,P36/P$12)</f>
        <v>0.60994543542095803</v>
      </c>
      <c r="S36" s="1"/>
      <c r="T36" s="1">
        <f>SUM(OSRRefT22_1x_0)</f>
        <v>4063.6886538461604</v>
      </c>
      <c r="U36" s="1"/>
      <c r="V36" s="5">
        <f t="shared" ref="V36:V46" si="25">IF(T$12=0,0,T36/T$12)</f>
        <v>0</v>
      </c>
      <c r="W36" s="1"/>
      <c r="X36" s="1">
        <f t="shared" ref="X36:X46" si="26">+P36-T36</f>
        <v>-1836.9486538461606</v>
      </c>
      <c r="Y36" s="1"/>
      <c r="Z36" s="5">
        <f t="shared" ref="Z36:Z46" si="27">IF(T36=0,0,X36/T36)</f>
        <v>-0.45203971325597087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912</v>
      </c>
      <c r="E38" s="2"/>
      <c r="F38" s="7">
        <f t="shared" si="20"/>
        <v>0.60946271050521261</v>
      </c>
      <c r="G38" s="2"/>
      <c r="H38" s="6">
        <v>1806.0838461538501</v>
      </c>
      <c r="I38" s="2"/>
      <c r="J38" s="7">
        <f t="shared" si="21"/>
        <v>0</v>
      </c>
      <c r="K38" s="2"/>
      <c r="L38" s="6">
        <f t="shared" si="22"/>
        <v>-894.08384615385012</v>
      </c>
      <c r="M38" s="2"/>
      <c r="N38" s="7">
        <f t="shared" si="23"/>
        <v>-0.49504005478917734</v>
      </c>
      <c r="O38" s="11"/>
      <c r="P38" s="6">
        <v>2112</v>
      </c>
      <c r="Q38" s="2"/>
      <c r="R38" s="7">
        <f t="shared" si="24"/>
        <v>0.57851601875794367</v>
      </c>
      <c r="S38" s="2"/>
      <c r="T38" s="6">
        <v>4063.6886538461604</v>
      </c>
      <c r="U38" s="2"/>
      <c r="V38" s="7">
        <f t="shared" si="25"/>
        <v>0</v>
      </c>
      <c r="W38" s="2"/>
      <c r="X38" s="6">
        <f t="shared" si="26"/>
        <v>-1951.6886538461604</v>
      </c>
      <c r="Y38" s="2"/>
      <c r="Z38" s="7">
        <f t="shared" si="27"/>
        <v>-0.48027514411049804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>
        <v>57.37</v>
      </c>
      <c r="E42" s="2"/>
      <c r="F42" s="7">
        <f t="shared" si="20"/>
        <v>3.8338679497460573E-2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57.37</v>
      </c>
      <c r="M42" s="2"/>
      <c r="N42" s="7">
        <f t="shared" si="23"/>
        <v>0</v>
      </c>
      <c r="O42" s="11"/>
      <c r="P42" s="6">
        <v>57.37</v>
      </c>
      <c r="Q42" s="2"/>
      <c r="R42" s="7">
        <f t="shared" si="24"/>
        <v>1.5714708331507211E-2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57.37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-57.63</v>
      </c>
      <c r="E43" s="2"/>
      <c r="F43" s="7">
        <f t="shared" si="20"/>
        <v>-3.8512429831595835E-2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-57.63</v>
      </c>
      <c r="M43" s="2"/>
      <c r="N43" s="7">
        <f t="shared" si="23"/>
        <v>0</v>
      </c>
      <c r="O43" s="11"/>
      <c r="P43" s="6">
        <v>57.37</v>
      </c>
      <c r="Q43" s="2"/>
      <c r="R43" s="7">
        <f t="shared" si="24"/>
        <v>1.5714708331507211E-2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57.37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","Discounts and Markdowns                           ")</f>
        <v xml:space="preserve">     Discounts and Markdowns                           </v>
      </c>
      <c r="C47" s="13"/>
      <c r="D47" s="1">
        <f>SUM(OSRRefD22_2x_0)</f>
        <v>0</v>
      </c>
      <c r="E47" s="1"/>
      <c r="F47" s="5">
        <f t="shared" ref="F47:F51" si="28">IF(D$12=0,0,D47/D$12)</f>
        <v>0</v>
      </c>
      <c r="G47" s="1"/>
      <c r="H47" s="1">
        <f>SUM(OSRRefH22_2x_0)</f>
        <v>100</v>
      </c>
      <c r="I47" s="1"/>
      <c r="J47" s="5">
        <f t="shared" ref="J47:J51" si="29">IF(H$12=0,0,H47/H$12)</f>
        <v>0</v>
      </c>
      <c r="K47" s="1"/>
      <c r="L47" s="1">
        <f t="shared" ref="L47:L51" si="30">+D47-H47</f>
        <v>-100</v>
      </c>
      <c r="M47" s="1"/>
      <c r="N47" s="5">
        <f t="shared" ref="N47:N51" si="31">IF(H47=0,0,L47/H47)</f>
        <v>-1</v>
      </c>
      <c r="O47" s="13"/>
      <c r="P47" s="1">
        <f>SUM(OSRRefP22_2x_0)</f>
        <v>5.25</v>
      </c>
      <c r="Q47" s="1"/>
      <c r="R47" s="5">
        <f t="shared" ref="R47:R51" si="32">IF(P$12=0,0,P47/P$12)</f>
        <v>1.4380724898102294E-3</v>
      </c>
      <c r="S47" s="1"/>
      <c r="T47" s="1">
        <f>SUM(OSRRefT22_2x_0)</f>
        <v>200</v>
      </c>
      <c r="U47" s="1"/>
      <c r="V47" s="5">
        <f t="shared" ref="V47:V51" si="33">IF(T$12=0,0,T47/T$12)</f>
        <v>0</v>
      </c>
      <c r="W47" s="1"/>
      <c r="X47" s="1">
        <f t="shared" ref="X47:X51" si="34">+P47-T47</f>
        <v>-194.75</v>
      </c>
      <c r="Y47" s="1"/>
      <c r="Z47" s="5">
        <f t="shared" ref="Z47:Z51" si="35">IF(T47=0,0,X47/T47)</f>
        <v>-0.97375</v>
      </c>
    </row>
    <row r="48" spans="1:26" s="24" customFormat="1" hidden="1" outlineLevel="2" x14ac:dyDescent="0.25">
      <c r="A48" s="27"/>
      <c r="B48" s="11" t="str">
        <f>CONCATENATE("          ", "6382", " - ", "DISCOUNTS/MARK DOWNS")</f>
        <v xml:space="preserve">          6382 - DISCOUNTS/MARK DOWNS</v>
      </c>
      <c r="C48" s="11"/>
      <c r="D48" s="6"/>
      <c r="E48" s="2"/>
      <c r="F48" s="7">
        <f t="shared" si="28"/>
        <v>0</v>
      </c>
      <c r="G48" s="2"/>
      <c r="H48" s="6">
        <v>100</v>
      </c>
      <c r="I48" s="2"/>
      <c r="J48" s="7">
        <f t="shared" si="29"/>
        <v>0</v>
      </c>
      <c r="K48" s="2"/>
      <c r="L48" s="6">
        <f t="shared" si="30"/>
        <v>-100</v>
      </c>
      <c r="M48" s="2"/>
      <c r="N48" s="7">
        <f t="shared" si="31"/>
        <v>-1</v>
      </c>
      <c r="O48" s="11"/>
      <c r="P48" s="6">
        <v>5.25</v>
      </c>
      <c r="Q48" s="2"/>
      <c r="R48" s="7">
        <f t="shared" si="32"/>
        <v>1.4380724898102294E-3</v>
      </c>
      <c r="S48" s="2"/>
      <c r="T48" s="6">
        <v>200</v>
      </c>
      <c r="U48" s="2"/>
      <c r="V48" s="7">
        <f t="shared" si="33"/>
        <v>0</v>
      </c>
      <c r="W48" s="2"/>
      <c r="X48" s="6">
        <f t="shared" si="34"/>
        <v>-194.75</v>
      </c>
      <c r="Y48" s="2"/>
      <c r="Z48" s="7">
        <f t="shared" si="35"/>
        <v>-0.97375</v>
      </c>
    </row>
    <row r="49" spans="1:26" s="26" customFormat="1" outlineLevel="1" collapsed="1" x14ac:dyDescent="0.25">
      <c r="A49" s="25"/>
      <c r="B49" s="13" t="str">
        <f>CONCATENATE("     ","Freight out/Postage                               ")</f>
        <v xml:space="preserve">     Freight out/Postage                               </v>
      </c>
      <c r="C49" s="13"/>
      <c r="D49" s="1">
        <f>SUM(OSRRefD22_3x_0)</f>
        <v>-13203.749999999996</v>
      </c>
      <c r="E49" s="1"/>
      <c r="F49" s="5">
        <f t="shared" si="28"/>
        <v>-8.8236768243785075</v>
      </c>
      <c r="G49" s="1"/>
      <c r="H49" s="1">
        <f>SUM(OSRRefH22_3x_0)</f>
        <v>-3000</v>
      </c>
      <c r="I49" s="1"/>
      <c r="J49" s="5">
        <f t="shared" si="29"/>
        <v>0</v>
      </c>
      <c r="K49" s="1"/>
      <c r="L49" s="1">
        <f t="shared" si="30"/>
        <v>-10203.749999999996</v>
      </c>
      <c r="M49" s="1"/>
      <c r="N49" s="5">
        <f t="shared" si="31"/>
        <v>3.4012499999999988</v>
      </c>
      <c r="O49" s="13"/>
      <c r="P49" s="1">
        <f>SUM(OSRRefP22_3x_0)</f>
        <v>-15800.169999999998</v>
      </c>
      <c r="Q49" s="1"/>
      <c r="R49" s="5">
        <f t="shared" si="32"/>
        <v>-4.3279599640618835</v>
      </c>
      <c r="S49" s="1"/>
      <c r="T49" s="1">
        <f>SUM(OSRRefT22_3x_0)</f>
        <v>-4000</v>
      </c>
      <c r="U49" s="1"/>
      <c r="V49" s="5">
        <f t="shared" si="33"/>
        <v>0</v>
      </c>
      <c r="W49" s="1"/>
      <c r="X49" s="1">
        <f t="shared" si="34"/>
        <v>-11800.169999999998</v>
      </c>
      <c r="Y49" s="1"/>
      <c r="Z49" s="5">
        <f t="shared" si="35"/>
        <v>2.9500424999999995</v>
      </c>
    </row>
    <row r="50" spans="1:26" s="24" customFormat="1" hidden="1" outlineLevel="2" x14ac:dyDescent="0.25">
      <c r="A50" s="27"/>
      <c r="B50" s="11" t="str">
        <f>CONCATENATE("          ", "6305", " - ", "FREIGHT OUT")</f>
        <v xml:space="preserve">          6305 - FREIGHT OUT</v>
      </c>
      <c r="C50" s="11"/>
      <c r="D50" s="6">
        <v>2560.3000000000002</v>
      </c>
      <c r="E50" s="2"/>
      <c r="F50" s="7">
        <f t="shared" si="28"/>
        <v>1.7109730018711578</v>
      </c>
      <c r="G50" s="2"/>
      <c r="H50" s="6">
        <v>-3000</v>
      </c>
      <c r="I50" s="2"/>
      <c r="J50" s="7">
        <f t="shared" si="29"/>
        <v>0</v>
      </c>
      <c r="K50" s="2"/>
      <c r="L50" s="6">
        <f t="shared" si="30"/>
        <v>5560.3</v>
      </c>
      <c r="M50" s="2"/>
      <c r="N50" s="7">
        <f t="shared" si="31"/>
        <v>-1.8534333333333335</v>
      </c>
      <c r="O50" s="11"/>
      <c r="P50" s="6">
        <v>3613.43</v>
      </c>
      <c r="Q50" s="2"/>
      <c r="R50" s="7">
        <f t="shared" si="32"/>
        <v>0.98978557654380506</v>
      </c>
      <c r="S50" s="2"/>
      <c r="T50" s="6">
        <v>-4000</v>
      </c>
      <c r="U50" s="2"/>
      <c r="V50" s="7">
        <f t="shared" si="33"/>
        <v>0</v>
      </c>
      <c r="W50" s="2"/>
      <c r="X50" s="6">
        <f t="shared" si="34"/>
        <v>7613.43</v>
      </c>
      <c r="Y50" s="2"/>
      <c r="Z50" s="7">
        <f t="shared" si="35"/>
        <v>-1.9033575</v>
      </c>
    </row>
    <row r="51" spans="1:26" s="24" customFormat="1" hidden="1" outlineLevel="2" x14ac:dyDescent="0.25">
      <c r="A51" s="27"/>
      <c r="B51" s="11" t="str">
        <f>CONCATENATE("          ", "6307", " - ", "POSTAGE")</f>
        <v xml:space="preserve">          6307 - POSTAGE</v>
      </c>
      <c r="C51" s="11"/>
      <c r="D51" s="6">
        <v>-15764.049999999997</v>
      </c>
      <c r="E51" s="2"/>
      <c r="F51" s="7">
        <f t="shared" si="28"/>
        <v>-10.534649826249666</v>
      </c>
      <c r="G51" s="2"/>
      <c r="H51" s="6"/>
      <c r="I51" s="2"/>
      <c r="J51" s="7">
        <f t="shared" si="29"/>
        <v>0</v>
      </c>
      <c r="K51" s="2"/>
      <c r="L51" s="6">
        <f t="shared" si="30"/>
        <v>-15764.049999999997</v>
      </c>
      <c r="M51" s="2"/>
      <c r="N51" s="7">
        <f t="shared" si="31"/>
        <v>0</v>
      </c>
      <c r="O51" s="11"/>
      <c r="P51" s="6">
        <v>-19413.599999999999</v>
      </c>
      <c r="Q51" s="2"/>
      <c r="R51" s="7">
        <f t="shared" si="32"/>
        <v>-5.3177455406056886</v>
      </c>
      <c r="S51" s="2"/>
      <c r="T51" s="6"/>
      <c r="U51" s="2"/>
      <c r="V51" s="7">
        <f t="shared" si="33"/>
        <v>0</v>
      </c>
      <c r="W51" s="2"/>
      <c r="X51" s="6">
        <f t="shared" si="34"/>
        <v>-19413.599999999999</v>
      </c>
      <c r="Y51" s="2"/>
      <c r="Z51" s="7">
        <f t="shared" si="35"/>
        <v>0</v>
      </c>
    </row>
    <row r="52" spans="1:26" s="26" customFormat="1" outlineLevel="1" collapsed="1" x14ac:dyDescent="0.25">
      <c r="A52" s="25"/>
      <c r="B52" s="13" t="str">
        <f>CONCATENATE("     ","General                                           ")</f>
        <v xml:space="preserve">     General                                           </v>
      </c>
      <c r="C52" s="13"/>
      <c r="D52" s="1">
        <f>SUM(OSRRefD22_4x_0)</f>
        <v>0</v>
      </c>
      <c r="E52" s="1"/>
      <c r="F52" s="5">
        <f t="shared" ref="F52:F58" si="36">IF(D$12=0,0,D52/D$12)</f>
        <v>0</v>
      </c>
      <c r="G52" s="1"/>
      <c r="H52" s="1">
        <f>SUM(OSRRefH22_4x_0)</f>
        <v>100</v>
      </c>
      <c r="I52" s="1"/>
      <c r="J52" s="5">
        <f t="shared" ref="J52:J58" si="37">IF(H$12=0,0,H52/H$12)</f>
        <v>0</v>
      </c>
      <c r="K52" s="1"/>
      <c r="L52" s="1">
        <f t="shared" ref="L52:L58" si="38">+D52-H52</f>
        <v>-100</v>
      </c>
      <c r="M52" s="1"/>
      <c r="N52" s="5">
        <f t="shared" ref="N52:N58" si="39">IF(H52=0,0,L52/H52)</f>
        <v>-1</v>
      </c>
      <c r="O52" s="13"/>
      <c r="P52" s="1">
        <f>SUM(OSRRefP22_4x_0)</f>
        <v>0</v>
      </c>
      <c r="Q52" s="1"/>
      <c r="R52" s="5">
        <f t="shared" ref="R52:R58" si="40">IF(P$12=0,0,P52/P$12)</f>
        <v>0</v>
      </c>
      <c r="S52" s="1"/>
      <c r="T52" s="1">
        <f>SUM(OSRRefT22_4x_0)</f>
        <v>100</v>
      </c>
      <c r="U52" s="1"/>
      <c r="V52" s="5">
        <f t="shared" ref="V52:V58" si="41">IF(T$12=0,0,T52/T$12)</f>
        <v>0</v>
      </c>
      <c r="W52" s="1"/>
      <c r="X52" s="1">
        <f t="shared" ref="X52:X58" si="42">+P52-T52</f>
        <v>-100</v>
      </c>
      <c r="Y52" s="1"/>
      <c r="Z52" s="5">
        <f t="shared" ref="Z52:Z58" si="43">IF(T52=0,0,X52/T52)</f>
        <v>-1</v>
      </c>
    </row>
    <row r="53" spans="1:26" s="24" customFormat="1" hidden="1" outlineLevel="2" x14ac:dyDescent="0.25">
      <c r="A53" s="27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6"/>
        <v>0</v>
      </c>
      <c r="G53" s="2"/>
      <c r="H53" s="6">
        <v>100</v>
      </c>
      <c r="I53" s="2"/>
      <c r="J53" s="7">
        <f t="shared" si="37"/>
        <v>0</v>
      </c>
      <c r="K53" s="2"/>
      <c r="L53" s="6">
        <f t="shared" si="38"/>
        <v>-100</v>
      </c>
      <c r="M53" s="2"/>
      <c r="N53" s="7">
        <f t="shared" si="39"/>
        <v>-1</v>
      </c>
      <c r="O53" s="11"/>
      <c r="P53" s="6"/>
      <c r="Q53" s="2"/>
      <c r="R53" s="7">
        <f t="shared" si="40"/>
        <v>0</v>
      </c>
      <c r="S53" s="2"/>
      <c r="T53" s="6">
        <v>100</v>
      </c>
      <c r="U53" s="2"/>
      <c r="V53" s="7">
        <f t="shared" si="41"/>
        <v>0</v>
      </c>
      <c r="W53" s="2"/>
      <c r="X53" s="6">
        <f t="shared" si="42"/>
        <v>-100</v>
      </c>
      <c r="Y53" s="2"/>
      <c r="Z53" s="7">
        <f t="shared" si="43"/>
        <v>-1</v>
      </c>
    </row>
    <row r="54" spans="1:26" s="26" customFormat="1" outlineLevel="1" collapsed="1" x14ac:dyDescent="0.25">
      <c r="A54" s="25"/>
      <c r="B54" s="13" t="str">
        <f>CONCATENATE("     ","Inventory Adjustment                              ")</f>
        <v xml:space="preserve">     Inventory Adjustment                              </v>
      </c>
      <c r="C54" s="13"/>
      <c r="D54" s="1">
        <f>SUM(OSRRefD22_5x_0)</f>
        <v>100</v>
      </c>
      <c r="E54" s="1"/>
      <c r="F54" s="5">
        <f t="shared" si="36"/>
        <v>6.6827051590483841E-2</v>
      </c>
      <c r="G54" s="1"/>
      <c r="H54" s="1">
        <f>SUM(OSRRefH22_5x_0)</f>
        <v>100</v>
      </c>
      <c r="I54" s="1"/>
      <c r="J54" s="5">
        <f t="shared" si="37"/>
        <v>0</v>
      </c>
      <c r="K54" s="1"/>
      <c r="L54" s="1">
        <f t="shared" si="38"/>
        <v>0</v>
      </c>
      <c r="M54" s="1"/>
      <c r="N54" s="5">
        <f t="shared" si="39"/>
        <v>0</v>
      </c>
      <c r="O54" s="13"/>
      <c r="P54" s="1">
        <f>SUM(OSRRefP22_5x_0)</f>
        <v>100</v>
      </c>
      <c r="Q54" s="1"/>
      <c r="R54" s="5">
        <f t="shared" si="40"/>
        <v>2.7391856948766273E-2</v>
      </c>
      <c r="S54" s="1"/>
      <c r="T54" s="1">
        <f>SUM(OSRRefT22_5x_0)</f>
        <v>100</v>
      </c>
      <c r="U54" s="1"/>
      <c r="V54" s="5">
        <f t="shared" si="41"/>
        <v>0</v>
      </c>
      <c r="W54" s="1"/>
      <c r="X54" s="1">
        <f t="shared" si="42"/>
        <v>0</v>
      </c>
      <c r="Y54" s="1"/>
      <c r="Z54" s="5">
        <f t="shared" si="43"/>
        <v>0</v>
      </c>
    </row>
    <row r="55" spans="1:26" s="24" customFormat="1" hidden="1" outlineLevel="2" x14ac:dyDescent="0.25">
      <c r="A55" s="27"/>
      <c r="B55" s="11" t="str">
        <f>CONCATENATE("          ", "6408", " - ", "INVENTORY ADJUSTMENT")</f>
        <v xml:space="preserve">          6408 - INVENTORY ADJUSTMENT</v>
      </c>
      <c r="C55" s="11"/>
      <c r="D55" s="6">
        <v>100</v>
      </c>
      <c r="E55" s="2"/>
      <c r="F55" s="7">
        <f t="shared" si="36"/>
        <v>6.6827051590483841E-2</v>
      </c>
      <c r="G55" s="2"/>
      <c r="H55" s="6">
        <v>100</v>
      </c>
      <c r="I55" s="2"/>
      <c r="J55" s="7">
        <f t="shared" si="37"/>
        <v>0</v>
      </c>
      <c r="K55" s="2"/>
      <c r="L55" s="6">
        <f t="shared" si="38"/>
        <v>0</v>
      </c>
      <c r="M55" s="2"/>
      <c r="N55" s="7">
        <f t="shared" si="39"/>
        <v>0</v>
      </c>
      <c r="O55" s="11"/>
      <c r="P55" s="6">
        <v>100</v>
      </c>
      <c r="Q55" s="2"/>
      <c r="R55" s="7">
        <f t="shared" si="40"/>
        <v>2.7391856948766273E-2</v>
      </c>
      <c r="S55" s="2"/>
      <c r="T55" s="6">
        <v>100</v>
      </c>
      <c r="U55" s="2"/>
      <c r="V55" s="7">
        <f t="shared" si="41"/>
        <v>0</v>
      </c>
      <c r="W55" s="2"/>
      <c r="X55" s="6">
        <f t="shared" si="42"/>
        <v>0</v>
      </c>
      <c r="Y55" s="2"/>
      <c r="Z55" s="7">
        <f t="shared" si="43"/>
        <v>0</v>
      </c>
    </row>
    <row r="56" spans="1:26" s="26" customFormat="1" outlineLevel="1" collapsed="1" x14ac:dyDescent="0.25">
      <c r="A56" s="25"/>
      <c r="B56" s="13" t="str">
        <f>CONCATENATE("     ","Supplies                                          ")</f>
        <v xml:space="preserve">     Supplies                                          </v>
      </c>
      <c r="C56" s="13"/>
      <c r="D56" s="1">
        <f>SUM(OSRRefD22_6x_0)</f>
        <v>397.93</v>
      </c>
      <c r="E56" s="1"/>
      <c r="F56" s="5">
        <f t="shared" si="36"/>
        <v>0.26592488639401235</v>
      </c>
      <c r="G56" s="1"/>
      <c r="H56" s="1">
        <f>SUM(OSRRefH22_6x_0)</f>
        <v>750</v>
      </c>
      <c r="I56" s="1"/>
      <c r="J56" s="5">
        <f t="shared" si="37"/>
        <v>0</v>
      </c>
      <c r="K56" s="1"/>
      <c r="L56" s="1">
        <f t="shared" si="38"/>
        <v>-352.07</v>
      </c>
      <c r="M56" s="1"/>
      <c r="N56" s="5">
        <f t="shared" si="39"/>
        <v>-0.46942666666666666</v>
      </c>
      <c r="O56" s="13"/>
      <c r="P56" s="1">
        <f>SUM(OSRRefP22_6x_0)</f>
        <v>1983.25</v>
      </c>
      <c r="Q56" s="1"/>
      <c r="R56" s="5">
        <f t="shared" si="40"/>
        <v>0.5432490029364071</v>
      </c>
      <c r="S56" s="1"/>
      <c r="T56" s="1">
        <f>SUM(OSRRefT22_6x_0)</f>
        <v>1500</v>
      </c>
      <c r="U56" s="1"/>
      <c r="V56" s="5">
        <f t="shared" si="41"/>
        <v>0</v>
      </c>
      <c r="W56" s="1"/>
      <c r="X56" s="1">
        <f t="shared" si="42"/>
        <v>483.25</v>
      </c>
      <c r="Y56" s="1"/>
      <c r="Z56" s="5">
        <f t="shared" si="43"/>
        <v>0.32216666666666666</v>
      </c>
    </row>
    <row r="57" spans="1:26" s="24" customFormat="1" hidden="1" outlineLevel="2" x14ac:dyDescent="0.25">
      <c r="A57" s="27"/>
      <c r="B57" s="11" t="str">
        <f>CONCATENATE("          ", "6241", " - ", "OFFICE EXPENSE")</f>
        <v xml:space="preserve">          6241 - OFFICE EXPENSE</v>
      </c>
      <c r="C57" s="11"/>
      <c r="D57" s="6">
        <v>27.61</v>
      </c>
      <c r="E57" s="2"/>
      <c r="F57" s="7">
        <f t="shared" si="36"/>
        <v>1.8450948944132586E-2</v>
      </c>
      <c r="G57" s="2"/>
      <c r="H57" s="6"/>
      <c r="I57" s="2"/>
      <c r="J57" s="7">
        <f t="shared" si="37"/>
        <v>0</v>
      </c>
      <c r="K57" s="2"/>
      <c r="L57" s="6">
        <f t="shared" si="38"/>
        <v>27.61</v>
      </c>
      <c r="M57" s="2"/>
      <c r="N57" s="7">
        <f t="shared" si="39"/>
        <v>0</v>
      </c>
      <c r="O57" s="11"/>
      <c r="P57" s="6">
        <v>27.61</v>
      </c>
      <c r="Q57" s="2"/>
      <c r="R57" s="7">
        <f t="shared" si="40"/>
        <v>7.5628917035543679E-3</v>
      </c>
      <c r="S57" s="2"/>
      <c r="T57" s="6"/>
      <c r="U57" s="2"/>
      <c r="V57" s="7">
        <f t="shared" si="41"/>
        <v>0</v>
      </c>
      <c r="W57" s="2"/>
      <c r="X57" s="6">
        <f t="shared" si="42"/>
        <v>27.61</v>
      </c>
      <c r="Y57" s="2"/>
      <c r="Z57" s="7">
        <f t="shared" si="43"/>
        <v>0</v>
      </c>
    </row>
    <row r="58" spans="1:26" s="24" customFormat="1" hidden="1" outlineLevel="2" x14ac:dyDescent="0.25">
      <c r="A58" s="27"/>
      <c r="B58" s="11" t="str">
        <f>CONCATENATE("          ", "6247", " - ", "STORE SUPPLIES")</f>
        <v xml:space="preserve">          6247 - STORE SUPPLIES</v>
      </c>
      <c r="C58" s="11"/>
      <c r="D58" s="6">
        <v>370.32</v>
      </c>
      <c r="E58" s="2"/>
      <c r="F58" s="7">
        <f t="shared" si="36"/>
        <v>0.24747393744987972</v>
      </c>
      <c r="G58" s="2"/>
      <c r="H58" s="6">
        <v>750</v>
      </c>
      <c r="I58" s="2"/>
      <c r="J58" s="7">
        <f t="shared" si="37"/>
        <v>0</v>
      </c>
      <c r="K58" s="2"/>
      <c r="L58" s="6">
        <f t="shared" si="38"/>
        <v>-379.68</v>
      </c>
      <c r="M58" s="2"/>
      <c r="N58" s="7">
        <f t="shared" si="39"/>
        <v>-0.50624000000000002</v>
      </c>
      <c r="O58" s="11"/>
      <c r="P58" s="6">
        <v>1955.64</v>
      </c>
      <c r="Q58" s="2"/>
      <c r="R58" s="7">
        <f t="shared" si="40"/>
        <v>0.5356861112328527</v>
      </c>
      <c r="S58" s="2"/>
      <c r="T58" s="6">
        <v>1500</v>
      </c>
      <c r="U58" s="2"/>
      <c r="V58" s="7">
        <f t="shared" si="41"/>
        <v>0</v>
      </c>
      <c r="W58" s="2"/>
      <c r="X58" s="6">
        <f t="shared" si="42"/>
        <v>455.6400000000001</v>
      </c>
      <c r="Y58" s="2"/>
      <c r="Z58" s="7">
        <f t="shared" si="43"/>
        <v>0.30376000000000009</v>
      </c>
    </row>
    <row r="59" spans="1:26" s="26" customFormat="1" outlineLevel="1" collapsed="1" x14ac:dyDescent="0.25">
      <c r="A59" s="25"/>
      <c r="B59" s="13" t="str">
        <f>CONCATENATE("     ","Telephone/Data Lines                              ")</f>
        <v xml:space="preserve">     Telephone/Data Lines                              </v>
      </c>
      <c r="C59" s="13"/>
      <c r="D59" s="1">
        <f>SUM(OSRRefD22_7x_0)</f>
        <v>42.5</v>
      </c>
      <c r="E59" s="1"/>
      <c r="F59" s="5">
        <f t="shared" ref="F59:F60" si="44">IF(D$12=0,0,D59/D$12)</f>
        <v>2.840149692595563E-2</v>
      </c>
      <c r="G59" s="1"/>
      <c r="H59" s="1">
        <f>SUM(OSRRefH22_7x_0)</f>
        <v>0</v>
      </c>
      <c r="I59" s="1"/>
      <c r="J59" s="5">
        <f t="shared" ref="J59:J60" si="45">IF(H$12=0,0,H59/H$12)</f>
        <v>0</v>
      </c>
      <c r="K59" s="1"/>
      <c r="L59" s="1">
        <f t="shared" ref="L59:L60" si="46">+D59-H59</f>
        <v>42.5</v>
      </c>
      <c r="M59" s="1"/>
      <c r="N59" s="5">
        <f t="shared" ref="N59:N60" si="47">IF(H59=0,0,L59/H59)</f>
        <v>0</v>
      </c>
      <c r="O59" s="13"/>
      <c r="P59" s="1">
        <f>SUM(OSRRefP22_7x_0)</f>
        <v>146.30000000000001</v>
      </c>
      <c r="Q59" s="1"/>
      <c r="R59" s="5">
        <f t="shared" ref="R59:R60" si="48">IF(P$12=0,0,P59/P$12)</f>
        <v>4.0074286716045057E-2</v>
      </c>
      <c r="S59" s="1"/>
      <c r="T59" s="1">
        <f>SUM(OSRRefT22_7x_0)</f>
        <v>0</v>
      </c>
      <c r="U59" s="1"/>
      <c r="V59" s="5">
        <f t="shared" ref="V59:V60" si="49">IF(T$12=0,0,T59/T$12)</f>
        <v>0</v>
      </c>
      <c r="W59" s="1"/>
      <c r="X59" s="1">
        <f t="shared" ref="X59:X60" si="50">+P59-T59</f>
        <v>146.30000000000001</v>
      </c>
      <c r="Y59" s="1"/>
      <c r="Z59" s="5">
        <f t="shared" ref="Z59:Z60" si="51">IF(T59=0,0,X59/T59)</f>
        <v>0</v>
      </c>
    </row>
    <row r="60" spans="1:26" s="24" customFormat="1" hidden="1" outlineLevel="2" x14ac:dyDescent="0.25">
      <c r="A60" s="27"/>
      <c r="B60" s="11" t="str">
        <f>CONCATENATE("          ", "6309", " - ", "TELEPHONE")</f>
        <v xml:space="preserve">          6309 - TELEPHONE</v>
      </c>
      <c r="C60" s="11"/>
      <c r="D60" s="6">
        <v>42.5</v>
      </c>
      <c r="E60" s="2"/>
      <c r="F60" s="7">
        <f t="shared" si="44"/>
        <v>2.840149692595563E-2</v>
      </c>
      <c r="G60" s="2"/>
      <c r="H60" s="6"/>
      <c r="I60" s="2"/>
      <c r="J60" s="7">
        <f t="shared" si="45"/>
        <v>0</v>
      </c>
      <c r="K60" s="2"/>
      <c r="L60" s="6">
        <f t="shared" si="46"/>
        <v>42.5</v>
      </c>
      <c r="M60" s="2"/>
      <c r="N60" s="7">
        <f t="shared" si="47"/>
        <v>0</v>
      </c>
      <c r="O60" s="11"/>
      <c r="P60" s="6">
        <v>146.30000000000001</v>
      </c>
      <c r="Q60" s="2"/>
      <c r="R60" s="7">
        <f t="shared" si="48"/>
        <v>4.0074286716045057E-2</v>
      </c>
      <c r="S60" s="2"/>
      <c r="T60" s="6"/>
      <c r="U60" s="2"/>
      <c r="V60" s="7">
        <f t="shared" si="49"/>
        <v>0</v>
      </c>
      <c r="W60" s="2"/>
      <c r="X60" s="6">
        <f t="shared" si="50"/>
        <v>146.30000000000001</v>
      </c>
      <c r="Y60" s="2"/>
      <c r="Z60" s="7">
        <f t="shared" si="51"/>
        <v>0</v>
      </c>
    </row>
    <row r="61" spans="1:26" s="63" customFormat="1" x14ac:dyDescent="0.25">
      <c r="A61" s="36"/>
      <c r="B61" s="36"/>
      <c r="C61" s="36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6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collapsed="1" x14ac:dyDescent="0.25">
      <c r="A62" s="10"/>
      <c r="B62" s="28" t="s">
        <v>0</v>
      </c>
      <c r="C62" s="10"/>
      <c r="D62" s="4">
        <f>SUM(OSRRefD25x_0)</f>
        <v>22962.15</v>
      </c>
      <c r="E62" s="4"/>
      <c r="F62" s="12">
        <f t="shared" ref="F62:F66" si="52">IF(D$12=0,0,D62/D$12)</f>
        <v>15.344927826784284</v>
      </c>
      <c r="G62" s="4"/>
      <c r="H62" s="4">
        <f>SUM(OSRRefH25x_0)</f>
        <v>14000</v>
      </c>
      <c r="I62" s="4"/>
      <c r="J62" s="12">
        <f t="shared" ref="J62:J66" si="53">IF(H$12=0,0,H62/H$12)</f>
        <v>0</v>
      </c>
      <c r="K62" s="4"/>
      <c r="L62" s="4">
        <f t="shared" ref="L62:L66" si="54">+D62-H62</f>
        <v>8962.1500000000015</v>
      </c>
      <c r="M62" s="4"/>
      <c r="N62" s="12">
        <f t="shared" ref="N62:N66" si="55">IF(H62=0,0,L62/H62)</f>
        <v>0.64015357142857154</v>
      </c>
      <c r="O62" s="10"/>
      <c r="P62" s="4">
        <f>SUM(OSRRefP25x_0)</f>
        <v>23291.85</v>
      </c>
      <c r="Q62" s="4"/>
      <c r="R62" s="12">
        <f t="shared" ref="R62:R66" si="56">IF(P$12=0,0,P62/P$12)</f>
        <v>6.3800702327212164</v>
      </c>
      <c r="S62" s="4"/>
      <c r="T62" s="4">
        <f>SUM(OSRRefT25x_0)</f>
        <v>27500</v>
      </c>
      <c r="U62" s="4"/>
      <c r="V62" s="12">
        <f t="shared" ref="V62:V66" si="57">IF(T$12=0,0,T62/T$12)</f>
        <v>0</v>
      </c>
      <c r="W62" s="4"/>
      <c r="X62" s="4">
        <f t="shared" ref="X62:X66" si="58">+P62-T62</f>
        <v>-4208.1500000000015</v>
      </c>
      <c r="Y62" s="4"/>
      <c r="Z62" s="12">
        <f t="shared" ref="Z62:Z66" si="59">IF(T62=0,0,X62/T62)</f>
        <v>-0.15302363636363642</v>
      </c>
    </row>
    <row r="63" spans="1:26" s="24" customFormat="1" hidden="1" outlineLevel="1" x14ac:dyDescent="0.25">
      <c r="A63" s="46"/>
      <c r="B63" s="11" t="str">
        <f>CONCATENATE("          ", "4098", " - ", "TAXABLE SALES-GRAD RENTALS")</f>
        <v xml:space="preserve">          4098 - TAXABLE SALES-GRAD RENTALS</v>
      </c>
      <c r="C63" s="11"/>
      <c r="D63" s="2">
        <f>--1552.15</f>
        <v>1552.15</v>
      </c>
      <c r="E63" s="2"/>
      <c r="F63" s="21">
        <f t="shared" si="52"/>
        <v>1.0372560812616949</v>
      </c>
      <c r="G63" s="2"/>
      <c r="H63" s="2"/>
      <c r="I63" s="2"/>
      <c r="J63" s="21">
        <f t="shared" si="53"/>
        <v>0</v>
      </c>
      <c r="K63" s="2"/>
      <c r="L63" s="2">
        <f t="shared" si="54"/>
        <v>1552.15</v>
      </c>
      <c r="M63" s="2"/>
      <c r="N63" s="21">
        <f t="shared" si="55"/>
        <v>0</v>
      </c>
      <c r="O63" s="11"/>
      <c r="P63" s="2">
        <f>--1626.85</f>
        <v>1626.85</v>
      </c>
      <c r="Q63" s="2"/>
      <c r="R63" s="21">
        <f t="shared" si="56"/>
        <v>0.44562442477100406</v>
      </c>
      <c r="S63" s="2"/>
      <c r="T63" s="2"/>
      <c r="U63" s="2"/>
      <c r="V63" s="21">
        <f t="shared" si="57"/>
        <v>0</v>
      </c>
      <c r="W63" s="2"/>
      <c r="X63" s="2">
        <f t="shared" si="58"/>
        <v>1626.85</v>
      </c>
      <c r="Y63" s="2"/>
      <c r="Z63" s="21">
        <f t="shared" si="59"/>
        <v>0</v>
      </c>
    </row>
    <row r="64" spans="1:26" s="24" customFormat="1" hidden="1" outlineLevel="1" x14ac:dyDescent="0.25">
      <c r="A64" s="46"/>
      <c r="B64" s="11" t="str">
        <f>CONCATENATE("          ", "4197", " - ", "NON-TAXABLE SALES-RETURNED CHE")</f>
        <v xml:space="preserve">          4197 - NON-TAXABLE SALES-RETURNED CHE</v>
      </c>
      <c r="C64" s="11"/>
      <c r="D64" s="2">
        <f>--30</f>
        <v>30</v>
      </c>
      <c r="E64" s="2"/>
      <c r="F64" s="21">
        <f t="shared" si="52"/>
        <v>2.0048115477145152E-2</v>
      </c>
      <c r="G64" s="2"/>
      <c r="H64" s="2"/>
      <c r="I64" s="2"/>
      <c r="J64" s="21">
        <f t="shared" si="53"/>
        <v>0</v>
      </c>
      <c r="K64" s="2"/>
      <c r="L64" s="2">
        <f t="shared" si="54"/>
        <v>30</v>
      </c>
      <c r="M64" s="2"/>
      <c r="N64" s="21">
        <f t="shared" si="55"/>
        <v>0</v>
      </c>
      <c r="O64" s="11"/>
      <c r="P64" s="2">
        <f>--30</f>
        <v>30</v>
      </c>
      <c r="Q64" s="2"/>
      <c r="R64" s="21">
        <f t="shared" si="56"/>
        <v>8.2175570846298816E-3</v>
      </c>
      <c r="S64" s="2"/>
      <c r="T64" s="2"/>
      <c r="U64" s="2"/>
      <c r="V64" s="21">
        <f t="shared" si="57"/>
        <v>0</v>
      </c>
      <c r="W64" s="2"/>
      <c r="X64" s="2">
        <f t="shared" si="58"/>
        <v>30</v>
      </c>
      <c r="Y64" s="2"/>
      <c r="Z64" s="21">
        <f t="shared" si="59"/>
        <v>0</v>
      </c>
    </row>
    <row r="65" spans="1:26" s="24" customFormat="1" hidden="1" outlineLevel="1" x14ac:dyDescent="0.25">
      <c r="A65" s="46"/>
      <c r="B65" s="11" t="str">
        <f>CONCATENATE("          ", "4198", " - ", "NON-TAXABLE SALES-GRAD RENTALS")</f>
        <v xml:space="preserve">          4198 - NON-TAXABLE SALES-GRAD RENTALS</v>
      </c>
      <c r="C65" s="11"/>
      <c r="D65" s="2">
        <f>--210</f>
        <v>210</v>
      </c>
      <c r="E65" s="2"/>
      <c r="F65" s="21">
        <f t="shared" si="52"/>
        <v>0.14033680834001605</v>
      </c>
      <c r="G65" s="2"/>
      <c r="H65" s="2"/>
      <c r="I65" s="2"/>
      <c r="J65" s="21">
        <f t="shared" si="53"/>
        <v>0</v>
      </c>
      <c r="K65" s="2"/>
      <c r="L65" s="2">
        <f t="shared" si="54"/>
        <v>210</v>
      </c>
      <c r="M65" s="2"/>
      <c r="N65" s="21">
        <f t="shared" si="55"/>
        <v>0</v>
      </c>
      <c r="O65" s="11"/>
      <c r="P65" s="2">
        <f>--465</f>
        <v>465</v>
      </c>
      <c r="Q65" s="2"/>
      <c r="R65" s="21">
        <f t="shared" si="56"/>
        <v>0.12737213481176315</v>
      </c>
      <c r="S65" s="2"/>
      <c r="T65" s="2"/>
      <c r="U65" s="2"/>
      <c r="V65" s="21">
        <f t="shared" si="57"/>
        <v>0</v>
      </c>
      <c r="W65" s="2"/>
      <c r="X65" s="2">
        <f t="shared" si="58"/>
        <v>465</v>
      </c>
      <c r="Y65" s="2"/>
      <c r="Z65" s="21">
        <f t="shared" si="59"/>
        <v>0</v>
      </c>
    </row>
    <row r="66" spans="1:26" s="24" customFormat="1" hidden="1" outlineLevel="1" x14ac:dyDescent="0.25">
      <c r="A66" s="46"/>
      <c r="B66" s="11" t="str">
        <f>CONCATENATE("          ", "9160", " - ", "MISC. INCOME")</f>
        <v xml:space="preserve">          9160 - MISC. INCOME</v>
      </c>
      <c r="C66" s="11"/>
      <c r="D66" s="2">
        <f>--21170</f>
        <v>21170</v>
      </c>
      <c r="E66" s="2"/>
      <c r="F66" s="21">
        <f t="shared" si="52"/>
        <v>14.147286821705428</v>
      </c>
      <c r="G66" s="2"/>
      <c r="H66" s="2">
        <v>14000</v>
      </c>
      <c r="I66" s="2"/>
      <c r="J66" s="21">
        <f t="shared" si="53"/>
        <v>0</v>
      </c>
      <c r="K66" s="2"/>
      <c r="L66" s="2">
        <f t="shared" si="54"/>
        <v>7170</v>
      </c>
      <c r="M66" s="2"/>
      <c r="N66" s="21">
        <f t="shared" si="55"/>
        <v>0.51214285714285712</v>
      </c>
      <c r="O66" s="11"/>
      <c r="P66" s="2">
        <f>--21170</f>
        <v>21170</v>
      </c>
      <c r="Q66" s="2"/>
      <c r="R66" s="21">
        <f t="shared" si="56"/>
        <v>5.7988561160538197</v>
      </c>
      <c r="S66" s="2"/>
      <c r="T66" s="2">
        <v>27500</v>
      </c>
      <c r="U66" s="2"/>
      <c r="V66" s="21">
        <f t="shared" si="57"/>
        <v>0</v>
      </c>
      <c r="W66" s="2"/>
      <c r="X66" s="2">
        <f t="shared" si="58"/>
        <v>-6330</v>
      </c>
      <c r="Y66" s="2"/>
      <c r="Z66" s="21">
        <f t="shared" si="59"/>
        <v>-0.23018181818181818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9" t="s">
        <v>3</v>
      </c>
      <c r="C68" s="29"/>
      <c r="D68" s="22">
        <f>+D24-D26+D62</f>
        <v>34966.910000000003</v>
      </c>
      <c r="E68" s="14"/>
      <c r="F68" s="20">
        <f>IF(D$12=0,0,D68/D$12)</f>
        <v>23.367354985298054</v>
      </c>
      <c r="G68" s="14"/>
      <c r="H68" s="22">
        <f>+H24-H26+H62</f>
        <v>12965.39340788461</v>
      </c>
      <c r="I68" s="14"/>
      <c r="J68" s="20">
        <f>IF(H$12=0,0,H68/H$12)</f>
        <v>0</v>
      </c>
      <c r="K68" s="15"/>
      <c r="L68" s="22">
        <f>+D68-H68</f>
        <v>22001.516592115393</v>
      </c>
      <c r="M68" s="15"/>
      <c r="N68" s="20">
        <f>IF(H68=0,0,L68/H68)</f>
        <v>1.6969416893077589</v>
      </c>
      <c r="O68" s="28"/>
      <c r="P68" s="22">
        <f>+P24-P26+P62</f>
        <v>35580.06</v>
      </c>
      <c r="Q68" s="14"/>
      <c r="R68" s="20">
        <f>IF(P$12=0,0,P68/P$12)</f>
        <v>9.7460391374852087</v>
      </c>
      <c r="S68" s="14"/>
      <c r="T68" s="22">
        <f>+T24-T26+T62</f>
        <v>23049.63516774038</v>
      </c>
      <c r="U68" s="14"/>
      <c r="V68" s="20">
        <f>IF(T$12=0,0,T68/T$12)</f>
        <v>0</v>
      </c>
      <c r="W68" s="15"/>
      <c r="X68" s="22">
        <f>+P68-T68</f>
        <v>12530.424832259618</v>
      </c>
      <c r="Y68" s="15"/>
      <c r="Z68" s="20">
        <f>IF(T68=0,0,X68/T68)</f>
        <v>0.54362790304797737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2"/>
      <c r="B70" s="10" t="s">
        <v>14</v>
      </c>
      <c r="C70" s="10"/>
      <c r="D70" s="4">
        <v>7.23</v>
      </c>
      <c r="E70" s="4"/>
      <c r="F70" s="12">
        <f>IF(D$12=0,0,D70/D$12)</f>
        <v>4.8315958299919816E-3</v>
      </c>
      <c r="G70" s="4"/>
      <c r="H70" s="4">
        <v>0</v>
      </c>
      <c r="I70" s="4"/>
      <c r="J70" s="12">
        <f>IF(H$12=0,0,H70/H$12)</f>
        <v>0</v>
      </c>
      <c r="K70" s="4"/>
      <c r="L70" s="4">
        <f>+D70-H70</f>
        <v>7.23</v>
      </c>
      <c r="M70" s="4"/>
      <c r="N70" s="12">
        <f>IF(H70=0,0,L70/H70)</f>
        <v>0</v>
      </c>
      <c r="O70" s="10"/>
      <c r="P70" s="4">
        <v>455.18</v>
      </c>
      <c r="Q70" s="4"/>
      <c r="R70" s="12">
        <f>IF(P$12=0,0,P70/P$12)</f>
        <v>0.12468225445939432</v>
      </c>
      <c r="S70" s="4"/>
      <c r="T70" s="4">
        <v>0</v>
      </c>
      <c r="U70" s="4"/>
      <c r="V70" s="12">
        <f>IF(T$12=0,0,T70/T$12)</f>
        <v>0</v>
      </c>
      <c r="W70" s="4"/>
      <c r="X70" s="4">
        <f>+P70-T70</f>
        <v>455.18</v>
      </c>
      <c r="Y70" s="4"/>
      <c r="Z70" s="12">
        <f>IF(T70=0,0,X70/T70)</f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9" t="s">
        <v>4</v>
      </c>
      <c r="C72" s="29"/>
      <c r="D72" s="31">
        <f>+D68-D70</f>
        <v>34959.68</v>
      </c>
      <c r="E72" s="14"/>
      <c r="F72" s="32">
        <f>IF(D$12=0,0,D72/D$12)</f>
        <v>23.362523389468059</v>
      </c>
      <c r="G72" s="14"/>
      <c r="H72" s="31">
        <f>+H68-H70</f>
        <v>12965.39340788461</v>
      </c>
      <c r="I72" s="14"/>
      <c r="J72" s="32">
        <f>IF(H$12=0,0,H72/H$12)</f>
        <v>0</v>
      </c>
      <c r="K72" s="15"/>
      <c r="L72" s="31">
        <f>D72-H72</f>
        <v>21994.28659211539</v>
      </c>
      <c r="M72" s="15"/>
      <c r="N72" s="32">
        <f>IF(H72=0,0,L72/H72)</f>
        <v>1.6963840510030388</v>
      </c>
      <c r="O72" s="28"/>
      <c r="P72" s="31">
        <f>+P68-P70</f>
        <v>35124.879999999997</v>
      </c>
      <c r="Q72" s="14"/>
      <c r="R72" s="32">
        <f>IF(P$12=0,0,P72/P$12)</f>
        <v>9.6213568830258147</v>
      </c>
      <c r="S72" s="14"/>
      <c r="T72" s="31">
        <f>+T68-T70</f>
        <v>23049.63516774038</v>
      </c>
      <c r="U72" s="14"/>
      <c r="V72" s="32">
        <f>IF(T$12=0,0,T72/T$12)</f>
        <v>0</v>
      </c>
      <c r="W72" s="15"/>
      <c r="X72" s="31">
        <f>P72-T72</f>
        <v>12075.244832259617</v>
      </c>
      <c r="Y72" s="15"/>
      <c r="Z72" s="32">
        <f>IF(T72=0,0,X72/T72)</f>
        <v>0.52388008505921124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9" t="s">
        <v>5</v>
      </c>
      <c r="C75" s="29"/>
      <c r="D75" s="33">
        <f>SUM(D72:D74)</f>
        <v>34959.68</v>
      </c>
      <c r="E75" s="14"/>
      <c r="F75" s="35">
        <f>IF(D$12=0,0,D75/D$12)</f>
        <v>23.362523389468059</v>
      </c>
      <c r="G75" s="14"/>
      <c r="H75" s="33">
        <f>SUM(H72:H74)</f>
        <v>12965.39340788461</v>
      </c>
      <c r="I75" s="14"/>
      <c r="J75" s="35">
        <f>IF(H$12=0,0,H75/H$12)</f>
        <v>0</v>
      </c>
      <c r="K75" s="15"/>
      <c r="L75" s="33">
        <f>+D75-H75</f>
        <v>21994.28659211539</v>
      </c>
      <c r="M75" s="15"/>
      <c r="N75" s="35">
        <f>IF(H75=0,0,L75/H75)</f>
        <v>1.6963840510030388</v>
      </c>
      <c r="O75" s="28"/>
      <c r="P75" s="33">
        <f>SUM(P72:P74)</f>
        <v>35124.879999999997</v>
      </c>
      <c r="Q75" s="14"/>
      <c r="R75" s="35">
        <f>IF(P$12=0,0,P75/P$12)</f>
        <v>9.6213568830258147</v>
      </c>
      <c r="S75" s="14"/>
      <c r="T75" s="33">
        <f>SUM(T72:T74)</f>
        <v>23049.63516774038</v>
      </c>
      <c r="U75" s="14"/>
      <c r="V75" s="35">
        <f>IF(T$12=0,0,T75/T$12)</f>
        <v>0</v>
      </c>
      <c r="W75" s="15"/>
      <c r="X75" s="33">
        <f>+P75-T75</f>
        <v>12075.244832259617</v>
      </c>
      <c r="Y75" s="15"/>
      <c r="Z75" s="35">
        <f>IF(T75=0,0,X75/T75)</f>
        <v>0.52388008505921124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25">
      <c r="A77" s="9"/>
      <c r="B77" s="61">
        <v>43732.706113807872</v>
      </c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62" t="s">
        <v>314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58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311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501515.09999999992</v>
      </c>
      <c r="E12" s="4"/>
      <c r="F12" s="12"/>
      <c r="G12" s="4"/>
      <c r="H12" s="4">
        <f>SUM(OSRRefH13x_0)</f>
        <v>335785</v>
      </c>
      <c r="I12" s="4"/>
      <c r="J12" s="12"/>
      <c r="K12" s="4"/>
      <c r="L12" s="4">
        <f t="shared" ref="L12:L36" si="0">+D12-H12</f>
        <v>165730.09999999992</v>
      </c>
      <c r="M12" s="4"/>
      <c r="N12" s="12">
        <f t="shared" ref="N12:N36" si="1">IF(H12=0,0,L12/H12)</f>
        <v>0.49356016498652389</v>
      </c>
      <c r="O12" s="10"/>
      <c r="P12" s="4">
        <f>SUM(OSRRefP13x_0)</f>
        <v>871852.47000000009</v>
      </c>
      <c r="Q12" s="4"/>
      <c r="R12" s="12"/>
      <c r="S12" s="4"/>
      <c r="T12" s="4">
        <f>SUM(OSRRefT13x_0)</f>
        <v>747618</v>
      </c>
      <c r="U12" s="4"/>
      <c r="V12" s="12"/>
      <c r="W12" s="4"/>
      <c r="X12" s="4">
        <f t="shared" ref="X12:X36" si="2">+P12-T12</f>
        <v>124234.47000000009</v>
      </c>
      <c r="Y12" s="4"/>
      <c r="Z12" s="12">
        <f t="shared" ref="Z12:Z36" si="3">IF(T12=0,0,X12/T12)</f>
        <v>0.16617372775936387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295490</v>
      </c>
      <c r="I13" s="2"/>
      <c r="J13" s="21"/>
      <c r="K13" s="2"/>
      <c r="L13" s="2">
        <f t="shared" si="0"/>
        <v>-295490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657903</v>
      </c>
      <c r="U13" s="2"/>
      <c r="V13" s="21"/>
      <c r="W13" s="2"/>
      <c r="X13" s="2">
        <f t="shared" si="2"/>
        <v>-657903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"4081", " - ", "TAXABLE SALES-ELECTRONICS")</f>
        <v xml:space="preserve">          4081 - TAXABLE SALES-ELECTRONICS</v>
      </c>
      <c r="C14" s="11"/>
      <c r="D14" s="2">
        <f>--88475.34</f>
        <v>88475.34</v>
      </c>
      <c r="E14" s="2"/>
      <c r="F14" s="21"/>
      <c r="G14" s="2"/>
      <c r="H14" s="2"/>
      <c r="I14" s="2"/>
      <c r="J14" s="21"/>
      <c r="K14" s="2"/>
      <c r="L14" s="2">
        <f t="shared" si="0"/>
        <v>88475.34</v>
      </c>
      <c r="M14" s="2"/>
      <c r="N14" s="21">
        <f t="shared" si="1"/>
        <v>0</v>
      </c>
      <c r="O14" s="11"/>
      <c r="P14" s="2">
        <f>--109419.93</f>
        <v>109419.93</v>
      </c>
      <c r="Q14" s="2"/>
      <c r="R14" s="21"/>
      <c r="S14" s="2"/>
      <c r="T14" s="2"/>
      <c r="U14" s="2"/>
      <c r="V14" s="21"/>
      <c r="W14" s="2"/>
      <c r="X14" s="2">
        <f t="shared" si="2"/>
        <v>109419.93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--414765.04</f>
        <v>414765.04</v>
      </c>
      <c r="E15" s="2"/>
      <c r="F15" s="21"/>
      <c r="G15" s="2"/>
      <c r="H15" s="2"/>
      <c r="I15" s="2"/>
      <c r="J15" s="21"/>
      <c r="K15" s="2"/>
      <c r="L15" s="2">
        <f t="shared" si="0"/>
        <v>414765.04</v>
      </c>
      <c r="M15" s="2"/>
      <c r="N15" s="21">
        <f t="shared" si="1"/>
        <v>0</v>
      </c>
      <c r="O15" s="11"/>
      <c r="P15" s="2">
        <f>--813534.78</f>
        <v>813534.78</v>
      </c>
      <c r="Q15" s="2"/>
      <c r="R15" s="21"/>
      <c r="S15" s="2"/>
      <c r="T15" s="2"/>
      <c r="U15" s="2"/>
      <c r="V15" s="21"/>
      <c r="W15" s="2"/>
      <c r="X15" s="2">
        <f t="shared" si="2"/>
        <v>813534.78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--15671.69</f>
        <v>15671.69</v>
      </c>
      <c r="E16" s="2"/>
      <c r="F16" s="21"/>
      <c r="G16" s="2"/>
      <c r="H16" s="2"/>
      <c r="I16" s="2"/>
      <c r="J16" s="21"/>
      <c r="K16" s="2"/>
      <c r="L16" s="2">
        <f t="shared" si="0"/>
        <v>15671.69</v>
      </c>
      <c r="M16" s="2"/>
      <c r="N16" s="21">
        <f t="shared" si="1"/>
        <v>0</v>
      </c>
      <c r="O16" s="11"/>
      <c r="P16" s="2">
        <f>--23577.79</f>
        <v>23577.79</v>
      </c>
      <c r="Q16" s="2"/>
      <c r="R16" s="21"/>
      <c r="S16" s="2"/>
      <c r="T16" s="2"/>
      <c r="U16" s="2"/>
      <c r="V16" s="21"/>
      <c r="W16" s="2"/>
      <c r="X16" s="2">
        <f t="shared" si="2"/>
        <v>23577.79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21"/>
      <c r="G17" s="2"/>
      <c r="H17" s="2"/>
      <c r="I17" s="2"/>
      <c r="J17" s="21"/>
      <c r="K17" s="2"/>
      <c r="L17" s="2">
        <f t="shared" si="0"/>
        <v>0</v>
      </c>
      <c r="M17" s="2"/>
      <c r="N17" s="21">
        <f t="shared" si="1"/>
        <v>0</v>
      </c>
      <c r="O17" s="11"/>
      <c r="P17" s="2">
        <f>--129</f>
        <v>129</v>
      </c>
      <c r="Q17" s="2"/>
      <c r="R17" s="21"/>
      <c r="S17" s="2"/>
      <c r="T17" s="2"/>
      <c r="U17" s="2"/>
      <c r="V17" s="21"/>
      <c r="W17" s="2"/>
      <c r="X17" s="2">
        <f t="shared" si="2"/>
        <v>129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21"/>
      <c r="G18" s="2"/>
      <c r="H18" s="2"/>
      <c r="I18" s="2"/>
      <c r="J18" s="21"/>
      <c r="K18" s="2"/>
      <c r="L18" s="2">
        <f t="shared" si="0"/>
        <v>0</v>
      </c>
      <c r="M18" s="2"/>
      <c r="N18" s="21">
        <f t="shared" si="1"/>
        <v>0</v>
      </c>
      <c r="O18" s="11"/>
      <c r="P18" s="2">
        <f>--493.95</f>
        <v>493.95</v>
      </c>
      <c r="Q18" s="2"/>
      <c r="R18" s="21"/>
      <c r="S18" s="2"/>
      <c r="T18" s="2"/>
      <c r="U18" s="2"/>
      <c r="V18" s="21"/>
      <c r="W18" s="2"/>
      <c r="X18" s="2">
        <f t="shared" si="2"/>
        <v>493.95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--7578.27</f>
        <v>7578.27</v>
      </c>
      <c r="E19" s="2"/>
      <c r="F19" s="21"/>
      <c r="G19" s="2"/>
      <c r="H19" s="2"/>
      <c r="I19" s="2"/>
      <c r="J19" s="21"/>
      <c r="K19" s="2"/>
      <c r="L19" s="2">
        <f t="shared" si="0"/>
        <v>7578.27</v>
      </c>
      <c r="M19" s="2"/>
      <c r="N19" s="21">
        <f t="shared" si="1"/>
        <v>0</v>
      </c>
      <c r="O19" s="11"/>
      <c r="P19" s="2">
        <f>--9558.6</f>
        <v>9558.6</v>
      </c>
      <c r="Q19" s="2"/>
      <c r="R19" s="21"/>
      <c r="S19" s="2"/>
      <c r="T19" s="2"/>
      <c r="U19" s="2"/>
      <c r="V19" s="21"/>
      <c r="W19" s="2"/>
      <c r="X19" s="2">
        <f t="shared" si="2"/>
        <v>9558.6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"4088", " - ", "TAXABLE SALES-MUSIC")</f>
        <v xml:space="preserve">          4088 - TAXABLE SALES-MUSIC</v>
      </c>
      <c r="C20" s="11"/>
      <c r="D20" s="2">
        <f>--259.98</f>
        <v>259.98</v>
      </c>
      <c r="E20" s="2"/>
      <c r="F20" s="21"/>
      <c r="G20" s="2"/>
      <c r="H20" s="2"/>
      <c r="I20" s="2"/>
      <c r="J20" s="21"/>
      <c r="K20" s="2"/>
      <c r="L20" s="2">
        <f t="shared" si="0"/>
        <v>259.98</v>
      </c>
      <c r="M20" s="2"/>
      <c r="N20" s="21">
        <f t="shared" si="1"/>
        <v>0</v>
      </c>
      <c r="O20" s="11"/>
      <c r="P20" s="2">
        <f>--518.97</f>
        <v>518.97</v>
      </c>
      <c r="Q20" s="2"/>
      <c r="R20" s="21"/>
      <c r="S20" s="2"/>
      <c r="T20" s="2"/>
      <c r="U20" s="2"/>
      <c r="V20" s="21"/>
      <c r="W20" s="2"/>
      <c r="X20" s="2">
        <f t="shared" si="2"/>
        <v>518.97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21"/>
      <c r="G21" s="2"/>
      <c r="H21" s="2">
        <v>40295</v>
      </c>
      <c r="I21" s="2"/>
      <c r="J21" s="21"/>
      <c r="K21" s="2"/>
      <c r="L21" s="2">
        <f t="shared" si="0"/>
        <v>-40295</v>
      </c>
      <c r="M21" s="2"/>
      <c r="N21" s="21">
        <f t="shared" si="1"/>
        <v>-1</v>
      </c>
      <c r="O21" s="11"/>
      <c r="P21" s="2">
        <f>0</f>
        <v>0</v>
      </c>
      <c r="Q21" s="2"/>
      <c r="R21" s="21"/>
      <c r="S21" s="2"/>
      <c r="T21" s="2">
        <v>89715</v>
      </c>
      <c r="U21" s="2"/>
      <c r="V21" s="21"/>
      <c r="W21" s="2"/>
      <c r="X21" s="2">
        <f t="shared" si="2"/>
        <v>-89715</v>
      </c>
      <c r="Y21" s="2"/>
      <c r="Z21" s="21">
        <f t="shared" si="3"/>
        <v>-1</v>
      </c>
    </row>
    <row r="22" spans="1:26" s="24" customFormat="1" hidden="1" outlineLevel="1" x14ac:dyDescent="0.25">
      <c r="A22" s="46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--87.95</f>
        <v>87.95</v>
      </c>
      <c r="E22" s="2"/>
      <c r="F22" s="21"/>
      <c r="G22" s="2"/>
      <c r="H22" s="2"/>
      <c r="I22" s="2"/>
      <c r="J22" s="21"/>
      <c r="K22" s="2"/>
      <c r="L22" s="2">
        <f t="shared" si="0"/>
        <v>87.95</v>
      </c>
      <c r="M22" s="2"/>
      <c r="N22" s="21">
        <f t="shared" si="1"/>
        <v>0</v>
      </c>
      <c r="O22" s="11"/>
      <c r="P22" s="2">
        <f>--1390.56</f>
        <v>1390.56</v>
      </c>
      <c r="Q22" s="2"/>
      <c r="R22" s="21"/>
      <c r="S22" s="2"/>
      <c r="T22" s="2"/>
      <c r="U22" s="2"/>
      <c r="V22" s="21"/>
      <c r="W22" s="2"/>
      <c r="X22" s="2">
        <f t="shared" si="2"/>
        <v>1390.56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--19953</f>
        <v>19953</v>
      </c>
      <c r="E23" s="2"/>
      <c r="F23" s="21"/>
      <c r="G23" s="2"/>
      <c r="H23" s="2"/>
      <c r="I23" s="2"/>
      <c r="J23" s="21"/>
      <c r="K23" s="2"/>
      <c r="L23" s="2">
        <f t="shared" si="0"/>
        <v>19953</v>
      </c>
      <c r="M23" s="2"/>
      <c r="N23" s="21">
        <f t="shared" si="1"/>
        <v>0</v>
      </c>
      <c r="O23" s="11"/>
      <c r="P23" s="2">
        <f>--30571</f>
        <v>30571</v>
      </c>
      <c r="Q23" s="2"/>
      <c r="R23" s="21"/>
      <c r="S23" s="2"/>
      <c r="T23" s="2"/>
      <c r="U23" s="2"/>
      <c r="V23" s="21"/>
      <c r="W23" s="2"/>
      <c r="X23" s="2">
        <f t="shared" si="2"/>
        <v>30571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--974.39</f>
        <v>974.39</v>
      </c>
      <c r="E24" s="2"/>
      <c r="F24" s="21"/>
      <c r="G24" s="2"/>
      <c r="H24" s="2"/>
      <c r="I24" s="2"/>
      <c r="J24" s="21"/>
      <c r="K24" s="2"/>
      <c r="L24" s="2">
        <f t="shared" si="0"/>
        <v>974.39</v>
      </c>
      <c r="M24" s="2"/>
      <c r="N24" s="21">
        <f t="shared" si="1"/>
        <v>0</v>
      </c>
      <c r="O24" s="11"/>
      <c r="P24" s="2">
        <f>--1156.29</f>
        <v>1156.29</v>
      </c>
      <c r="Q24" s="2"/>
      <c r="R24" s="21"/>
      <c r="S24" s="2"/>
      <c r="T24" s="2"/>
      <c r="U24" s="2"/>
      <c r="V24" s="21"/>
      <c r="W24" s="2"/>
      <c r="X24" s="2">
        <f t="shared" si="2"/>
        <v>1156.29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--1522</f>
        <v>1522</v>
      </c>
      <c r="E25" s="2"/>
      <c r="F25" s="21"/>
      <c r="G25" s="2"/>
      <c r="H25" s="2"/>
      <c r="I25" s="2"/>
      <c r="J25" s="21"/>
      <c r="K25" s="2"/>
      <c r="L25" s="2">
        <f t="shared" si="0"/>
        <v>1522</v>
      </c>
      <c r="M25" s="2"/>
      <c r="N25" s="21">
        <f t="shared" si="1"/>
        <v>0</v>
      </c>
      <c r="O25" s="11"/>
      <c r="P25" s="2">
        <f>--1522</f>
        <v>1522</v>
      </c>
      <c r="Q25" s="2"/>
      <c r="R25" s="21"/>
      <c r="S25" s="2"/>
      <c r="T25" s="2"/>
      <c r="U25" s="2"/>
      <c r="V25" s="21"/>
      <c r="W25" s="2"/>
      <c r="X25" s="2">
        <f t="shared" si="2"/>
        <v>1522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"4185", " - ", "NON-TAXABLE SALES-SOFTWARE")</f>
        <v xml:space="preserve">          4185 - NON-TAXABLE SALES-SOFTWARE</v>
      </c>
      <c r="C26" s="11"/>
      <c r="D26" s="2">
        <f>--3770</f>
        <v>3770</v>
      </c>
      <c r="E26" s="2"/>
      <c r="F26" s="21"/>
      <c r="G26" s="2"/>
      <c r="H26" s="2"/>
      <c r="I26" s="2"/>
      <c r="J26" s="21"/>
      <c r="K26" s="2"/>
      <c r="L26" s="2">
        <f t="shared" si="0"/>
        <v>3770</v>
      </c>
      <c r="M26" s="2"/>
      <c r="N26" s="21">
        <f t="shared" si="1"/>
        <v>0</v>
      </c>
      <c r="O26" s="11"/>
      <c r="P26" s="2">
        <f>--4522</f>
        <v>4522</v>
      </c>
      <c r="Q26" s="2"/>
      <c r="R26" s="21"/>
      <c r="S26" s="2"/>
      <c r="T26" s="2"/>
      <c r="U26" s="2"/>
      <c r="V26" s="21"/>
      <c r="W26" s="2"/>
      <c r="X26" s="2">
        <f t="shared" si="2"/>
        <v>4522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--194.93</f>
        <v>194.93</v>
      </c>
      <c r="E27" s="2"/>
      <c r="F27" s="21"/>
      <c r="G27" s="2"/>
      <c r="H27" s="2"/>
      <c r="I27" s="2"/>
      <c r="J27" s="21"/>
      <c r="K27" s="2"/>
      <c r="L27" s="2">
        <f t="shared" si="0"/>
        <v>194.93</v>
      </c>
      <c r="M27" s="2"/>
      <c r="N27" s="21">
        <f t="shared" si="1"/>
        <v>0</v>
      </c>
      <c r="O27" s="11"/>
      <c r="P27" s="2">
        <f>--274.9</f>
        <v>274.89999999999998</v>
      </c>
      <c r="Q27" s="2"/>
      <c r="R27" s="21"/>
      <c r="S27" s="2"/>
      <c r="T27" s="2"/>
      <c r="U27" s="2"/>
      <c r="V27" s="21"/>
      <c r="W27" s="2"/>
      <c r="X27" s="2">
        <f t="shared" si="2"/>
        <v>274.89999999999998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21"/>
      <c r="G28" s="2"/>
      <c r="H28" s="2"/>
      <c r="I28" s="2"/>
      <c r="J28" s="21"/>
      <c r="K28" s="2"/>
      <c r="L28" s="2">
        <f t="shared" si="0"/>
        <v>0</v>
      </c>
      <c r="M28" s="2"/>
      <c r="N28" s="21">
        <f t="shared" si="1"/>
        <v>0</v>
      </c>
      <c r="O28" s="11"/>
      <c r="P28" s="2">
        <f>--99.98</f>
        <v>99.98</v>
      </c>
      <c r="Q28" s="2"/>
      <c r="R28" s="21"/>
      <c r="S28" s="2"/>
      <c r="T28" s="2"/>
      <c r="U28" s="2"/>
      <c r="V28" s="21"/>
      <c r="W28" s="2"/>
      <c r="X28" s="2">
        <f t="shared" si="2"/>
        <v>99.98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-575.76</f>
        <v>-575.76</v>
      </c>
      <c r="E29" s="2"/>
      <c r="F29" s="21"/>
      <c r="G29" s="2"/>
      <c r="H29" s="2"/>
      <c r="I29" s="2"/>
      <c r="J29" s="21"/>
      <c r="K29" s="2"/>
      <c r="L29" s="2">
        <f t="shared" si="0"/>
        <v>-575.76</v>
      </c>
      <c r="M29" s="2"/>
      <c r="N29" s="21">
        <f t="shared" si="1"/>
        <v>0</v>
      </c>
      <c r="O29" s="11"/>
      <c r="P29" s="2">
        <f>-2234.75</f>
        <v>-2234.75</v>
      </c>
      <c r="Q29" s="2"/>
      <c r="R29" s="21"/>
      <c r="S29" s="2"/>
      <c r="T29" s="2"/>
      <c r="U29" s="2"/>
      <c r="V29" s="21"/>
      <c r="W29" s="2"/>
      <c r="X29" s="2">
        <f t="shared" si="2"/>
        <v>-2234.75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-49848.66</f>
        <v>-49848.66</v>
      </c>
      <c r="E30" s="2"/>
      <c r="F30" s="21"/>
      <c r="G30" s="2"/>
      <c r="H30" s="2"/>
      <c r="I30" s="2"/>
      <c r="J30" s="21"/>
      <c r="K30" s="2"/>
      <c r="L30" s="2">
        <f t="shared" si="0"/>
        <v>-49848.66</v>
      </c>
      <c r="M30" s="2"/>
      <c r="N30" s="21">
        <f t="shared" si="1"/>
        <v>0</v>
      </c>
      <c r="O30" s="11"/>
      <c r="P30" s="2">
        <f>-120189.72</f>
        <v>-120189.72</v>
      </c>
      <c r="Q30" s="2"/>
      <c r="R30" s="21"/>
      <c r="S30" s="2"/>
      <c r="T30" s="2"/>
      <c r="U30" s="2"/>
      <c r="V30" s="21"/>
      <c r="W30" s="2"/>
      <c r="X30" s="2">
        <f t="shared" si="2"/>
        <v>-120189.72</v>
      </c>
      <c r="Y30" s="2"/>
      <c r="Z30" s="21">
        <f t="shared" si="3"/>
        <v>0</v>
      </c>
    </row>
    <row r="31" spans="1:26" s="24" customFormat="1" hidden="1" outlineLevel="1" x14ac:dyDescent="0.25">
      <c r="A31" s="46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-503.89</f>
        <v>-503.89</v>
      </c>
      <c r="E31" s="2"/>
      <c r="F31" s="21"/>
      <c r="G31" s="2"/>
      <c r="H31" s="2"/>
      <c r="I31" s="2"/>
      <c r="J31" s="21"/>
      <c r="K31" s="2"/>
      <c r="L31" s="2">
        <f t="shared" si="0"/>
        <v>-503.89</v>
      </c>
      <c r="M31" s="2"/>
      <c r="N31" s="21">
        <f t="shared" si="1"/>
        <v>0</v>
      </c>
      <c r="O31" s="11"/>
      <c r="P31" s="2">
        <f>-730.69</f>
        <v>-730.69</v>
      </c>
      <c r="Q31" s="2"/>
      <c r="R31" s="21"/>
      <c r="S31" s="2"/>
      <c r="T31" s="2"/>
      <c r="U31" s="2"/>
      <c r="V31" s="21"/>
      <c r="W31" s="2"/>
      <c r="X31" s="2">
        <f t="shared" si="2"/>
        <v>-730.69</v>
      </c>
      <c r="Y31" s="2"/>
      <c r="Z31" s="21">
        <f t="shared" si="3"/>
        <v>0</v>
      </c>
    </row>
    <row r="32" spans="1:26" s="24" customFormat="1" hidden="1" outlineLevel="1" x14ac:dyDescent="0.25">
      <c r="A32" s="46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>-129</f>
        <v>-129</v>
      </c>
      <c r="E32" s="2"/>
      <c r="F32" s="21"/>
      <c r="G32" s="2"/>
      <c r="H32" s="2"/>
      <c r="I32" s="2"/>
      <c r="J32" s="21"/>
      <c r="K32" s="2"/>
      <c r="L32" s="2">
        <f t="shared" si="0"/>
        <v>-129</v>
      </c>
      <c r="M32" s="2"/>
      <c r="N32" s="21">
        <f t="shared" si="1"/>
        <v>0</v>
      </c>
      <c r="O32" s="11"/>
      <c r="P32" s="2">
        <f>-129</f>
        <v>-129</v>
      </c>
      <c r="Q32" s="2"/>
      <c r="R32" s="21"/>
      <c r="S32" s="2"/>
      <c r="T32" s="2"/>
      <c r="U32" s="2"/>
      <c r="V32" s="21"/>
      <c r="W32" s="2"/>
      <c r="X32" s="2">
        <f t="shared" si="2"/>
        <v>-129</v>
      </c>
      <c r="Y32" s="2"/>
      <c r="Z32" s="21">
        <f t="shared" si="3"/>
        <v>0</v>
      </c>
    </row>
    <row r="33" spans="1:26" s="24" customFormat="1" hidden="1" outlineLevel="1" x14ac:dyDescent="0.25">
      <c r="A33" s="46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>0</f>
        <v>0</v>
      </c>
      <c r="E33" s="2"/>
      <c r="F33" s="21"/>
      <c r="G33" s="2"/>
      <c r="H33" s="2"/>
      <c r="I33" s="2"/>
      <c r="J33" s="21"/>
      <c r="K33" s="2"/>
      <c r="L33" s="2">
        <f t="shared" si="0"/>
        <v>0</v>
      </c>
      <c r="M33" s="2"/>
      <c r="N33" s="21">
        <f t="shared" si="1"/>
        <v>0</v>
      </c>
      <c r="O33" s="11"/>
      <c r="P33" s="2">
        <f>-406.99</f>
        <v>-406.99</v>
      </c>
      <c r="Q33" s="2"/>
      <c r="R33" s="21"/>
      <c r="S33" s="2"/>
      <c r="T33" s="2"/>
      <c r="U33" s="2"/>
      <c r="V33" s="21"/>
      <c r="W33" s="2"/>
      <c r="X33" s="2">
        <f t="shared" si="2"/>
        <v>-406.99</v>
      </c>
      <c r="Y33" s="2"/>
      <c r="Z33" s="21">
        <f t="shared" si="3"/>
        <v>0</v>
      </c>
    </row>
    <row r="34" spans="1:26" s="24" customFormat="1" hidden="1" outlineLevel="1" x14ac:dyDescent="0.25">
      <c r="A34" s="46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-635.2</f>
        <v>-635.20000000000005</v>
      </c>
      <c r="E34" s="2"/>
      <c r="F34" s="21"/>
      <c r="G34" s="2"/>
      <c r="H34" s="2"/>
      <c r="I34" s="2"/>
      <c r="J34" s="21"/>
      <c r="K34" s="2"/>
      <c r="L34" s="2">
        <f t="shared" si="0"/>
        <v>-635.20000000000005</v>
      </c>
      <c r="M34" s="2"/>
      <c r="N34" s="21">
        <f t="shared" si="1"/>
        <v>0</v>
      </c>
      <c r="O34" s="11"/>
      <c r="P34" s="2">
        <f>-1181.15</f>
        <v>-1181.1500000000001</v>
      </c>
      <c r="Q34" s="2"/>
      <c r="R34" s="21"/>
      <c r="S34" s="2"/>
      <c r="T34" s="2"/>
      <c r="U34" s="2"/>
      <c r="V34" s="21"/>
      <c r="W34" s="2"/>
      <c r="X34" s="2">
        <f t="shared" si="2"/>
        <v>-1181.1500000000001</v>
      </c>
      <c r="Y34" s="2"/>
      <c r="Z34" s="21">
        <f t="shared" si="3"/>
        <v>0</v>
      </c>
    </row>
    <row r="35" spans="1:26" s="24" customFormat="1" hidden="1" outlineLevel="1" x14ac:dyDescent="0.25">
      <c r="A35" s="46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>-24.99</f>
        <v>-24.99</v>
      </c>
      <c r="E35" s="2"/>
      <c r="F35" s="21"/>
      <c r="G35" s="2"/>
      <c r="H35" s="2"/>
      <c r="I35" s="2"/>
      <c r="J35" s="21"/>
      <c r="K35" s="2"/>
      <c r="L35" s="2">
        <f t="shared" si="0"/>
        <v>-24.99</v>
      </c>
      <c r="M35" s="2"/>
      <c r="N35" s="21">
        <f t="shared" si="1"/>
        <v>0</v>
      </c>
      <c r="O35" s="11"/>
      <c r="P35" s="2">
        <f>-24.99</f>
        <v>-24.99</v>
      </c>
      <c r="Q35" s="2"/>
      <c r="R35" s="21"/>
      <c r="S35" s="2"/>
      <c r="T35" s="2"/>
      <c r="U35" s="2"/>
      <c r="V35" s="21"/>
      <c r="W35" s="2"/>
      <c r="X35" s="2">
        <f t="shared" si="2"/>
        <v>-24.99</v>
      </c>
      <c r="Y35" s="2"/>
      <c r="Z35" s="21">
        <f t="shared" si="3"/>
        <v>0</v>
      </c>
    </row>
    <row r="36" spans="1:26" s="24" customFormat="1" hidden="1" outlineLevel="1" x14ac:dyDescent="0.25">
      <c r="A36" s="46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>-19.99</f>
        <v>-19.989999999999998</v>
      </c>
      <c r="E36" s="2"/>
      <c r="F36" s="21"/>
      <c r="G36" s="2"/>
      <c r="H36" s="2"/>
      <c r="I36" s="2"/>
      <c r="J36" s="21"/>
      <c r="K36" s="2"/>
      <c r="L36" s="2">
        <f t="shared" si="0"/>
        <v>-19.989999999999998</v>
      </c>
      <c r="M36" s="2"/>
      <c r="N36" s="21">
        <f t="shared" si="1"/>
        <v>0</v>
      </c>
      <c r="O36" s="11"/>
      <c r="P36" s="2">
        <f>-19.99</f>
        <v>-19.989999999999998</v>
      </c>
      <c r="Q36" s="2"/>
      <c r="R36" s="21"/>
      <c r="S36" s="2"/>
      <c r="T36" s="2"/>
      <c r="U36" s="2"/>
      <c r="V36" s="21"/>
      <c r="W36" s="2"/>
      <c r="X36" s="2">
        <f t="shared" si="2"/>
        <v>-19.989999999999998</v>
      </c>
      <c r="Y36" s="2"/>
      <c r="Z36" s="21">
        <f t="shared" si="3"/>
        <v>0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8" t="s">
        <v>8</v>
      </c>
      <c r="C38" s="10"/>
      <c r="D38" s="4">
        <f>SUM(OSRRefD16x_0)</f>
        <v>455074.88</v>
      </c>
      <c r="E38" s="4"/>
      <c r="F38" s="12">
        <f t="shared" ref="F38:F50" si="5">IF(D$12=0,0,D38/D$12)</f>
        <v>0.90740015604714608</v>
      </c>
      <c r="G38" s="4"/>
      <c r="H38" s="4">
        <f>SUM(OSRRefH16x_0)</f>
        <v>262235</v>
      </c>
      <c r="I38" s="4"/>
      <c r="J38" s="12">
        <f t="shared" ref="J38:J50" si="6">IF(H$12=0,0,H38/H$12)</f>
        <v>0.78096103161249009</v>
      </c>
      <c r="K38" s="4"/>
      <c r="L38" s="4">
        <f t="shared" ref="L38:L50" si="7">+D38-H38</f>
        <v>192839.88</v>
      </c>
      <c r="M38" s="4"/>
      <c r="N38" s="12">
        <f t="shared" ref="N38:N50" si="8">IF(H38=0,0,L38/H38)</f>
        <v>0.73537048830247675</v>
      </c>
      <c r="O38" s="10"/>
      <c r="P38" s="4">
        <f>SUM(OSRRefP16x_0)</f>
        <v>797395.07000000007</v>
      </c>
      <c r="Q38" s="4"/>
      <c r="R38" s="12">
        <f t="shared" ref="R38:R50" si="9">IF(P$12=0,0,P38/P$12)</f>
        <v>0.91459862469621722</v>
      </c>
      <c r="S38" s="4"/>
      <c r="T38" s="4">
        <f>SUM(OSRRefT16x_0)</f>
        <v>583862</v>
      </c>
      <c r="U38" s="4"/>
      <c r="V38" s="12">
        <f t="shared" ref="V38:V50" si="10">IF(T$12=0,0,T38/T$12)</f>
        <v>0.78096300517109007</v>
      </c>
      <c r="W38" s="4"/>
      <c r="X38" s="4">
        <f t="shared" ref="X38:X50" si="11">+P38-T38</f>
        <v>213533.07000000007</v>
      </c>
      <c r="Y38" s="4"/>
      <c r="Z38" s="12">
        <f t="shared" ref="Z38:Z50" si="12">IF(T38=0,0,X38/T38)</f>
        <v>0.36572523986832517</v>
      </c>
    </row>
    <row r="39" spans="1:26" s="24" customFormat="1" hidden="1" outlineLevel="1" x14ac:dyDescent="0.25">
      <c r="A39" s="46"/>
      <c r="B39" s="11" t="str">
        <f>CONCATENATE("          ", "5000", " - ", "PURCHASES @ COST")</f>
        <v xml:space="preserve">          5000 - PURCHASES @ COST</v>
      </c>
      <c r="C39" s="11"/>
      <c r="D39" s="2"/>
      <c r="E39" s="2"/>
      <c r="F39" s="21">
        <f t="shared" si="5"/>
        <v>0</v>
      </c>
      <c r="G39" s="2"/>
      <c r="H39" s="2">
        <v>262235</v>
      </c>
      <c r="I39" s="2"/>
      <c r="J39" s="21">
        <f t="shared" si="6"/>
        <v>0.78096103161249009</v>
      </c>
      <c r="K39" s="2"/>
      <c r="L39" s="2">
        <f t="shared" si="7"/>
        <v>-262235</v>
      </c>
      <c r="M39" s="2"/>
      <c r="N39" s="21">
        <f t="shared" si="8"/>
        <v>-1</v>
      </c>
      <c r="O39" s="11"/>
      <c r="P39" s="2"/>
      <c r="Q39" s="2"/>
      <c r="R39" s="21">
        <f t="shared" si="9"/>
        <v>0</v>
      </c>
      <c r="S39" s="2"/>
      <c r="T39" s="2">
        <v>583862</v>
      </c>
      <c r="U39" s="2"/>
      <c r="V39" s="21">
        <f t="shared" si="10"/>
        <v>0.78096300517109007</v>
      </c>
      <c r="W39" s="2"/>
      <c r="X39" s="2">
        <f t="shared" si="11"/>
        <v>-583862</v>
      </c>
      <c r="Y39" s="2"/>
      <c r="Z39" s="21">
        <f t="shared" si="12"/>
        <v>-1</v>
      </c>
    </row>
    <row r="40" spans="1:26" s="24" customFormat="1" hidden="1" outlineLevel="1" x14ac:dyDescent="0.25">
      <c r="A40" s="46"/>
      <c r="B40" s="11" t="str">
        <f>CONCATENATE("          ", "5081", " - ", "PURCHASES @ COST-ELECTRONICS")</f>
        <v xml:space="preserve">          5081 - PURCHASES @ COST-ELECTRONICS</v>
      </c>
      <c r="C40" s="11"/>
      <c r="D40" s="2">
        <v>17400.329999999998</v>
      </c>
      <c r="E40" s="2"/>
      <c r="F40" s="21">
        <f t="shared" si="5"/>
        <v>3.4695525618271515E-2</v>
      </c>
      <c r="G40" s="2"/>
      <c r="H40" s="2"/>
      <c r="I40" s="2"/>
      <c r="J40" s="21">
        <f t="shared" si="6"/>
        <v>0</v>
      </c>
      <c r="K40" s="2"/>
      <c r="L40" s="2">
        <f t="shared" si="7"/>
        <v>17400.329999999998</v>
      </c>
      <c r="M40" s="2"/>
      <c r="N40" s="21">
        <f t="shared" si="8"/>
        <v>0</v>
      </c>
      <c r="O40" s="11"/>
      <c r="P40" s="2">
        <v>83458.680000000008</v>
      </c>
      <c r="Q40" s="2"/>
      <c r="R40" s="21">
        <f t="shared" si="9"/>
        <v>9.5725690838497024E-2</v>
      </c>
      <c r="S40" s="2"/>
      <c r="T40" s="2"/>
      <c r="U40" s="2"/>
      <c r="V40" s="21">
        <f t="shared" si="10"/>
        <v>0</v>
      </c>
      <c r="W40" s="2"/>
      <c r="X40" s="2">
        <f t="shared" si="11"/>
        <v>83458.680000000008</v>
      </c>
      <c r="Y40" s="2"/>
      <c r="Z40" s="21">
        <f t="shared" si="12"/>
        <v>0</v>
      </c>
    </row>
    <row r="41" spans="1:26" s="24" customFormat="1" hidden="1" outlineLevel="1" x14ac:dyDescent="0.25">
      <c r="A41" s="46"/>
      <c r="B41" s="11" t="str">
        <f>CONCATENATE("          ", "5082", " - ", "PURCHASES @ COST-COMPUTER HARD")</f>
        <v xml:space="preserve">          5082 - PURCHASES @ COST-COMPUTER HARD</v>
      </c>
      <c r="C41" s="11"/>
      <c r="D41" s="2">
        <v>317062.93</v>
      </c>
      <c r="E41" s="2"/>
      <c r="F41" s="21">
        <f t="shared" si="5"/>
        <v>0.63221013684333738</v>
      </c>
      <c r="G41" s="2"/>
      <c r="H41" s="2"/>
      <c r="I41" s="2"/>
      <c r="J41" s="21">
        <f t="shared" si="6"/>
        <v>0</v>
      </c>
      <c r="K41" s="2"/>
      <c r="L41" s="2">
        <f t="shared" si="7"/>
        <v>317062.93</v>
      </c>
      <c r="M41" s="2"/>
      <c r="N41" s="21">
        <f t="shared" si="8"/>
        <v>0</v>
      </c>
      <c r="O41" s="11"/>
      <c r="P41" s="2">
        <v>673622.9</v>
      </c>
      <c r="Q41" s="2"/>
      <c r="R41" s="21">
        <f t="shared" si="9"/>
        <v>0.77263404438138483</v>
      </c>
      <c r="S41" s="2"/>
      <c r="T41" s="2"/>
      <c r="U41" s="2"/>
      <c r="V41" s="21">
        <f t="shared" si="10"/>
        <v>0</v>
      </c>
      <c r="W41" s="2"/>
      <c r="X41" s="2">
        <f t="shared" si="11"/>
        <v>673622.9</v>
      </c>
      <c r="Y41" s="2"/>
      <c r="Z41" s="21">
        <f t="shared" si="12"/>
        <v>0</v>
      </c>
    </row>
    <row r="42" spans="1:26" s="24" customFormat="1" hidden="1" outlineLevel="1" x14ac:dyDescent="0.25">
      <c r="A42" s="46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9916.2999999999993</v>
      </c>
      <c r="E42" s="2"/>
      <c r="F42" s="21">
        <f t="shared" si="5"/>
        <v>1.9772684810487263E-2</v>
      </c>
      <c r="G42" s="2"/>
      <c r="H42" s="2"/>
      <c r="I42" s="2"/>
      <c r="J42" s="21">
        <f t="shared" si="6"/>
        <v>0</v>
      </c>
      <c r="K42" s="2"/>
      <c r="L42" s="2">
        <f t="shared" si="7"/>
        <v>9916.2999999999993</v>
      </c>
      <c r="M42" s="2"/>
      <c r="N42" s="21">
        <f t="shared" si="8"/>
        <v>0</v>
      </c>
      <c r="O42" s="11"/>
      <c r="P42" s="2">
        <v>17192.439999999999</v>
      </c>
      <c r="Q42" s="2"/>
      <c r="R42" s="21">
        <f t="shared" si="9"/>
        <v>1.9719437165785624E-2</v>
      </c>
      <c r="S42" s="2"/>
      <c r="T42" s="2"/>
      <c r="U42" s="2"/>
      <c r="V42" s="21">
        <f t="shared" si="10"/>
        <v>0</v>
      </c>
      <c r="W42" s="2"/>
      <c r="X42" s="2">
        <f t="shared" si="11"/>
        <v>17192.439999999999</v>
      </c>
      <c r="Y42" s="2"/>
      <c r="Z42" s="21">
        <f t="shared" si="12"/>
        <v>0</v>
      </c>
    </row>
    <row r="43" spans="1:26" s="24" customFormat="1" hidden="1" outlineLevel="1" x14ac:dyDescent="0.25">
      <c r="A43" s="46"/>
      <c r="B43" s="11" t="str">
        <f>CONCATENATE("          ", "5084", " - ", "PURCHASES @ COST-SOFTWARE LICE")</f>
        <v xml:space="preserve">          5084 - PURCHASES @ COST-SOFTWARE LICE</v>
      </c>
      <c r="C43" s="11"/>
      <c r="D43" s="2">
        <v>1522</v>
      </c>
      <c r="E43" s="2"/>
      <c r="F43" s="21">
        <f t="shared" si="5"/>
        <v>3.0348039371097704E-3</v>
      </c>
      <c r="G43" s="2"/>
      <c r="H43" s="2"/>
      <c r="I43" s="2"/>
      <c r="J43" s="21">
        <f t="shared" si="6"/>
        <v>0</v>
      </c>
      <c r="K43" s="2"/>
      <c r="L43" s="2">
        <f t="shared" si="7"/>
        <v>1522</v>
      </c>
      <c r="M43" s="2"/>
      <c r="N43" s="21">
        <f t="shared" si="8"/>
        <v>0</v>
      </c>
      <c r="O43" s="11"/>
      <c r="P43" s="2">
        <v>1522</v>
      </c>
      <c r="Q43" s="2"/>
      <c r="R43" s="21">
        <f t="shared" si="9"/>
        <v>1.7457081930386685E-3</v>
      </c>
      <c r="S43" s="2"/>
      <c r="T43" s="2"/>
      <c r="U43" s="2"/>
      <c r="V43" s="21">
        <f t="shared" si="10"/>
        <v>0</v>
      </c>
      <c r="W43" s="2"/>
      <c r="X43" s="2">
        <f t="shared" si="11"/>
        <v>1522</v>
      </c>
      <c r="Y43" s="2"/>
      <c r="Z43" s="21">
        <f t="shared" si="12"/>
        <v>0</v>
      </c>
    </row>
    <row r="44" spans="1:26" s="24" customFormat="1" hidden="1" outlineLevel="1" x14ac:dyDescent="0.25">
      <c r="A44" s="46"/>
      <c r="B44" s="11" t="str">
        <f>CONCATENATE("          ", "5085", " - ", "PURCHASES @ COST-SOFTWARE")</f>
        <v xml:space="preserve">          5085 - PURCHASES @ COST-SOFTWARE</v>
      </c>
      <c r="C44" s="11"/>
      <c r="D44" s="2">
        <v>3368</v>
      </c>
      <c r="E44" s="2"/>
      <c r="F44" s="21">
        <f t="shared" si="5"/>
        <v>6.7156502366528953E-3</v>
      </c>
      <c r="G44" s="2"/>
      <c r="H44" s="2"/>
      <c r="I44" s="2"/>
      <c r="J44" s="21">
        <f t="shared" si="6"/>
        <v>0</v>
      </c>
      <c r="K44" s="2"/>
      <c r="L44" s="2">
        <f t="shared" si="7"/>
        <v>3368</v>
      </c>
      <c r="M44" s="2"/>
      <c r="N44" s="21">
        <f t="shared" si="8"/>
        <v>0</v>
      </c>
      <c r="O44" s="11"/>
      <c r="P44" s="2">
        <v>3368</v>
      </c>
      <c r="Q44" s="2"/>
      <c r="R44" s="21">
        <f t="shared" si="9"/>
        <v>3.8630388923483806E-3</v>
      </c>
      <c r="S44" s="2"/>
      <c r="T44" s="2"/>
      <c r="U44" s="2"/>
      <c r="V44" s="21">
        <f t="shared" si="10"/>
        <v>0</v>
      </c>
      <c r="W44" s="2"/>
      <c r="X44" s="2">
        <f t="shared" si="11"/>
        <v>3368</v>
      </c>
      <c r="Y44" s="2"/>
      <c r="Z44" s="21">
        <f t="shared" si="12"/>
        <v>0</v>
      </c>
    </row>
    <row r="45" spans="1:26" s="24" customFormat="1" hidden="1" outlineLevel="1" x14ac:dyDescent="0.25">
      <c r="A45" s="46"/>
      <c r="B45" s="11" t="str">
        <f>CONCATENATE("          ", "5086", " - ", "PURCHASES @ COST-COMPUTER SUPP")</f>
        <v xml:space="preserve">          5086 - PURCHASES @ COST-COMPUTER SUPP</v>
      </c>
      <c r="C45" s="11"/>
      <c r="D45" s="2">
        <v>2779.81</v>
      </c>
      <c r="E45" s="2"/>
      <c r="F45" s="21">
        <f t="shared" si="5"/>
        <v>5.5428241343082199E-3</v>
      </c>
      <c r="G45" s="2"/>
      <c r="H45" s="2"/>
      <c r="I45" s="2"/>
      <c r="J45" s="21">
        <f t="shared" si="6"/>
        <v>0</v>
      </c>
      <c r="K45" s="2"/>
      <c r="L45" s="2">
        <f t="shared" si="7"/>
        <v>2779.81</v>
      </c>
      <c r="M45" s="2"/>
      <c r="N45" s="21">
        <f t="shared" si="8"/>
        <v>0</v>
      </c>
      <c r="O45" s="11"/>
      <c r="P45" s="2">
        <v>6206.88</v>
      </c>
      <c r="Q45" s="2"/>
      <c r="R45" s="21">
        <f t="shared" si="9"/>
        <v>7.1191861164309131E-3</v>
      </c>
      <c r="S45" s="2"/>
      <c r="T45" s="2"/>
      <c r="U45" s="2"/>
      <c r="V45" s="21">
        <f t="shared" si="10"/>
        <v>0</v>
      </c>
      <c r="W45" s="2"/>
      <c r="X45" s="2">
        <f t="shared" si="11"/>
        <v>6206.88</v>
      </c>
      <c r="Y45" s="2"/>
      <c r="Z45" s="21">
        <f t="shared" si="12"/>
        <v>0</v>
      </c>
    </row>
    <row r="46" spans="1:26" s="24" customFormat="1" hidden="1" outlineLevel="1" x14ac:dyDescent="0.25">
      <c r="A46" s="46"/>
      <c r="B46" s="11" t="str">
        <f>CONCATENATE("          ", "5088", " - ", "PURCHASES @ COST-MUSIC")</f>
        <v xml:space="preserve">          5088 - PURCHASES @ COST-MUSIC</v>
      </c>
      <c r="C46" s="11"/>
      <c r="D46" s="2"/>
      <c r="E46" s="2"/>
      <c r="F46" s="21">
        <f t="shared" si="5"/>
        <v>0</v>
      </c>
      <c r="G46" s="2"/>
      <c r="H46" s="2"/>
      <c r="I46" s="2"/>
      <c r="J46" s="21">
        <f t="shared" si="6"/>
        <v>0</v>
      </c>
      <c r="K46" s="2"/>
      <c r="L46" s="2">
        <f t="shared" si="7"/>
        <v>0</v>
      </c>
      <c r="M46" s="2"/>
      <c r="N46" s="21">
        <f t="shared" si="8"/>
        <v>0</v>
      </c>
      <c r="O46" s="11"/>
      <c r="P46" s="2">
        <v>82</v>
      </c>
      <c r="Q46" s="2"/>
      <c r="R46" s="21">
        <f t="shared" si="9"/>
        <v>9.4052609611807364E-5</v>
      </c>
      <c r="S46" s="2"/>
      <c r="T46" s="2"/>
      <c r="U46" s="2"/>
      <c r="V46" s="21">
        <f t="shared" si="10"/>
        <v>0</v>
      </c>
      <c r="W46" s="2"/>
      <c r="X46" s="2">
        <f t="shared" si="11"/>
        <v>82</v>
      </c>
      <c r="Y46" s="2"/>
      <c r="Z46" s="21">
        <f t="shared" si="12"/>
        <v>0</v>
      </c>
    </row>
    <row r="47" spans="1:26" s="24" customFormat="1" hidden="1" outlineLevel="1" x14ac:dyDescent="0.25">
      <c r="A47" s="46"/>
      <c r="B47" s="11" t="str">
        <f>CONCATENATE("          ", "5200", " - ", "PURCHASES OFFSET")</f>
        <v xml:space="preserve">          5200 - PURCHASES OFFSET</v>
      </c>
      <c r="C47" s="11"/>
      <c r="D47" s="2">
        <v>-352082</v>
      </c>
      <c r="E47" s="2"/>
      <c r="F47" s="21">
        <f t="shared" si="5"/>
        <v>-0.70203668842672939</v>
      </c>
      <c r="G47" s="2"/>
      <c r="H47" s="2"/>
      <c r="I47" s="2"/>
      <c r="J47" s="21">
        <f t="shared" si="6"/>
        <v>0</v>
      </c>
      <c r="K47" s="2"/>
      <c r="L47" s="2">
        <f t="shared" si="7"/>
        <v>-352082</v>
      </c>
      <c r="M47" s="2"/>
      <c r="N47" s="21">
        <f t="shared" si="8"/>
        <v>0</v>
      </c>
      <c r="O47" s="11"/>
      <c r="P47" s="2">
        <v>-785522</v>
      </c>
      <c r="Q47" s="2"/>
      <c r="R47" s="21">
        <f t="shared" si="9"/>
        <v>-0.90098041472544077</v>
      </c>
      <c r="S47" s="2"/>
      <c r="T47" s="2"/>
      <c r="U47" s="2"/>
      <c r="V47" s="21">
        <f t="shared" si="10"/>
        <v>0</v>
      </c>
      <c r="W47" s="2"/>
      <c r="X47" s="2">
        <f t="shared" si="11"/>
        <v>-785522</v>
      </c>
      <c r="Y47" s="2"/>
      <c r="Z47" s="21">
        <f t="shared" si="12"/>
        <v>0</v>
      </c>
    </row>
    <row r="48" spans="1:26" s="24" customFormat="1" hidden="1" outlineLevel="1" x14ac:dyDescent="0.25">
      <c r="A48" s="46"/>
      <c r="B48" s="11" t="str">
        <f>CONCATENATE("          ", "5300", " - ", "COG$ OFFSET")</f>
        <v xml:space="preserve">          5300 - COG$ OFFSET</v>
      </c>
      <c r="C48" s="11"/>
      <c r="D48" s="2">
        <v>455074</v>
      </c>
      <c r="E48" s="2"/>
      <c r="F48" s="21">
        <f t="shared" si="5"/>
        <v>0.90739840136418637</v>
      </c>
      <c r="G48" s="2"/>
      <c r="H48" s="2"/>
      <c r="I48" s="2"/>
      <c r="J48" s="21">
        <f t="shared" si="6"/>
        <v>0</v>
      </c>
      <c r="K48" s="2"/>
      <c r="L48" s="2">
        <f t="shared" si="7"/>
        <v>455074</v>
      </c>
      <c r="M48" s="2"/>
      <c r="N48" s="21">
        <f t="shared" si="8"/>
        <v>0</v>
      </c>
      <c r="O48" s="11"/>
      <c r="P48" s="2">
        <v>797394</v>
      </c>
      <c r="Q48" s="2"/>
      <c r="R48" s="21">
        <f t="shared" si="9"/>
        <v>0.91459739742435997</v>
      </c>
      <c r="S48" s="2"/>
      <c r="T48" s="2"/>
      <c r="U48" s="2"/>
      <c r="V48" s="21">
        <f t="shared" si="10"/>
        <v>0</v>
      </c>
      <c r="W48" s="2"/>
      <c r="X48" s="2">
        <f t="shared" si="11"/>
        <v>797394</v>
      </c>
      <c r="Y48" s="2"/>
      <c r="Z48" s="21">
        <f t="shared" si="12"/>
        <v>0</v>
      </c>
    </row>
    <row r="49" spans="1:26" s="24" customFormat="1" hidden="1" outlineLevel="1" x14ac:dyDescent="0.25">
      <c r="A49" s="46"/>
      <c r="B49" s="11" t="str">
        <f>CONCATENATE("          ", "5583", " - ", "FREIGHT-IN-COMPUTER EQUIPMENT")</f>
        <v xml:space="preserve">          5583 - FREIGHT-IN-COMPUTER EQUIPMENT</v>
      </c>
      <c r="C49" s="11"/>
      <c r="D49" s="2">
        <v>26.15</v>
      </c>
      <c r="E49" s="2"/>
      <c r="F49" s="21">
        <f t="shared" si="5"/>
        <v>5.2141999313679692E-5</v>
      </c>
      <c r="G49" s="2"/>
      <c r="H49" s="2"/>
      <c r="I49" s="2"/>
      <c r="J49" s="21">
        <f t="shared" si="6"/>
        <v>0</v>
      </c>
      <c r="K49" s="2"/>
      <c r="L49" s="2">
        <f t="shared" si="7"/>
        <v>26.15</v>
      </c>
      <c r="M49" s="2"/>
      <c r="N49" s="21">
        <f t="shared" si="8"/>
        <v>0</v>
      </c>
      <c r="O49" s="11"/>
      <c r="P49" s="2">
        <v>33.14</v>
      </c>
      <c r="Q49" s="2"/>
      <c r="R49" s="21">
        <f t="shared" si="9"/>
        <v>3.8011018079698734E-5</v>
      </c>
      <c r="S49" s="2"/>
      <c r="T49" s="2"/>
      <c r="U49" s="2"/>
      <c r="V49" s="21">
        <f t="shared" si="10"/>
        <v>0</v>
      </c>
      <c r="W49" s="2"/>
      <c r="X49" s="2">
        <f t="shared" si="11"/>
        <v>33.14</v>
      </c>
      <c r="Y49" s="2"/>
      <c r="Z49" s="21">
        <f t="shared" si="12"/>
        <v>0</v>
      </c>
    </row>
    <row r="50" spans="1:26" s="24" customFormat="1" hidden="1" outlineLevel="1" x14ac:dyDescent="0.25">
      <c r="A50" s="46"/>
      <c r="B50" s="11" t="str">
        <f>CONCATENATE("          ", "5586", " - ", "FREIGHT-IN-COMPUTER SUPPLIES")</f>
        <v xml:space="preserve">          5586 - FREIGHT-IN-COMPUTER SUPPLIES</v>
      </c>
      <c r="C50" s="11"/>
      <c r="D50" s="2">
        <v>7.36</v>
      </c>
      <c r="E50" s="2"/>
      <c r="F50" s="21">
        <f t="shared" si="5"/>
        <v>1.4675530208362623E-5</v>
      </c>
      <c r="G50" s="2"/>
      <c r="H50" s="2"/>
      <c r="I50" s="2"/>
      <c r="J50" s="21">
        <f t="shared" si="6"/>
        <v>0</v>
      </c>
      <c r="K50" s="2"/>
      <c r="L50" s="2">
        <f t="shared" si="7"/>
        <v>7.36</v>
      </c>
      <c r="M50" s="2"/>
      <c r="N50" s="21">
        <f t="shared" si="8"/>
        <v>0</v>
      </c>
      <c r="O50" s="11"/>
      <c r="P50" s="2">
        <v>37.03</v>
      </c>
      <c r="Q50" s="2"/>
      <c r="R50" s="21">
        <f t="shared" si="9"/>
        <v>4.247278212103935E-5</v>
      </c>
      <c r="S50" s="2"/>
      <c r="T50" s="2"/>
      <c r="U50" s="2"/>
      <c r="V50" s="21">
        <f t="shared" si="10"/>
        <v>0</v>
      </c>
      <c r="W50" s="2"/>
      <c r="X50" s="2">
        <f t="shared" si="11"/>
        <v>37.03</v>
      </c>
      <c r="Y50" s="2"/>
      <c r="Z50" s="21">
        <f t="shared" si="12"/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9" t="s">
        <v>6</v>
      </c>
      <c r="C52" s="29"/>
      <c r="D52" s="22">
        <f>D12-D38</f>
        <v>46440.219999999914</v>
      </c>
      <c r="E52" s="14"/>
      <c r="F52" s="20">
        <f>IF(D$12=0,0,D52/D$12)</f>
        <v>9.2599843952853908E-2</v>
      </c>
      <c r="G52" s="14"/>
      <c r="H52" s="22">
        <f>H12-H38</f>
        <v>73550</v>
      </c>
      <c r="I52" s="14"/>
      <c r="J52" s="20">
        <f>IF(H$12=0,0,H52/H$12)</f>
        <v>0.21903896838750986</v>
      </c>
      <c r="K52" s="15"/>
      <c r="L52" s="22">
        <f>+D52-H52</f>
        <v>-27109.780000000086</v>
      </c>
      <c r="M52" s="15"/>
      <c r="N52" s="20">
        <f>IF(H52=0,0,L52/H52)</f>
        <v>-0.36858980285520171</v>
      </c>
      <c r="O52" s="28"/>
      <c r="P52" s="22">
        <f>P12-P38</f>
        <v>74457.400000000023</v>
      </c>
      <c r="Q52" s="14"/>
      <c r="R52" s="20">
        <f>IF(P$12=0,0,P52/P$12)</f>
        <v>8.5401375303782778E-2</v>
      </c>
      <c r="S52" s="14"/>
      <c r="T52" s="22">
        <f>T12-T38</f>
        <v>163756</v>
      </c>
      <c r="U52" s="14"/>
      <c r="V52" s="20">
        <f>IF(T$12=0,0,T52/T$12)</f>
        <v>0.21903699482890995</v>
      </c>
      <c r="W52" s="15"/>
      <c r="X52" s="22">
        <f>+P52-T52</f>
        <v>-89298.599999999977</v>
      </c>
      <c r="Y52" s="15"/>
      <c r="Z52" s="20">
        <f>IF(T52=0,0,X52/T52)</f>
        <v>-0.54531498082512997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8" t="s">
        <v>9</v>
      </c>
      <c r="C54" s="10"/>
      <c r="D54" s="19">
        <f>SUM(OSRRefD22x_0)</f>
        <v>64865.639999999992</v>
      </c>
      <c r="E54" s="19"/>
      <c r="F54" s="34">
        <f t="shared" ref="F54:F65" si="13">IF(D$12=0,0,D54/D$12)</f>
        <v>0.12933935588380091</v>
      </c>
      <c r="G54" s="19"/>
      <c r="H54" s="19">
        <f>SUM(OSRRefH22x_0)</f>
        <v>16907.076168916923</v>
      </c>
      <c r="I54" s="19"/>
      <c r="J54" s="34">
        <f t="shared" ref="J54:J65" si="14">IF(H$12=0,0,H54/H$12)</f>
        <v>5.035089765450191E-2</v>
      </c>
      <c r="K54" s="4"/>
      <c r="L54" s="19">
        <f t="shared" ref="L54:L65" si="15">+D54-H54</f>
        <v>47958.563831083069</v>
      </c>
      <c r="M54" s="4"/>
      <c r="N54" s="34">
        <f t="shared" ref="N54:N65" si="16">IF(H54=0,0,L54/H54)</f>
        <v>2.8365971355386237</v>
      </c>
      <c r="O54" s="10"/>
      <c r="P54" s="19">
        <f>SUM(OSRRefP22x_0)</f>
        <v>89894.57</v>
      </c>
      <c r="Q54" s="19"/>
      <c r="R54" s="34">
        <f t="shared" ref="R54:R65" si="17">IF(P$12=0,0,P54/P$12)</f>
        <v>0.10310754754184501</v>
      </c>
      <c r="S54" s="19"/>
      <c r="T54" s="19">
        <f>SUM(OSRRefT22x_0)</f>
        <v>33221.053205813078</v>
      </c>
      <c r="U54" s="19"/>
      <c r="V54" s="34">
        <f t="shared" ref="V54:V65" si="18">IF(T$12=0,0,T54/T$12)</f>
        <v>4.4435865917906041E-2</v>
      </c>
      <c r="W54" s="4"/>
      <c r="X54" s="19">
        <f t="shared" ref="X54:X65" si="19">+P54-T54</f>
        <v>56673.516794186929</v>
      </c>
      <c r="Y54" s="4"/>
      <c r="Z54" s="34">
        <f t="shared" ref="Z54:Z65" si="20">IF(T54=0,0,X54/T54)</f>
        <v>1.7059518385247971</v>
      </c>
    </row>
    <row r="55" spans="1:26" s="26" customFormat="1" outlineLevel="1" collapsed="1" x14ac:dyDescent="0.25">
      <c r="A55" s="25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2410.7799999999997</v>
      </c>
      <c r="E55" s="1"/>
      <c r="F55" s="5">
        <f t="shared" si="13"/>
        <v>4.8069938472440812E-3</v>
      </c>
      <c r="G55" s="1"/>
      <c r="H55" s="1">
        <f>SUM(OSRRefH22_0x_0)</f>
        <v>2872.0947781476916</v>
      </c>
      <c r="I55" s="1"/>
      <c r="J55" s="5">
        <f t="shared" si="14"/>
        <v>8.5533742667114124E-3</v>
      </c>
      <c r="K55" s="1"/>
      <c r="L55" s="1">
        <f t="shared" si="15"/>
        <v>-461.31477814769187</v>
      </c>
      <c r="M55" s="1"/>
      <c r="N55" s="5">
        <f t="shared" si="16"/>
        <v>-0.16061962218573056</v>
      </c>
      <c r="O55" s="13"/>
      <c r="P55" s="1">
        <f>SUM(OSRRefP22_0x_0)</f>
        <v>5129.54</v>
      </c>
      <c r="Q55" s="1"/>
      <c r="R55" s="5">
        <f t="shared" si="17"/>
        <v>5.8834954037579306E-3</v>
      </c>
      <c r="S55" s="1"/>
      <c r="T55" s="1">
        <f>SUM(OSRRefT22_0x_0)</f>
        <v>5810.3200765823067</v>
      </c>
      <c r="U55" s="1"/>
      <c r="V55" s="5">
        <f t="shared" si="18"/>
        <v>7.7717765979180634E-3</v>
      </c>
      <c r="W55" s="1"/>
      <c r="X55" s="1">
        <f t="shared" si="19"/>
        <v>-680.78007658230672</v>
      </c>
      <c r="Y55" s="1"/>
      <c r="Z55" s="5">
        <f t="shared" si="20"/>
        <v>-0.11716739656496668</v>
      </c>
    </row>
    <row r="56" spans="1:26" s="24" customFormat="1" hidden="1" outlineLevel="2" x14ac:dyDescent="0.25">
      <c r="A56" s="27"/>
      <c r="B56" s="11" t="str">
        <f>CONCATENATE("          ", "6111", " - ", "F.I.C.A.")</f>
        <v xml:space="preserve">          6111 - F.I.C.A.</v>
      </c>
      <c r="C56" s="11"/>
      <c r="D56" s="6">
        <v>577.69000000000005</v>
      </c>
      <c r="E56" s="2"/>
      <c r="F56" s="7">
        <f t="shared" si="13"/>
        <v>1.1518895443028538E-3</v>
      </c>
      <c r="G56" s="2"/>
      <c r="H56" s="6">
        <v>808.42397211692298</v>
      </c>
      <c r="I56" s="2"/>
      <c r="J56" s="7">
        <f t="shared" si="14"/>
        <v>2.4075642810635466E-3</v>
      </c>
      <c r="K56" s="2"/>
      <c r="L56" s="6">
        <f t="shared" si="15"/>
        <v>-230.73397211692293</v>
      </c>
      <c r="M56" s="2"/>
      <c r="N56" s="7">
        <f t="shared" si="16"/>
        <v>-0.28541208583007199</v>
      </c>
      <c r="O56" s="11"/>
      <c r="P56" s="6">
        <v>1075.54</v>
      </c>
      <c r="Q56" s="2"/>
      <c r="R56" s="7">
        <f t="shared" si="17"/>
        <v>1.2336261431936987E-3</v>
      </c>
      <c r="S56" s="2"/>
      <c r="T56" s="6">
        <v>1571.6300230130769</v>
      </c>
      <c r="U56" s="2"/>
      <c r="V56" s="7">
        <f t="shared" si="18"/>
        <v>2.102183231293357E-3</v>
      </c>
      <c r="W56" s="2"/>
      <c r="X56" s="6">
        <f t="shared" si="19"/>
        <v>-496.09002301307692</v>
      </c>
      <c r="Y56" s="2"/>
      <c r="Z56" s="7">
        <f t="shared" si="20"/>
        <v>-0.31565318538646242</v>
      </c>
    </row>
    <row r="57" spans="1:26" s="24" customFormat="1" hidden="1" outlineLevel="2" x14ac:dyDescent="0.25">
      <c r="A57" s="27"/>
      <c r="B57" s="11" t="str">
        <f>CONCATENATE("          ", "6112", " - ", "COMPENSATION INSURANCE")</f>
        <v xml:space="preserve">          6112 - COMPENSATION INSURANCE</v>
      </c>
      <c r="C57" s="11"/>
      <c r="D57" s="6">
        <v>133.99</v>
      </c>
      <c r="E57" s="2"/>
      <c r="F57" s="7">
        <f t="shared" si="13"/>
        <v>2.6717042019273207E-4</v>
      </c>
      <c r="G57" s="2"/>
      <c r="H57" s="6">
        <v>200.70633046153799</v>
      </c>
      <c r="I57" s="2"/>
      <c r="J57" s="7">
        <f t="shared" si="14"/>
        <v>5.9772274062730012E-4</v>
      </c>
      <c r="K57" s="2"/>
      <c r="L57" s="6">
        <f t="shared" si="15"/>
        <v>-66.716330461537979</v>
      </c>
      <c r="M57" s="2"/>
      <c r="N57" s="7">
        <f t="shared" si="16"/>
        <v>-0.33240770387321217</v>
      </c>
      <c r="O57" s="11"/>
      <c r="P57" s="6">
        <v>257.64</v>
      </c>
      <c r="Q57" s="2"/>
      <c r="R57" s="7">
        <f t="shared" si="17"/>
        <v>2.9550871146812252E-4</v>
      </c>
      <c r="S57" s="2"/>
      <c r="T57" s="6">
        <v>390.18646853846099</v>
      </c>
      <c r="U57" s="2"/>
      <c r="V57" s="7">
        <f t="shared" si="18"/>
        <v>5.2190619880535373E-4</v>
      </c>
      <c r="W57" s="2"/>
      <c r="X57" s="6">
        <f t="shared" si="19"/>
        <v>-132.546468538461</v>
      </c>
      <c r="Y57" s="2"/>
      <c r="Z57" s="7">
        <f t="shared" si="20"/>
        <v>-0.33970032081057622</v>
      </c>
    </row>
    <row r="58" spans="1:26" s="24" customFormat="1" hidden="1" outlineLevel="2" x14ac:dyDescent="0.25">
      <c r="A58" s="27"/>
      <c r="B58" s="11" t="str">
        <f>CONCATENATE("          ", "6113", " - ", "GROUP INSURANCE")</f>
        <v xml:space="preserve">          6113 - GROUP INSURANCE</v>
      </c>
      <c r="C58" s="11"/>
      <c r="D58" s="6">
        <v>964.88</v>
      </c>
      <c r="E58" s="2"/>
      <c r="F58" s="7">
        <f t="shared" si="13"/>
        <v>1.9239301069897997E-3</v>
      </c>
      <c r="G58" s="2"/>
      <c r="H58" s="6">
        <v>1186.2</v>
      </c>
      <c r="I58" s="2"/>
      <c r="J58" s="7">
        <f t="shared" si="14"/>
        <v>3.5326175975698738E-3</v>
      </c>
      <c r="K58" s="2"/>
      <c r="L58" s="6">
        <f t="shared" si="15"/>
        <v>-221.32000000000005</v>
      </c>
      <c r="M58" s="2"/>
      <c r="N58" s="7">
        <f t="shared" si="16"/>
        <v>-0.1865789917383241</v>
      </c>
      <c r="O58" s="11"/>
      <c r="P58" s="6">
        <v>1929.76</v>
      </c>
      <c r="Q58" s="2"/>
      <c r="R58" s="7">
        <f t="shared" si="17"/>
        <v>2.2134019990790411E-3</v>
      </c>
      <c r="S58" s="2"/>
      <c r="T58" s="6">
        <v>2372.4</v>
      </c>
      <c r="U58" s="2"/>
      <c r="V58" s="7">
        <f t="shared" si="18"/>
        <v>3.1732783319823763E-3</v>
      </c>
      <c r="W58" s="2"/>
      <c r="X58" s="6">
        <f t="shared" si="19"/>
        <v>-442.6400000000001</v>
      </c>
      <c r="Y58" s="2"/>
      <c r="Z58" s="7">
        <f t="shared" si="20"/>
        <v>-0.1865789917383241</v>
      </c>
    </row>
    <row r="59" spans="1:26" s="24" customFormat="1" hidden="1" outlineLevel="2" x14ac:dyDescent="0.25">
      <c r="A59" s="27"/>
      <c r="B59" s="11" t="str">
        <f>CONCATENATE("          ", "6114", " - ", "STATE UNEMPLOYMENT INSURANCE")</f>
        <v xml:space="preserve">          6114 - STATE UNEMPLOYMENT INSURANCE</v>
      </c>
      <c r="C59" s="11"/>
      <c r="D59" s="6">
        <v>18.34</v>
      </c>
      <c r="E59" s="2"/>
      <c r="F59" s="7">
        <f t="shared" si="13"/>
        <v>3.656918804638186E-5</v>
      </c>
      <c r="G59" s="2"/>
      <c r="H59" s="6">
        <v>27.465076799999999</v>
      </c>
      <c r="I59" s="2"/>
      <c r="J59" s="7">
        <f t="shared" si="14"/>
        <v>8.1793638191104422E-5</v>
      </c>
      <c r="K59" s="2"/>
      <c r="L59" s="6">
        <f t="shared" si="15"/>
        <v>-9.1250767999999987</v>
      </c>
      <c r="M59" s="2"/>
      <c r="N59" s="7">
        <f t="shared" si="16"/>
        <v>-0.33224290128327622</v>
      </c>
      <c r="O59" s="11"/>
      <c r="P59" s="6">
        <v>35.26</v>
      </c>
      <c r="Q59" s="2"/>
      <c r="R59" s="7">
        <f t="shared" si="17"/>
        <v>4.0442622133077162E-5</v>
      </c>
      <c r="S59" s="2"/>
      <c r="T59" s="6">
        <v>53.393937800000003</v>
      </c>
      <c r="U59" s="2"/>
      <c r="V59" s="7">
        <f t="shared" si="18"/>
        <v>7.141874299441694E-5</v>
      </c>
      <c r="W59" s="2"/>
      <c r="X59" s="6">
        <f t="shared" si="19"/>
        <v>-18.133937800000005</v>
      </c>
      <c r="Y59" s="2"/>
      <c r="Z59" s="7">
        <f t="shared" si="20"/>
        <v>-0.3396254059388743</v>
      </c>
    </row>
    <row r="60" spans="1:26" s="24" customFormat="1" hidden="1" outlineLevel="2" x14ac:dyDescent="0.25">
      <c r="A60" s="27"/>
      <c r="B60" s="11" t="str">
        <f>CONCATENATE("          ", "6115", " - ", "P.E.R.S.")</f>
        <v xml:space="preserve">          6115 - P.E.R.S.</v>
      </c>
      <c r="C60" s="11"/>
      <c r="D60" s="6">
        <v>183.4</v>
      </c>
      <c r="E60" s="2"/>
      <c r="F60" s="7">
        <f t="shared" si="13"/>
        <v>3.6569188046381863E-4</v>
      </c>
      <c r="G60" s="2"/>
      <c r="H60" s="6">
        <v>294.022912615385</v>
      </c>
      <c r="I60" s="2"/>
      <c r="J60" s="7">
        <f t="shared" si="14"/>
        <v>8.7562849029999845E-4</v>
      </c>
      <c r="K60" s="2"/>
      <c r="L60" s="6">
        <f t="shared" si="15"/>
        <v>-110.62291261538499</v>
      </c>
      <c r="M60" s="2"/>
      <c r="N60" s="7">
        <f t="shared" si="16"/>
        <v>-0.37623908841448755</v>
      </c>
      <c r="O60" s="11"/>
      <c r="P60" s="6">
        <v>366.8</v>
      </c>
      <c r="Q60" s="2"/>
      <c r="R60" s="7">
        <f t="shared" si="17"/>
        <v>4.2071338055623103E-4</v>
      </c>
      <c r="S60" s="2"/>
      <c r="T60" s="6">
        <v>661.551553384616</v>
      </c>
      <c r="U60" s="2"/>
      <c r="V60" s="7">
        <f t="shared" si="18"/>
        <v>8.84879113911939E-4</v>
      </c>
      <c r="W60" s="2"/>
      <c r="X60" s="6">
        <f t="shared" si="19"/>
        <v>-294.75155338461599</v>
      </c>
      <c r="Y60" s="2"/>
      <c r="Z60" s="7">
        <f t="shared" si="20"/>
        <v>-0.44554585636843319</v>
      </c>
    </row>
    <row r="61" spans="1:26" s="24" customFormat="1" hidden="1" outlineLevel="2" x14ac:dyDescent="0.25">
      <c r="A61" s="27"/>
      <c r="B61" s="11" t="str">
        <f>CONCATENATE("          ", "6116", " - ", "EDUCATIONAL BENEFITS")</f>
        <v xml:space="preserve">          6116 - EDUCATIONAL BENEFITS</v>
      </c>
      <c r="C61" s="11"/>
      <c r="D61" s="6"/>
      <c r="E61" s="2"/>
      <c r="F61" s="7">
        <f t="shared" si="13"/>
        <v>0</v>
      </c>
      <c r="G61" s="2"/>
      <c r="H61" s="6">
        <v>0</v>
      </c>
      <c r="I61" s="2"/>
      <c r="J61" s="7">
        <f t="shared" si="14"/>
        <v>0</v>
      </c>
      <c r="K61" s="2"/>
      <c r="L61" s="6">
        <f t="shared" si="15"/>
        <v>0</v>
      </c>
      <c r="M61" s="2"/>
      <c r="N61" s="7">
        <f t="shared" si="16"/>
        <v>0</v>
      </c>
      <c r="O61" s="11"/>
      <c r="P61" s="6"/>
      <c r="Q61" s="2"/>
      <c r="R61" s="7">
        <f t="shared" si="17"/>
        <v>0</v>
      </c>
      <c r="S61" s="2"/>
      <c r="T61" s="6">
        <v>0</v>
      </c>
      <c r="U61" s="2"/>
      <c r="V61" s="7">
        <f t="shared" si="18"/>
        <v>0</v>
      </c>
      <c r="W61" s="2"/>
      <c r="X61" s="6">
        <f t="shared" si="19"/>
        <v>0</v>
      </c>
      <c r="Y61" s="2"/>
      <c r="Z61" s="7">
        <f t="shared" si="20"/>
        <v>0</v>
      </c>
    </row>
    <row r="62" spans="1:26" s="24" customFormat="1" hidden="1" outlineLevel="2" x14ac:dyDescent="0.25">
      <c r="A62" s="27"/>
      <c r="B62" s="11" t="str">
        <f>CONCATENATE("          ", "6117", " - ", "RETIREMENT STAFF HOURLY")</f>
        <v xml:space="preserve">          6117 - RETIREMENT STAFF HOURLY</v>
      </c>
      <c r="C62" s="11"/>
      <c r="D62" s="6">
        <v>110.86</v>
      </c>
      <c r="E62" s="2"/>
      <c r="F62" s="7">
        <f t="shared" si="13"/>
        <v>2.2105017376346199E-4</v>
      </c>
      <c r="G62" s="2"/>
      <c r="H62" s="6"/>
      <c r="I62" s="2"/>
      <c r="J62" s="7">
        <f t="shared" si="14"/>
        <v>0</v>
      </c>
      <c r="K62" s="2"/>
      <c r="L62" s="6">
        <f t="shared" si="15"/>
        <v>110.86</v>
      </c>
      <c r="M62" s="2"/>
      <c r="N62" s="7">
        <f t="shared" si="16"/>
        <v>0</v>
      </c>
      <c r="O62" s="11"/>
      <c r="P62" s="6">
        <v>250.98</v>
      </c>
      <c r="Q62" s="2"/>
      <c r="R62" s="7">
        <f t="shared" si="17"/>
        <v>2.8786980439477329E-4</v>
      </c>
      <c r="S62" s="2"/>
      <c r="T62" s="6"/>
      <c r="U62" s="2"/>
      <c r="V62" s="7">
        <f t="shared" si="18"/>
        <v>0</v>
      </c>
      <c r="W62" s="2"/>
      <c r="X62" s="6">
        <f t="shared" si="19"/>
        <v>250.98</v>
      </c>
      <c r="Y62" s="2"/>
      <c r="Z62" s="7">
        <f t="shared" si="20"/>
        <v>0</v>
      </c>
    </row>
    <row r="63" spans="1:26" s="24" customFormat="1" hidden="1" outlineLevel="2" x14ac:dyDescent="0.25">
      <c r="A63" s="27"/>
      <c r="B63" s="11" t="str">
        <f>CONCATENATE("          ", "6118", " - ", "VACATION")</f>
        <v xml:space="preserve">          6118 - VACATION</v>
      </c>
      <c r="C63" s="11"/>
      <c r="D63" s="6">
        <v>151.31</v>
      </c>
      <c r="E63" s="2"/>
      <c r="F63" s="7">
        <f t="shared" si="13"/>
        <v>3.0170577117219407E-4</v>
      </c>
      <c r="G63" s="2"/>
      <c r="H63" s="6">
        <v>170.943553846154</v>
      </c>
      <c r="I63" s="2"/>
      <c r="J63" s="7">
        <f t="shared" si="14"/>
        <v>5.0908633156976639E-4</v>
      </c>
      <c r="K63" s="2"/>
      <c r="L63" s="6">
        <f t="shared" si="15"/>
        <v>-19.633553846154001</v>
      </c>
      <c r="M63" s="2"/>
      <c r="N63" s="7">
        <f t="shared" si="16"/>
        <v>-0.11485401703900359</v>
      </c>
      <c r="O63" s="11"/>
      <c r="P63" s="6">
        <v>464.63</v>
      </c>
      <c r="Q63" s="2"/>
      <c r="R63" s="7">
        <f t="shared" si="17"/>
        <v>5.3292273175529331E-4</v>
      </c>
      <c r="S63" s="2"/>
      <c r="T63" s="6">
        <v>384.62299615384603</v>
      </c>
      <c r="U63" s="2"/>
      <c r="V63" s="7">
        <f t="shared" si="18"/>
        <v>5.1446460111159178E-4</v>
      </c>
      <c r="W63" s="2"/>
      <c r="X63" s="6">
        <f t="shared" si="19"/>
        <v>80.007003846153964</v>
      </c>
      <c r="Y63" s="2"/>
      <c r="Z63" s="7">
        <f t="shared" si="20"/>
        <v>0.20801409340109198</v>
      </c>
    </row>
    <row r="64" spans="1:26" s="24" customFormat="1" hidden="1" outlineLevel="2" x14ac:dyDescent="0.25">
      <c r="A64" s="27"/>
      <c r="B64" s="11" t="str">
        <f>CONCATENATE("          ", "6119", " - ", "SICK LEAVE")</f>
        <v xml:space="preserve">          6119 - SICK LEAVE</v>
      </c>
      <c r="C64" s="11"/>
      <c r="D64" s="6">
        <v>121.11</v>
      </c>
      <c r="E64" s="2"/>
      <c r="F64" s="7">
        <f t="shared" si="13"/>
        <v>2.4148824232809744E-4</v>
      </c>
      <c r="G64" s="2"/>
      <c r="H64" s="6">
        <v>184.332932307692</v>
      </c>
      <c r="I64" s="2"/>
      <c r="J64" s="7">
        <f t="shared" si="14"/>
        <v>5.4896118738982386E-4</v>
      </c>
      <c r="K64" s="2"/>
      <c r="L64" s="6">
        <f t="shared" si="15"/>
        <v>-63.222932307692005</v>
      </c>
      <c r="M64" s="2"/>
      <c r="N64" s="7">
        <f t="shared" si="16"/>
        <v>-0.34298229576340217</v>
      </c>
      <c r="O64" s="11"/>
      <c r="P64" s="6">
        <v>449.73</v>
      </c>
      <c r="Q64" s="2"/>
      <c r="R64" s="7">
        <f t="shared" si="17"/>
        <v>5.1583268439900159E-4</v>
      </c>
      <c r="S64" s="2"/>
      <c r="T64" s="6">
        <v>376.53509769230698</v>
      </c>
      <c r="U64" s="2"/>
      <c r="V64" s="7">
        <f t="shared" si="18"/>
        <v>5.0364637781902916E-4</v>
      </c>
      <c r="W64" s="2"/>
      <c r="X64" s="6">
        <f t="shared" si="19"/>
        <v>73.194902307693042</v>
      </c>
      <c r="Y64" s="2"/>
      <c r="Z64" s="7">
        <f t="shared" si="20"/>
        <v>0.19439064978613413</v>
      </c>
    </row>
    <row r="65" spans="1:26" s="24" customFormat="1" hidden="1" outlineLevel="2" x14ac:dyDescent="0.25">
      <c r="A65" s="27"/>
      <c r="B65" s="11" t="str">
        <f>CONCATENATE("          ", "6156", " - ", "EMPLOYEE MEALS")</f>
        <v xml:space="preserve">          6156 - EMPLOYEE MEALS</v>
      </c>
      <c r="C65" s="11"/>
      <c r="D65" s="6">
        <v>149.19999999999999</v>
      </c>
      <c r="E65" s="2"/>
      <c r="F65" s="7">
        <f t="shared" si="13"/>
        <v>2.9749851998474227E-4</v>
      </c>
      <c r="G65" s="2"/>
      <c r="H65" s="6"/>
      <c r="I65" s="2"/>
      <c r="J65" s="7">
        <f t="shared" si="14"/>
        <v>0</v>
      </c>
      <c r="K65" s="2"/>
      <c r="L65" s="6">
        <f t="shared" si="15"/>
        <v>149.19999999999999</v>
      </c>
      <c r="M65" s="2"/>
      <c r="N65" s="7">
        <f t="shared" si="16"/>
        <v>0</v>
      </c>
      <c r="O65" s="11"/>
      <c r="P65" s="6">
        <v>299.2</v>
      </c>
      <c r="Q65" s="2"/>
      <c r="R65" s="7">
        <f t="shared" si="17"/>
        <v>3.4317732677869222E-4</v>
      </c>
      <c r="S65" s="2"/>
      <c r="T65" s="6"/>
      <c r="U65" s="2"/>
      <c r="V65" s="7">
        <f t="shared" si="18"/>
        <v>0</v>
      </c>
      <c r="W65" s="2"/>
      <c r="X65" s="6">
        <f t="shared" si="19"/>
        <v>299.2</v>
      </c>
      <c r="Y65" s="2"/>
      <c r="Z65" s="7">
        <f t="shared" si="20"/>
        <v>0</v>
      </c>
    </row>
    <row r="66" spans="1:26" s="26" customFormat="1" outlineLevel="1" collapsed="1" x14ac:dyDescent="0.25">
      <c r="A66" s="25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9374.5400000000009</v>
      </c>
      <c r="E66" s="1"/>
      <c r="F66" s="5">
        <f t="shared" ref="F66:F76" si="21">IF(D$12=0,0,D66/D$12)</f>
        <v>1.8692438173845617E-2</v>
      </c>
      <c r="G66" s="1"/>
      <c r="H66" s="1">
        <f>SUM(OSRRefH22_1x_0)</f>
        <v>10289.98139076923</v>
      </c>
      <c r="I66" s="1"/>
      <c r="J66" s="5">
        <f t="shared" ref="J66:J76" si="22">IF(H$12=0,0,H66/H$12)</f>
        <v>3.0644553481451613E-2</v>
      </c>
      <c r="K66" s="1"/>
      <c r="L66" s="1">
        <f t="shared" ref="L66:L76" si="23">+D66-H66</f>
        <v>-915.44139076922875</v>
      </c>
      <c r="M66" s="1"/>
      <c r="N66" s="5">
        <f t="shared" ref="N66:N76" si="24">IF(H66=0,0,L66/H66)</f>
        <v>-8.8964338807302229E-2</v>
      </c>
      <c r="O66" s="13"/>
      <c r="P66" s="1">
        <f>SUM(OSRRefP22_1x_0)</f>
        <v>17288.080000000002</v>
      </c>
      <c r="Q66" s="1"/>
      <c r="R66" s="5">
        <f t="shared" ref="R66:R76" si="25">IF(P$12=0,0,P66/P$12)</f>
        <v>1.9829134624118231E-2</v>
      </c>
      <c r="S66" s="1"/>
      <c r="T66" s="1">
        <f>SUM(OSRRefT22_1x_0)</f>
        <v>19920.733129230772</v>
      </c>
      <c r="U66" s="1"/>
      <c r="V66" s="5">
        <f t="shared" ref="V66:V76" si="26">IF(T$12=0,0,T66/T$12)</f>
        <v>2.664560394376643E-2</v>
      </c>
      <c r="W66" s="1"/>
      <c r="X66" s="1">
        <f t="shared" ref="X66:X76" si="27">+P66-T66</f>
        <v>-2632.65312923077</v>
      </c>
      <c r="Y66" s="1"/>
      <c r="Z66" s="5">
        <f t="shared" ref="Z66:Z76" si="28">IF(T66=0,0,X66/T66)</f>
        <v>-0.1321564378254601</v>
      </c>
    </row>
    <row r="67" spans="1:26" s="24" customFormat="1" hidden="1" outlineLevel="2" x14ac:dyDescent="0.25">
      <c r="A67" s="27"/>
      <c r="B67" s="11" t="str">
        <f>CONCATENATE("          ", "6001", " - ", "ADMINISTRATIVE SALARIES")</f>
        <v xml:space="preserve">          6001 - ADMINISTRATIVE SALARIES</v>
      </c>
      <c r="C67" s="11"/>
      <c r="D67" s="6"/>
      <c r="E67" s="2"/>
      <c r="F67" s="7">
        <f t="shared" si="21"/>
        <v>0</v>
      </c>
      <c r="G67" s="2"/>
      <c r="H67" s="6">
        <v>3145.3613907692297</v>
      </c>
      <c r="I67" s="2"/>
      <c r="J67" s="7">
        <f t="shared" si="22"/>
        <v>9.3671885008836889E-3</v>
      </c>
      <c r="K67" s="2"/>
      <c r="L67" s="6">
        <f t="shared" si="23"/>
        <v>-3145.3613907692297</v>
      </c>
      <c r="M67" s="2"/>
      <c r="N67" s="7">
        <f t="shared" si="24"/>
        <v>-1</v>
      </c>
      <c r="O67" s="11"/>
      <c r="P67" s="6"/>
      <c r="Q67" s="2"/>
      <c r="R67" s="7">
        <f t="shared" si="25"/>
        <v>0</v>
      </c>
      <c r="S67" s="2"/>
      <c r="T67" s="6">
        <v>7077.0631292307698</v>
      </c>
      <c r="U67" s="2"/>
      <c r="V67" s="7">
        <f t="shared" si="26"/>
        <v>9.4661486604532934E-3</v>
      </c>
      <c r="W67" s="2"/>
      <c r="X67" s="6">
        <f t="shared" si="27"/>
        <v>-7077.0631292307698</v>
      </c>
      <c r="Y67" s="2"/>
      <c r="Z67" s="7">
        <f t="shared" si="28"/>
        <v>-1</v>
      </c>
    </row>
    <row r="68" spans="1:26" s="24" customFormat="1" hidden="1" outlineLevel="2" x14ac:dyDescent="0.25">
      <c r="A68" s="27"/>
      <c r="B68" s="11" t="str">
        <f>CONCATENATE("          ", "6002", " - ", "STAFF SALARIES")</f>
        <v xml:space="preserve">          6002 - STAFF SALARIES</v>
      </c>
      <c r="C68" s="11"/>
      <c r="D68" s="6">
        <v>2624.68</v>
      </c>
      <c r="E68" s="2"/>
      <c r="F68" s="7">
        <f t="shared" si="21"/>
        <v>5.2335014439246199E-3</v>
      </c>
      <c r="G68" s="2"/>
      <c r="H68" s="6">
        <v>0</v>
      </c>
      <c r="I68" s="2"/>
      <c r="J68" s="7">
        <f t="shared" si="22"/>
        <v>0</v>
      </c>
      <c r="K68" s="2"/>
      <c r="L68" s="6">
        <f t="shared" si="23"/>
        <v>2624.68</v>
      </c>
      <c r="M68" s="2"/>
      <c r="N68" s="7">
        <f t="shared" si="24"/>
        <v>0</v>
      </c>
      <c r="O68" s="11"/>
      <c r="P68" s="6">
        <v>5776.08</v>
      </c>
      <c r="Q68" s="2"/>
      <c r="R68" s="7">
        <f t="shared" si="25"/>
        <v>6.6250658210557107E-3</v>
      </c>
      <c r="S68" s="2"/>
      <c r="T68" s="6">
        <v>0</v>
      </c>
      <c r="U68" s="2"/>
      <c r="V68" s="7">
        <f t="shared" si="26"/>
        <v>0</v>
      </c>
      <c r="W68" s="2"/>
      <c r="X68" s="6">
        <f t="shared" si="27"/>
        <v>5776.08</v>
      </c>
      <c r="Y68" s="2"/>
      <c r="Z68" s="7">
        <f t="shared" si="28"/>
        <v>0</v>
      </c>
    </row>
    <row r="69" spans="1:26" s="24" customFormat="1" hidden="1" outlineLevel="2" x14ac:dyDescent="0.25">
      <c r="A69" s="27"/>
      <c r="B69" s="11" t="str">
        <f>CONCATENATE("          ", "6003", " - ", "STAFF HOURLY-9 MONTH")</f>
        <v xml:space="preserve">          6003 - STAFF HOURLY-9 MONTH</v>
      </c>
      <c r="C69" s="11"/>
      <c r="D69" s="6"/>
      <c r="E69" s="2"/>
      <c r="F69" s="7">
        <f t="shared" si="21"/>
        <v>0</v>
      </c>
      <c r="G69" s="2"/>
      <c r="H69" s="6">
        <v>0</v>
      </c>
      <c r="I69" s="2"/>
      <c r="J69" s="7">
        <f t="shared" si="22"/>
        <v>0</v>
      </c>
      <c r="K69" s="2"/>
      <c r="L69" s="6">
        <f t="shared" si="23"/>
        <v>0</v>
      </c>
      <c r="M69" s="2"/>
      <c r="N69" s="7">
        <f t="shared" si="24"/>
        <v>0</v>
      </c>
      <c r="O69" s="11"/>
      <c r="P69" s="6"/>
      <c r="Q69" s="2"/>
      <c r="R69" s="7">
        <f t="shared" si="25"/>
        <v>0</v>
      </c>
      <c r="S69" s="2"/>
      <c r="T69" s="6">
        <v>0</v>
      </c>
      <c r="U69" s="2"/>
      <c r="V69" s="7">
        <f t="shared" si="26"/>
        <v>0</v>
      </c>
      <c r="W69" s="2"/>
      <c r="X69" s="6">
        <f t="shared" si="27"/>
        <v>0</v>
      </c>
      <c r="Y69" s="2"/>
      <c r="Z69" s="7">
        <f t="shared" si="28"/>
        <v>0</v>
      </c>
    </row>
    <row r="70" spans="1:26" s="24" customFormat="1" hidden="1" outlineLevel="2" x14ac:dyDescent="0.25">
      <c r="A70" s="27"/>
      <c r="B70" s="11" t="str">
        <f>CONCATENATE("          ", "6004", " - ", "STAFF HOURLY")</f>
        <v xml:space="preserve">          6004 - STAFF HOURLY</v>
      </c>
      <c r="C70" s="11"/>
      <c r="D70" s="6"/>
      <c r="E70" s="2"/>
      <c r="F70" s="7">
        <f t="shared" si="21"/>
        <v>0</v>
      </c>
      <c r="G70" s="2"/>
      <c r="H70" s="6">
        <v>2064.12</v>
      </c>
      <c r="I70" s="2"/>
      <c r="J70" s="7">
        <f t="shared" si="22"/>
        <v>6.1471477284571968E-3</v>
      </c>
      <c r="K70" s="2"/>
      <c r="L70" s="6">
        <f t="shared" si="23"/>
        <v>-2064.12</v>
      </c>
      <c r="M70" s="2"/>
      <c r="N70" s="7">
        <f t="shared" si="24"/>
        <v>-1</v>
      </c>
      <c r="O70" s="11"/>
      <c r="P70" s="6"/>
      <c r="Q70" s="2"/>
      <c r="R70" s="7">
        <f t="shared" si="25"/>
        <v>0</v>
      </c>
      <c r="S70" s="2"/>
      <c r="T70" s="6">
        <v>3464.92</v>
      </c>
      <c r="U70" s="2"/>
      <c r="V70" s="7">
        <f t="shared" si="26"/>
        <v>4.6346128637887261E-3</v>
      </c>
      <c r="W70" s="2"/>
      <c r="X70" s="6">
        <f t="shared" si="27"/>
        <v>-3464.92</v>
      </c>
      <c r="Y70" s="2"/>
      <c r="Z70" s="7">
        <f t="shared" si="28"/>
        <v>-1</v>
      </c>
    </row>
    <row r="71" spans="1:26" s="24" customFormat="1" hidden="1" outlineLevel="2" x14ac:dyDescent="0.25">
      <c r="A71" s="27"/>
      <c r="B71" s="11" t="str">
        <f>CONCATENATE("          ", "6005", " - ", "TEMPORARY WAGES-HOURLY")</f>
        <v xml:space="preserve">          6005 - TEMPORARY WAGES-HOURLY</v>
      </c>
      <c r="C71" s="11"/>
      <c r="D71" s="6">
        <v>2707.17</v>
      </c>
      <c r="E71" s="2"/>
      <c r="F71" s="7">
        <f t="shared" si="21"/>
        <v>5.3979830318169894E-3</v>
      </c>
      <c r="G71" s="2"/>
      <c r="H71" s="6">
        <v>0</v>
      </c>
      <c r="I71" s="2"/>
      <c r="J71" s="7">
        <f t="shared" si="22"/>
        <v>0</v>
      </c>
      <c r="K71" s="2"/>
      <c r="L71" s="6">
        <f t="shared" si="23"/>
        <v>2707.17</v>
      </c>
      <c r="M71" s="2"/>
      <c r="N71" s="7">
        <f t="shared" si="24"/>
        <v>0</v>
      </c>
      <c r="O71" s="11"/>
      <c r="P71" s="6">
        <v>5140.87</v>
      </c>
      <c r="Q71" s="2"/>
      <c r="R71" s="7">
        <f t="shared" si="25"/>
        <v>5.8964907216469773E-3</v>
      </c>
      <c r="S71" s="2"/>
      <c r="T71" s="6">
        <v>0</v>
      </c>
      <c r="U71" s="2"/>
      <c r="V71" s="7">
        <f t="shared" si="26"/>
        <v>0</v>
      </c>
      <c r="W71" s="2"/>
      <c r="X71" s="6">
        <f t="shared" si="27"/>
        <v>5140.87</v>
      </c>
      <c r="Y71" s="2"/>
      <c r="Z71" s="7">
        <f t="shared" si="28"/>
        <v>0</v>
      </c>
    </row>
    <row r="72" spans="1:26" s="24" customFormat="1" hidden="1" outlineLevel="2" x14ac:dyDescent="0.25">
      <c r="A72" s="27"/>
      <c r="B72" s="11" t="str">
        <f>CONCATENATE("          ", "6006", " - ", "TEMPORARY PART TIME")</f>
        <v xml:space="preserve">          6006 - TEMPORARY PART TIME</v>
      </c>
      <c r="C72" s="11"/>
      <c r="D72" s="6">
        <v>1503.38</v>
      </c>
      <c r="E72" s="2"/>
      <c r="F72" s="7">
        <f t="shared" si="21"/>
        <v>2.9976764408489402E-3</v>
      </c>
      <c r="G72" s="2"/>
      <c r="H72" s="6">
        <v>0</v>
      </c>
      <c r="I72" s="2"/>
      <c r="J72" s="7">
        <f t="shared" si="22"/>
        <v>0</v>
      </c>
      <c r="K72" s="2"/>
      <c r="L72" s="6">
        <f t="shared" si="23"/>
        <v>1503.38</v>
      </c>
      <c r="M72" s="2"/>
      <c r="N72" s="7">
        <f t="shared" si="24"/>
        <v>0</v>
      </c>
      <c r="O72" s="11"/>
      <c r="P72" s="6">
        <v>2951.82</v>
      </c>
      <c r="Q72" s="2"/>
      <c r="R72" s="7">
        <f t="shared" si="25"/>
        <v>3.3856874890771369E-3</v>
      </c>
      <c r="S72" s="2"/>
      <c r="T72" s="6">
        <v>0</v>
      </c>
      <c r="U72" s="2"/>
      <c r="V72" s="7">
        <f t="shared" si="26"/>
        <v>0</v>
      </c>
      <c r="W72" s="2"/>
      <c r="X72" s="6">
        <f t="shared" si="27"/>
        <v>2951.82</v>
      </c>
      <c r="Y72" s="2"/>
      <c r="Z72" s="7">
        <f t="shared" si="28"/>
        <v>0</v>
      </c>
    </row>
    <row r="73" spans="1:26" s="24" customFormat="1" hidden="1" outlineLevel="2" x14ac:dyDescent="0.25">
      <c r="A73" s="27"/>
      <c r="B73" s="11" t="str">
        <f>CONCATENATE("          ", "6007", " - ", "STUDENT HOURLY")</f>
        <v xml:space="preserve">          6007 - STUDENT HOURLY</v>
      </c>
      <c r="C73" s="11"/>
      <c r="D73" s="6">
        <v>2539.31</v>
      </c>
      <c r="E73" s="2"/>
      <c r="F73" s="7">
        <f t="shared" si="21"/>
        <v>5.0632772572550668E-3</v>
      </c>
      <c r="G73" s="2"/>
      <c r="H73" s="6">
        <v>5080.5</v>
      </c>
      <c r="I73" s="2"/>
      <c r="J73" s="7">
        <f t="shared" si="22"/>
        <v>1.5130217252110726E-2</v>
      </c>
      <c r="K73" s="2"/>
      <c r="L73" s="6">
        <f t="shared" si="23"/>
        <v>-2541.19</v>
      </c>
      <c r="M73" s="2"/>
      <c r="N73" s="7">
        <f t="shared" si="24"/>
        <v>-0.50018502115933472</v>
      </c>
      <c r="O73" s="11"/>
      <c r="P73" s="6">
        <v>3419.31</v>
      </c>
      <c r="Q73" s="2"/>
      <c r="R73" s="7">
        <f t="shared" si="25"/>
        <v>3.9218905923384031E-3</v>
      </c>
      <c r="S73" s="2"/>
      <c r="T73" s="6">
        <v>9378.75</v>
      </c>
      <c r="U73" s="2"/>
      <c r="V73" s="7">
        <f t="shared" si="26"/>
        <v>1.2544842419524409E-2</v>
      </c>
      <c r="W73" s="2"/>
      <c r="X73" s="6">
        <f t="shared" si="27"/>
        <v>-5959.4400000000005</v>
      </c>
      <c r="Y73" s="2"/>
      <c r="Z73" s="7">
        <f t="shared" si="28"/>
        <v>-0.63541943222710917</v>
      </c>
    </row>
    <row r="74" spans="1:26" s="24" customFormat="1" hidden="1" outlineLevel="2" x14ac:dyDescent="0.25">
      <c r="A74" s="27"/>
      <c r="B74" s="11" t="str">
        <f>CONCATENATE("          ", "6008", " - ", "STUDENT HOURLY-FICA EXEMPT")</f>
        <v xml:space="preserve">          6008 - STUDENT HOURLY-FICA EXEMPT</v>
      </c>
      <c r="C74" s="11"/>
      <c r="D74" s="6"/>
      <c r="E74" s="2"/>
      <c r="F74" s="7">
        <f t="shared" si="21"/>
        <v>0</v>
      </c>
      <c r="G74" s="2"/>
      <c r="H74" s="6">
        <v>0</v>
      </c>
      <c r="I74" s="2"/>
      <c r="J74" s="7">
        <f t="shared" si="22"/>
        <v>0</v>
      </c>
      <c r="K74" s="2"/>
      <c r="L74" s="6">
        <f t="shared" si="23"/>
        <v>0</v>
      </c>
      <c r="M74" s="2"/>
      <c r="N74" s="7">
        <f t="shared" si="24"/>
        <v>0</v>
      </c>
      <c r="O74" s="11"/>
      <c r="P74" s="6"/>
      <c r="Q74" s="2"/>
      <c r="R74" s="7">
        <f t="shared" si="25"/>
        <v>0</v>
      </c>
      <c r="S74" s="2"/>
      <c r="T74" s="6">
        <v>0</v>
      </c>
      <c r="U74" s="2"/>
      <c r="V74" s="7">
        <f t="shared" si="26"/>
        <v>0</v>
      </c>
      <c r="W74" s="2"/>
      <c r="X74" s="6">
        <f t="shared" si="27"/>
        <v>0</v>
      </c>
      <c r="Y74" s="2"/>
      <c r="Z74" s="7">
        <f t="shared" si="28"/>
        <v>0</v>
      </c>
    </row>
    <row r="75" spans="1:26" s="24" customFormat="1" hidden="1" outlineLevel="2" x14ac:dyDescent="0.25">
      <c r="A75" s="27"/>
      <c r="B75" s="11" t="str">
        <f>CONCATENATE("          ", "6009", " - ", "TEMPORARY-SEASONAL")</f>
        <v xml:space="preserve">          6009 - TEMPORARY-SEASONAL</v>
      </c>
      <c r="C75" s="11"/>
      <c r="D75" s="6"/>
      <c r="E75" s="2"/>
      <c r="F75" s="7">
        <f t="shared" si="21"/>
        <v>0</v>
      </c>
      <c r="G75" s="2"/>
      <c r="H75" s="6">
        <v>0</v>
      </c>
      <c r="I75" s="2"/>
      <c r="J75" s="7">
        <f t="shared" si="22"/>
        <v>0</v>
      </c>
      <c r="K75" s="2"/>
      <c r="L75" s="6">
        <f t="shared" si="23"/>
        <v>0</v>
      </c>
      <c r="M75" s="2"/>
      <c r="N75" s="7">
        <f t="shared" si="24"/>
        <v>0</v>
      </c>
      <c r="O75" s="11"/>
      <c r="P75" s="6"/>
      <c r="Q75" s="2"/>
      <c r="R75" s="7">
        <f t="shared" si="25"/>
        <v>0</v>
      </c>
      <c r="S75" s="2"/>
      <c r="T75" s="6">
        <v>0</v>
      </c>
      <c r="U75" s="2"/>
      <c r="V75" s="7">
        <f t="shared" si="26"/>
        <v>0</v>
      </c>
      <c r="W75" s="2"/>
      <c r="X75" s="6">
        <f t="shared" si="27"/>
        <v>0</v>
      </c>
      <c r="Y75" s="2"/>
      <c r="Z75" s="7">
        <f t="shared" si="28"/>
        <v>0</v>
      </c>
    </row>
    <row r="76" spans="1:26" s="24" customFormat="1" hidden="1" outlineLevel="2" x14ac:dyDescent="0.25">
      <c r="A76" s="27"/>
      <c r="B76" s="11" t="str">
        <f>CONCATENATE("          ", "6010", " - ", "GRATUITY")</f>
        <v xml:space="preserve">          6010 - GRATUITY</v>
      </c>
      <c r="C76" s="11"/>
      <c r="D76" s="6"/>
      <c r="E76" s="2"/>
      <c r="F76" s="7">
        <f t="shared" si="21"/>
        <v>0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0</v>
      </c>
      <c r="Y76" s="2"/>
      <c r="Z76" s="7">
        <f t="shared" si="28"/>
        <v>0</v>
      </c>
    </row>
    <row r="77" spans="1:26" s="26" customFormat="1" outlineLevel="1" collapsed="1" x14ac:dyDescent="0.25">
      <c r="A77" s="25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343.09</v>
      </c>
      <c r="E77" s="1"/>
      <c r="F77" s="5">
        <f t="shared" ref="F77:F91" si="29">IF(D$12=0,0,D77/D$12)</f>
        <v>6.8410701891129504E-4</v>
      </c>
      <c r="G77" s="1"/>
      <c r="H77" s="1">
        <f>SUM(OSRRefH22_2x_0)</f>
        <v>250</v>
      </c>
      <c r="I77" s="1"/>
      <c r="J77" s="5">
        <f t="shared" ref="J77:J91" si="30">IF(H$12=0,0,H77/H$12)</f>
        <v>7.4452402579031226E-4</v>
      </c>
      <c r="K77" s="1"/>
      <c r="L77" s="1">
        <f t="shared" ref="L77:L91" si="31">+D77-H77</f>
        <v>93.089999999999975</v>
      </c>
      <c r="M77" s="1"/>
      <c r="N77" s="5">
        <f t="shared" ref="N77:N91" si="32">IF(H77=0,0,L77/H77)</f>
        <v>0.37235999999999991</v>
      </c>
      <c r="O77" s="13"/>
      <c r="P77" s="1">
        <f>SUM(OSRRefP22_2x_0)</f>
        <v>702.16</v>
      </c>
      <c r="Q77" s="1"/>
      <c r="R77" s="5">
        <f t="shared" ref="R77:R91" si="33">IF(P$12=0,0,P77/P$12)</f>
        <v>8.0536561420764216E-4</v>
      </c>
      <c r="S77" s="1"/>
      <c r="T77" s="1">
        <f>SUM(OSRRefT22_2x_0)</f>
        <v>500</v>
      </c>
      <c r="U77" s="1"/>
      <c r="V77" s="5">
        <f t="shared" ref="V77:V91" si="34">IF(T$12=0,0,T77/T$12)</f>
        <v>6.6879074607620467E-4</v>
      </c>
      <c r="W77" s="1"/>
      <c r="X77" s="1">
        <f t="shared" ref="X77:X91" si="35">+P77-T77</f>
        <v>202.15999999999997</v>
      </c>
      <c r="Y77" s="1"/>
      <c r="Z77" s="5">
        <f t="shared" ref="Z77:Z91" si="36">IF(T77=0,0,X77/T77)</f>
        <v>0.40431999999999996</v>
      </c>
    </row>
    <row r="78" spans="1:26" s="24" customFormat="1" hidden="1" outlineLevel="2" x14ac:dyDescent="0.25">
      <c r="A78" s="27"/>
      <c r="B78" s="11" t="str">
        <f>CONCATENATE("          ", "6362", " - ", "ADVERTISING EXPENSE")</f>
        <v xml:space="preserve">          6362 - ADVERTISING EXPENSE</v>
      </c>
      <c r="C78" s="11"/>
      <c r="D78" s="6">
        <v>343.09</v>
      </c>
      <c r="E78" s="2"/>
      <c r="F78" s="7">
        <f t="shared" si="29"/>
        <v>6.8410701891129504E-4</v>
      </c>
      <c r="G78" s="2"/>
      <c r="H78" s="6">
        <v>250</v>
      </c>
      <c r="I78" s="2"/>
      <c r="J78" s="7">
        <f t="shared" si="30"/>
        <v>7.4452402579031226E-4</v>
      </c>
      <c r="K78" s="2"/>
      <c r="L78" s="6">
        <f t="shared" si="31"/>
        <v>93.089999999999975</v>
      </c>
      <c r="M78" s="2"/>
      <c r="N78" s="7">
        <f t="shared" si="32"/>
        <v>0.37235999999999991</v>
      </c>
      <c r="O78" s="11"/>
      <c r="P78" s="6">
        <v>702.16</v>
      </c>
      <c r="Q78" s="2"/>
      <c r="R78" s="7">
        <f t="shared" si="33"/>
        <v>8.0536561420764216E-4</v>
      </c>
      <c r="S78" s="2"/>
      <c r="T78" s="6">
        <v>500</v>
      </c>
      <c r="U78" s="2"/>
      <c r="V78" s="7">
        <f t="shared" si="34"/>
        <v>6.6879074607620467E-4</v>
      </c>
      <c r="W78" s="2"/>
      <c r="X78" s="6">
        <f t="shared" si="35"/>
        <v>202.15999999999997</v>
      </c>
      <c r="Y78" s="2"/>
      <c r="Z78" s="7">
        <f t="shared" si="36"/>
        <v>0.40431999999999996</v>
      </c>
    </row>
    <row r="79" spans="1:26" s="26" customFormat="1" outlineLevel="1" collapsed="1" x14ac:dyDescent="0.25">
      <c r="A79" s="25"/>
      <c r="B79" s="13" t="str">
        <f>CONCATENATE("     ","Depreciation                                      ")</f>
        <v xml:space="preserve">     Depreciation                                      </v>
      </c>
      <c r="C79" s="13"/>
      <c r="D79" s="1">
        <f>SUM(OSRRefD22_3x_0)</f>
        <v>280.44</v>
      </c>
      <c r="E79" s="1"/>
      <c r="F79" s="5">
        <f t="shared" si="29"/>
        <v>5.5918555592842582E-4</v>
      </c>
      <c r="G79" s="1"/>
      <c r="H79" s="1">
        <f>SUM(OSRRefH22_3x_0)</f>
        <v>0</v>
      </c>
      <c r="I79" s="1"/>
      <c r="J79" s="5">
        <f t="shared" si="30"/>
        <v>0</v>
      </c>
      <c r="K79" s="1"/>
      <c r="L79" s="1">
        <f t="shared" si="31"/>
        <v>280.44</v>
      </c>
      <c r="M79" s="1"/>
      <c r="N79" s="5">
        <f t="shared" si="32"/>
        <v>0</v>
      </c>
      <c r="O79" s="13"/>
      <c r="P79" s="1">
        <f>SUM(OSRRefP22_3x_0)</f>
        <v>560.88</v>
      </c>
      <c r="Q79" s="1"/>
      <c r="R79" s="5">
        <f t="shared" si="33"/>
        <v>6.4331984974476235E-4</v>
      </c>
      <c r="S79" s="1"/>
      <c r="T79" s="1">
        <f>SUM(OSRRefT22_3x_0)</f>
        <v>0</v>
      </c>
      <c r="U79" s="1"/>
      <c r="V79" s="5">
        <f t="shared" si="34"/>
        <v>0</v>
      </c>
      <c r="W79" s="1"/>
      <c r="X79" s="1">
        <f t="shared" si="35"/>
        <v>560.88</v>
      </c>
      <c r="Y79" s="1"/>
      <c r="Z79" s="5">
        <f t="shared" si="36"/>
        <v>0</v>
      </c>
    </row>
    <row r="80" spans="1:26" s="24" customFormat="1" hidden="1" outlineLevel="2" x14ac:dyDescent="0.25">
      <c r="A80" s="27"/>
      <c r="B80" s="11" t="str">
        <f>CONCATENATE("          ", "6322", " - ", "EQUIPMENT DEPRECIATION EXPENSE")</f>
        <v xml:space="preserve">          6322 - EQUIPMENT DEPRECIATION EXPENSE</v>
      </c>
      <c r="C80" s="11"/>
      <c r="D80" s="6">
        <v>280.44</v>
      </c>
      <c r="E80" s="2"/>
      <c r="F80" s="7">
        <f t="shared" si="29"/>
        <v>5.5918555592842582E-4</v>
      </c>
      <c r="G80" s="2"/>
      <c r="H80" s="6"/>
      <c r="I80" s="2"/>
      <c r="J80" s="7">
        <f t="shared" si="30"/>
        <v>0</v>
      </c>
      <c r="K80" s="2"/>
      <c r="L80" s="6">
        <f t="shared" si="31"/>
        <v>280.44</v>
      </c>
      <c r="M80" s="2"/>
      <c r="N80" s="7">
        <f t="shared" si="32"/>
        <v>0</v>
      </c>
      <c r="O80" s="11"/>
      <c r="P80" s="6">
        <v>560.88</v>
      </c>
      <c r="Q80" s="2"/>
      <c r="R80" s="7">
        <f t="shared" si="33"/>
        <v>6.4331984974476235E-4</v>
      </c>
      <c r="S80" s="2"/>
      <c r="T80" s="6"/>
      <c r="U80" s="2"/>
      <c r="V80" s="7">
        <f t="shared" si="34"/>
        <v>0</v>
      </c>
      <c r="W80" s="2"/>
      <c r="X80" s="6">
        <f t="shared" si="35"/>
        <v>560.88</v>
      </c>
      <c r="Y80" s="2"/>
      <c r="Z80" s="7">
        <f t="shared" si="36"/>
        <v>0</v>
      </c>
    </row>
    <row r="81" spans="1:26" s="26" customFormat="1" outlineLevel="1" collapsed="1" x14ac:dyDescent="0.25">
      <c r="A81" s="25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SUM(OSRRefD22_4x_0)</f>
        <v>57114.36</v>
      </c>
      <c r="E81" s="1"/>
      <c r="F81" s="5">
        <f t="shared" si="29"/>
        <v>0.11388362982490459</v>
      </c>
      <c r="G81" s="1"/>
      <c r="H81" s="1">
        <f>SUM(OSRRefH22_4x_0)</f>
        <v>2500</v>
      </c>
      <c r="I81" s="1"/>
      <c r="J81" s="5">
        <f t="shared" si="30"/>
        <v>7.4452402579031221E-3</v>
      </c>
      <c r="K81" s="1"/>
      <c r="L81" s="1">
        <f t="shared" si="31"/>
        <v>54614.36</v>
      </c>
      <c r="M81" s="1"/>
      <c r="N81" s="5">
        <f t="shared" si="32"/>
        <v>21.845744</v>
      </c>
      <c r="O81" s="13"/>
      <c r="P81" s="1">
        <f>SUM(OSRRefP22_4x_0)</f>
        <v>70019.17</v>
      </c>
      <c r="Q81" s="1"/>
      <c r="R81" s="5">
        <f t="shared" si="33"/>
        <v>8.0310800748204555E-2</v>
      </c>
      <c r="S81" s="1"/>
      <c r="T81" s="1">
        <f>SUM(OSRRefT22_4x_0)</f>
        <v>5000</v>
      </c>
      <c r="U81" s="1"/>
      <c r="V81" s="5">
        <f t="shared" si="34"/>
        <v>6.6879074607620473E-3</v>
      </c>
      <c r="W81" s="1"/>
      <c r="X81" s="1">
        <f t="shared" si="35"/>
        <v>65019.17</v>
      </c>
      <c r="Y81" s="1"/>
      <c r="Z81" s="5">
        <f t="shared" si="36"/>
        <v>13.003833999999999</v>
      </c>
    </row>
    <row r="82" spans="1:26" s="24" customFormat="1" hidden="1" outlineLevel="2" x14ac:dyDescent="0.25">
      <c r="A82" s="27"/>
      <c r="B82" s="11" t="str">
        <f>CONCATENATE("          ", "6382", " - ", "DISCOUNTS/MARK DOWNS")</f>
        <v xml:space="preserve">          6382 - DISCOUNTS/MARK DOWNS</v>
      </c>
      <c r="C82" s="11"/>
      <c r="D82" s="6">
        <v>57114.36</v>
      </c>
      <c r="E82" s="2"/>
      <c r="F82" s="7">
        <f t="shared" si="29"/>
        <v>0.11388362982490459</v>
      </c>
      <c r="G82" s="2"/>
      <c r="H82" s="6">
        <v>2500</v>
      </c>
      <c r="I82" s="2"/>
      <c r="J82" s="7">
        <f t="shared" si="30"/>
        <v>7.4452402579031221E-3</v>
      </c>
      <c r="K82" s="2"/>
      <c r="L82" s="6">
        <f t="shared" si="31"/>
        <v>54614.36</v>
      </c>
      <c r="M82" s="2"/>
      <c r="N82" s="7">
        <f t="shared" si="32"/>
        <v>21.845744</v>
      </c>
      <c r="O82" s="11"/>
      <c r="P82" s="6">
        <v>70019.17</v>
      </c>
      <c r="Q82" s="2"/>
      <c r="R82" s="7">
        <f t="shared" si="33"/>
        <v>8.0310800748204555E-2</v>
      </c>
      <c r="S82" s="2"/>
      <c r="T82" s="6">
        <v>5000</v>
      </c>
      <c r="U82" s="2"/>
      <c r="V82" s="7">
        <f t="shared" si="34"/>
        <v>6.6879074607620473E-3</v>
      </c>
      <c r="W82" s="2"/>
      <c r="X82" s="6">
        <f t="shared" si="35"/>
        <v>65019.17</v>
      </c>
      <c r="Y82" s="2"/>
      <c r="Z82" s="7">
        <f t="shared" si="36"/>
        <v>13.003833999999999</v>
      </c>
    </row>
    <row r="83" spans="1:26" s="26" customFormat="1" outlineLevel="1" collapsed="1" x14ac:dyDescent="0.25">
      <c r="A83" s="25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SUM(OSRRefD22_5x_0)</f>
        <v>0</v>
      </c>
      <c r="E83" s="1"/>
      <c r="F83" s="5">
        <f t="shared" si="29"/>
        <v>0</v>
      </c>
      <c r="G83" s="1"/>
      <c r="H83" s="1">
        <f>SUM(OSRRefH22_5x_0)</f>
        <v>40</v>
      </c>
      <c r="I83" s="1"/>
      <c r="J83" s="5">
        <f t="shared" si="30"/>
        <v>1.1912384412644996E-4</v>
      </c>
      <c r="K83" s="1"/>
      <c r="L83" s="1">
        <f t="shared" si="31"/>
        <v>-40</v>
      </c>
      <c r="M83" s="1"/>
      <c r="N83" s="5">
        <f t="shared" si="32"/>
        <v>-1</v>
      </c>
      <c r="O83" s="13"/>
      <c r="P83" s="1">
        <f>SUM(OSRRefP22_5x_0)</f>
        <v>0</v>
      </c>
      <c r="Q83" s="1"/>
      <c r="R83" s="5">
        <f t="shared" si="33"/>
        <v>0</v>
      </c>
      <c r="S83" s="1"/>
      <c r="T83" s="1">
        <f>SUM(OSRRefT22_5x_0)</f>
        <v>80</v>
      </c>
      <c r="U83" s="1"/>
      <c r="V83" s="5">
        <f t="shared" si="34"/>
        <v>1.0700651937219275E-4</v>
      </c>
      <c r="W83" s="1"/>
      <c r="X83" s="1">
        <f t="shared" si="35"/>
        <v>-80</v>
      </c>
      <c r="Y83" s="1"/>
      <c r="Z83" s="5">
        <f t="shared" si="36"/>
        <v>-1</v>
      </c>
    </row>
    <row r="84" spans="1:26" s="24" customFormat="1" hidden="1" outlineLevel="2" x14ac:dyDescent="0.25">
      <c r="A84" s="27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29"/>
        <v>0</v>
      </c>
      <c r="G84" s="2"/>
      <c r="H84" s="6">
        <v>40</v>
      </c>
      <c r="I84" s="2"/>
      <c r="J84" s="7">
        <f t="shared" si="30"/>
        <v>1.1912384412644996E-4</v>
      </c>
      <c r="K84" s="2"/>
      <c r="L84" s="6">
        <f t="shared" si="31"/>
        <v>-40</v>
      </c>
      <c r="M84" s="2"/>
      <c r="N84" s="7">
        <f t="shared" si="32"/>
        <v>-1</v>
      </c>
      <c r="O84" s="11"/>
      <c r="P84" s="6"/>
      <c r="Q84" s="2"/>
      <c r="R84" s="7">
        <f t="shared" si="33"/>
        <v>0</v>
      </c>
      <c r="S84" s="2"/>
      <c r="T84" s="6">
        <v>80</v>
      </c>
      <c r="U84" s="2"/>
      <c r="V84" s="7">
        <f t="shared" si="34"/>
        <v>1.0700651937219275E-4</v>
      </c>
      <c r="W84" s="2"/>
      <c r="X84" s="6">
        <f t="shared" si="35"/>
        <v>-80</v>
      </c>
      <c r="Y84" s="2"/>
      <c r="Z84" s="7">
        <f t="shared" si="36"/>
        <v>-1</v>
      </c>
    </row>
    <row r="85" spans="1:26" s="26" customFormat="1" outlineLevel="1" collapsed="1" x14ac:dyDescent="0.25">
      <c r="A85" s="25"/>
      <c r="B85" s="13" t="str">
        <f>CONCATENATE("     ","Freight out/Postage                               ")</f>
        <v xml:space="preserve">     Freight out/Postage                               </v>
      </c>
      <c r="C85" s="13"/>
      <c r="D85" s="1">
        <f>SUM(OSRRefD22_6x_0)</f>
        <v>0</v>
      </c>
      <c r="E85" s="1"/>
      <c r="F85" s="5">
        <f t="shared" si="29"/>
        <v>0</v>
      </c>
      <c r="G85" s="1"/>
      <c r="H85" s="1">
        <f>SUM(OSRRefH22_6x_0)</f>
        <v>25</v>
      </c>
      <c r="I85" s="1"/>
      <c r="J85" s="5">
        <f t="shared" si="30"/>
        <v>7.4452402579031226E-5</v>
      </c>
      <c r="K85" s="1"/>
      <c r="L85" s="1">
        <f t="shared" si="31"/>
        <v>-25</v>
      </c>
      <c r="M85" s="1"/>
      <c r="N85" s="5">
        <f t="shared" si="32"/>
        <v>-1</v>
      </c>
      <c r="O85" s="13"/>
      <c r="P85" s="1">
        <f>SUM(OSRRefP22_6x_0)</f>
        <v>0</v>
      </c>
      <c r="Q85" s="1"/>
      <c r="R85" s="5">
        <f t="shared" si="33"/>
        <v>0</v>
      </c>
      <c r="S85" s="1"/>
      <c r="T85" s="1">
        <f>SUM(OSRRefT22_6x_0)</f>
        <v>50</v>
      </c>
      <c r="U85" s="1"/>
      <c r="V85" s="5">
        <f t="shared" si="34"/>
        <v>6.6879074607620464E-5</v>
      </c>
      <c r="W85" s="1"/>
      <c r="X85" s="1">
        <f t="shared" si="35"/>
        <v>-50</v>
      </c>
      <c r="Y85" s="1"/>
      <c r="Z85" s="5">
        <f t="shared" si="36"/>
        <v>-1</v>
      </c>
    </row>
    <row r="86" spans="1:26" s="24" customFormat="1" hidden="1" outlineLevel="2" x14ac:dyDescent="0.25">
      <c r="A86" s="27"/>
      <c r="B86" s="11" t="str">
        <f>CONCATENATE("          ", "6305", " - ", "FREIGHT OUT")</f>
        <v xml:space="preserve">          6305 - FREIGHT OUT</v>
      </c>
      <c r="C86" s="11"/>
      <c r="D86" s="6"/>
      <c r="E86" s="2"/>
      <c r="F86" s="7">
        <f t="shared" si="29"/>
        <v>0</v>
      </c>
      <c r="G86" s="2"/>
      <c r="H86" s="6">
        <v>25</v>
      </c>
      <c r="I86" s="2"/>
      <c r="J86" s="7">
        <f t="shared" si="30"/>
        <v>7.4452402579031226E-5</v>
      </c>
      <c r="K86" s="2"/>
      <c r="L86" s="6">
        <f t="shared" si="31"/>
        <v>-25</v>
      </c>
      <c r="M86" s="2"/>
      <c r="N86" s="7">
        <f t="shared" si="32"/>
        <v>-1</v>
      </c>
      <c r="O86" s="11"/>
      <c r="P86" s="6"/>
      <c r="Q86" s="2"/>
      <c r="R86" s="7">
        <f t="shared" si="33"/>
        <v>0</v>
      </c>
      <c r="S86" s="2"/>
      <c r="T86" s="6">
        <v>50</v>
      </c>
      <c r="U86" s="2"/>
      <c r="V86" s="7">
        <f t="shared" si="34"/>
        <v>6.6879074607620464E-5</v>
      </c>
      <c r="W86" s="2"/>
      <c r="X86" s="6">
        <f t="shared" si="35"/>
        <v>-50</v>
      </c>
      <c r="Y86" s="2"/>
      <c r="Z86" s="7">
        <f t="shared" si="36"/>
        <v>-1</v>
      </c>
    </row>
    <row r="87" spans="1:26" s="26" customFormat="1" outlineLevel="1" collapsed="1" x14ac:dyDescent="0.25">
      <c r="A87" s="25"/>
      <c r="B87" s="13" t="str">
        <f>CONCATENATE("     ","Subscriptions &amp; Dues                              ")</f>
        <v xml:space="preserve">     Subscriptions &amp; Dues                              </v>
      </c>
      <c r="C87" s="13"/>
      <c r="D87" s="1">
        <f>SUM(OSRRefD22_7x_0)</f>
        <v>-5000</v>
      </c>
      <c r="E87" s="1"/>
      <c r="F87" s="5">
        <f t="shared" si="29"/>
        <v>-9.9697895437246067E-3</v>
      </c>
      <c r="G87" s="1"/>
      <c r="H87" s="1">
        <f>SUM(OSRRefH22_7x_0)</f>
        <v>0</v>
      </c>
      <c r="I87" s="1"/>
      <c r="J87" s="5">
        <f t="shared" si="30"/>
        <v>0</v>
      </c>
      <c r="K87" s="1"/>
      <c r="L87" s="1">
        <f t="shared" si="31"/>
        <v>-5000</v>
      </c>
      <c r="M87" s="1"/>
      <c r="N87" s="5">
        <f t="shared" si="32"/>
        <v>0</v>
      </c>
      <c r="O87" s="13"/>
      <c r="P87" s="1">
        <f>SUM(OSRRefP22_7x_0)</f>
        <v>-5000</v>
      </c>
      <c r="Q87" s="1"/>
      <c r="R87" s="5">
        <f t="shared" si="33"/>
        <v>-5.7349152202321564E-3</v>
      </c>
      <c r="S87" s="1"/>
      <c r="T87" s="1">
        <f>SUM(OSRRefT22_7x_0)</f>
        <v>0</v>
      </c>
      <c r="U87" s="1"/>
      <c r="V87" s="5">
        <f t="shared" si="34"/>
        <v>0</v>
      </c>
      <c r="W87" s="1"/>
      <c r="X87" s="1">
        <f t="shared" si="35"/>
        <v>-5000</v>
      </c>
      <c r="Y87" s="1"/>
      <c r="Z87" s="5">
        <f t="shared" si="36"/>
        <v>0</v>
      </c>
    </row>
    <row r="88" spans="1:26" s="24" customFormat="1" hidden="1" outlineLevel="2" x14ac:dyDescent="0.25">
      <c r="A88" s="27"/>
      <c r="B88" s="11" t="str">
        <f>CONCATENATE("          ", "6258", " - ", "MEMBERSHIP DUES")</f>
        <v xml:space="preserve">          6258 - MEMBERSHIP DUES</v>
      </c>
      <c r="C88" s="11"/>
      <c r="D88" s="6">
        <v>-5000</v>
      </c>
      <c r="E88" s="2"/>
      <c r="F88" s="7">
        <f t="shared" si="29"/>
        <v>-9.9697895437246067E-3</v>
      </c>
      <c r="G88" s="2"/>
      <c r="H88" s="6"/>
      <c r="I88" s="2"/>
      <c r="J88" s="7">
        <f t="shared" si="30"/>
        <v>0</v>
      </c>
      <c r="K88" s="2"/>
      <c r="L88" s="6">
        <f t="shared" si="31"/>
        <v>-5000</v>
      </c>
      <c r="M88" s="2"/>
      <c r="N88" s="7">
        <f t="shared" si="32"/>
        <v>0</v>
      </c>
      <c r="O88" s="11"/>
      <c r="P88" s="6">
        <v>-5000</v>
      </c>
      <c r="Q88" s="2"/>
      <c r="R88" s="7">
        <f t="shared" si="33"/>
        <v>-5.7349152202321564E-3</v>
      </c>
      <c r="S88" s="2"/>
      <c r="T88" s="6"/>
      <c r="U88" s="2"/>
      <c r="V88" s="7">
        <f t="shared" si="34"/>
        <v>0</v>
      </c>
      <c r="W88" s="2"/>
      <c r="X88" s="6">
        <f t="shared" si="35"/>
        <v>-5000</v>
      </c>
      <c r="Y88" s="2"/>
      <c r="Z88" s="7">
        <f t="shared" si="36"/>
        <v>0</v>
      </c>
    </row>
    <row r="89" spans="1:26" s="26" customFormat="1" outlineLevel="1" collapsed="1" x14ac:dyDescent="0.25">
      <c r="A89" s="25"/>
      <c r="B89" s="13" t="str">
        <f>CONCATENATE("     ","Supplies                                          ")</f>
        <v xml:space="preserve">     Supplies                                          </v>
      </c>
      <c r="C89" s="13"/>
      <c r="D89" s="1">
        <f>SUM(OSRRefD22_8x_0)</f>
        <v>88.18</v>
      </c>
      <c r="E89" s="1"/>
      <c r="F89" s="5">
        <f t="shared" si="29"/>
        <v>1.758272083931272E-4</v>
      </c>
      <c r="G89" s="1"/>
      <c r="H89" s="1">
        <f>SUM(OSRRefH22_8x_0)</f>
        <v>275</v>
      </c>
      <c r="I89" s="1"/>
      <c r="J89" s="5">
        <f t="shared" si="30"/>
        <v>8.1897642836934348E-4</v>
      </c>
      <c r="K89" s="1"/>
      <c r="L89" s="1">
        <f t="shared" si="31"/>
        <v>-186.82</v>
      </c>
      <c r="M89" s="1"/>
      <c r="N89" s="5">
        <f t="shared" si="32"/>
        <v>-0.67934545454545447</v>
      </c>
      <c r="O89" s="13"/>
      <c r="P89" s="1">
        <f>SUM(OSRRefP22_8x_0)</f>
        <v>763.44</v>
      </c>
      <c r="Q89" s="1"/>
      <c r="R89" s="5">
        <f t="shared" si="33"/>
        <v>8.7565273514680756E-4</v>
      </c>
      <c r="S89" s="1"/>
      <c r="T89" s="1">
        <f>SUM(OSRRefT22_8x_0)</f>
        <v>550</v>
      </c>
      <c r="U89" s="1"/>
      <c r="V89" s="5">
        <f t="shared" si="34"/>
        <v>7.3566982068382514E-4</v>
      </c>
      <c r="W89" s="1"/>
      <c r="X89" s="1">
        <f t="shared" si="35"/>
        <v>213.44000000000005</v>
      </c>
      <c r="Y89" s="1"/>
      <c r="Z89" s="5">
        <f t="shared" si="36"/>
        <v>0.38807272727272735</v>
      </c>
    </row>
    <row r="90" spans="1:26" s="24" customFormat="1" hidden="1" outlineLevel="2" x14ac:dyDescent="0.25">
      <c r="A90" s="27"/>
      <c r="B90" s="11" t="str">
        <f>CONCATENATE("          ", "6241", " - ", "OFFICE EXPENSE")</f>
        <v xml:space="preserve">          6241 - OFFICE EXPENSE</v>
      </c>
      <c r="C90" s="11"/>
      <c r="D90" s="6">
        <v>88.18</v>
      </c>
      <c r="E90" s="2"/>
      <c r="F90" s="7">
        <f t="shared" si="29"/>
        <v>1.758272083931272E-4</v>
      </c>
      <c r="G90" s="2"/>
      <c r="H90" s="6">
        <v>275</v>
      </c>
      <c r="I90" s="2"/>
      <c r="J90" s="7">
        <f t="shared" si="30"/>
        <v>8.1897642836934348E-4</v>
      </c>
      <c r="K90" s="2"/>
      <c r="L90" s="6">
        <f t="shared" si="31"/>
        <v>-186.82</v>
      </c>
      <c r="M90" s="2"/>
      <c r="N90" s="7">
        <f t="shared" si="32"/>
        <v>-0.67934545454545447</v>
      </c>
      <c r="O90" s="11"/>
      <c r="P90" s="6">
        <v>181</v>
      </c>
      <c r="Q90" s="2"/>
      <c r="R90" s="7">
        <f t="shared" si="33"/>
        <v>2.0760393097240406E-4</v>
      </c>
      <c r="S90" s="2"/>
      <c r="T90" s="6">
        <v>550</v>
      </c>
      <c r="U90" s="2"/>
      <c r="V90" s="7">
        <f t="shared" si="34"/>
        <v>7.3566982068382514E-4</v>
      </c>
      <c r="W90" s="2"/>
      <c r="X90" s="6">
        <f t="shared" si="35"/>
        <v>-369</v>
      </c>
      <c r="Y90" s="2"/>
      <c r="Z90" s="7">
        <f t="shared" si="36"/>
        <v>-0.6709090909090909</v>
      </c>
    </row>
    <row r="91" spans="1:26" s="24" customFormat="1" hidden="1" outlineLevel="2" x14ac:dyDescent="0.25">
      <c r="A91" s="27"/>
      <c r="B91" s="11" t="str">
        <f>CONCATENATE("          ", "6247", " - ", "STORE SUPPLIES")</f>
        <v xml:space="preserve">          6247 - STORE SUPPLIES</v>
      </c>
      <c r="C91" s="11"/>
      <c r="D91" s="6"/>
      <c r="E91" s="2"/>
      <c r="F91" s="7">
        <f t="shared" si="29"/>
        <v>0</v>
      </c>
      <c r="G91" s="2"/>
      <c r="H91" s="6"/>
      <c r="I91" s="2"/>
      <c r="J91" s="7">
        <f t="shared" si="30"/>
        <v>0</v>
      </c>
      <c r="K91" s="2"/>
      <c r="L91" s="6">
        <f t="shared" si="31"/>
        <v>0</v>
      </c>
      <c r="M91" s="2"/>
      <c r="N91" s="7">
        <f t="shared" si="32"/>
        <v>0</v>
      </c>
      <c r="O91" s="11"/>
      <c r="P91" s="6">
        <v>582.44000000000005</v>
      </c>
      <c r="Q91" s="2"/>
      <c r="R91" s="7">
        <f t="shared" si="33"/>
        <v>6.6804880417440347E-4</v>
      </c>
      <c r="S91" s="2"/>
      <c r="T91" s="6"/>
      <c r="U91" s="2"/>
      <c r="V91" s="7">
        <f t="shared" si="34"/>
        <v>0</v>
      </c>
      <c r="W91" s="2"/>
      <c r="X91" s="6">
        <f t="shared" si="35"/>
        <v>582.44000000000005</v>
      </c>
      <c r="Y91" s="2"/>
      <c r="Z91" s="7">
        <f t="shared" si="36"/>
        <v>0</v>
      </c>
    </row>
    <row r="92" spans="1:26" s="26" customFormat="1" outlineLevel="1" collapsed="1" x14ac:dyDescent="0.25">
      <c r="A92" s="25"/>
      <c r="B92" s="13" t="str">
        <f>CONCATENATE("     ","Telephone/Data Lines                              ")</f>
        <v xml:space="preserve">     Telephone/Data Lines                              </v>
      </c>
      <c r="C92" s="13"/>
      <c r="D92" s="1">
        <f>SUM(OSRRefD22_9x_0)</f>
        <v>254.25</v>
      </c>
      <c r="E92" s="1"/>
      <c r="F92" s="5">
        <f t="shared" ref="F92:F94" si="37">IF(D$12=0,0,D92/D$12)</f>
        <v>5.0696379829839628E-4</v>
      </c>
      <c r="G92" s="1"/>
      <c r="H92" s="1">
        <f>SUM(OSRRefH22_9x_0)</f>
        <v>280</v>
      </c>
      <c r="I92" s="1"/>
      <c r="J92" s="5">
        <f t="shared" ref="J92:J94" si="38">IF(H$12=0,0,H92/H$12)</f>
        <v>8.3386690888514971E-4</v>
      </c>
      <c r="K92" s="1"/>
      <c r="L92" s="1">
        <f t="shared" ref="L92:L94" si="39">+D92-H92</f>
        <v>-25.75</v>
      </c>
      <c r="M92" s="1"/>
      <c r="N92" s="5">
        <f t="shared" ref="N92:N94" si="40">IF(H92=0,0,L92/H92)</f>
        <v>-9.1964285714285721E-2</v>
      </c>
      <c r="O92" s="13"/>
      <c r="P92" s="1">
        <f>SUM(OSRRefP22_9x_0)</f>
        <v>431.3</v>
      </c>
      <c r="Q92" s="1"/>
      <c r="R92" s="5">
        <f t="shared" ref="R92:R94" si="41">IF(P$12=0,0,P92/P$12)</f>
        <v>4.9469378689722581E-4</v>
      </c>
      <c r="S92" s="1"/>
      <c r="T92" s="1">
        <f>SUM(OSRRefT22_9x_0)</f>
        <v>560</v>
      </c>
      <c r="U92" s="1"/>
      <c r="V92" s="5">
        <f t="shared" ref="V92:V94" si="42">IF(T$12=0,0,T92/T$12)</f>
        <v>7.4904563560534922E-4</v>
      </c>
      <c r="W92" s="1"/>
      <c r="X92" s="1">
        <f t="shared" ref="X92:X94" si="43">+P92-T92</f>
        <v>-128.69999999999999</v>
      </c>
      <c r="Y92" s="1"/>
      <c r="Z92" s="5">
        <f t="shared" ref="Z92:Z94" si="44">IF(T92=0,0,X92/T92)</f>
        <v>-0.22982142857142854</v>
      </c>
    </row>
    <row r="93" spans="1:26" s="24" customFormat="1" hidden="1" outlineLevel="2" x14ac:dyDescent="0.25">
      <c r="A93" s="27"/>
      <c r="B93" s="11" t="str">
        <f>CONCATENATE("          ", "6303", " - ", "DATA PHONE LINES")</f>
        <v xml:space="preserve">          6303 - DATA PHONE LINES</v>
      </c>
      <c r="C93" s="11"/>
      <c r="D93" s="6"/>
      <c r="E93" s="2"/>
      <c r="F93" s="7">
        <f t="shared" si="37"/>
        <v>0</v>
      </c>
      <c r="G93" s="2"/>
      <c r="H93" s="6">
        <v>280</v>
      </c>
      <c r="I93" s="2"/>
      <c r="J93" s="7">
        <f t="shared" si="38"/>
        <v>8.3386690888514971E-4</v>
      </c>
      <c r="K93" s="2"/>
      <c r="L93" s="6">
        <f t="shared" si="39"/>
        <v>-280</v>
      </c>
      <c r="M93" s="2"/>
      <c r="N93" s="7">
        <f t="shared" si="40"/>
        <v>-1</v>
      </c>
      <c r="O93" s="11"/>
      <c r="P93" s="6"/>
      <c r="Q93" s="2"/>
      <c r="R93" s="7">
        <f t="shared" si="41"/>
        <v>0</v>
      </c>
      <c r="S93" s="2"/>
      <c r="T93" s="6">
        <v>560</v>
      </c>
      <c r="U93" s="2"/>
      <c r="V93" s="7">
        <f t="shared" si="42"/>
        <v>7.4904563560534922E-4</v>
      </c>
      <c r="W93" s="2"/>
      <c r="X93" s="6">
        <f t="shared" si="43"/>
        <v>-560</v>
      </c>
      <c r="Y93" s="2"/>
      <c r="Z93" s="7">
        <f t="shared" si="44"/>
        <v>-1</v>
      </c>
    </row>
    <row r="94" spans="1:26" s="24" customFormat="1" hidden="1" outlineLevel="2" x14ac:dyDescent="0.25">
      <c r="A94" s="27"/>
      <c r="B94" s="11" t="str">
        <f>CONCATENATE("          ", "6309", " - ", "TELEPHONE")</f>
        <v xml:space="preserve">          6309 - TELEPHONE</v>
      </c>
      <c r="C94" s="11"/>
      <c r="D94" s="6">
        <v>254.25</v>
      </c>
      <c r="E94" s="2"/>
      <c r="F94" s="7">
        <f t="shared" si="37"/>
        <v>5.0696379829839628E-4</v>
      </c>
      <c r="G94" s="2"/>
      <c r="H94" s="6"/>
      <c r="I94" s="2"/>
      <c r="J94" s="7">
        <f t="shared" si="38"/>
        <v>0</v>
      </c>
      <c r="K94" s="2"/>
      <c r="L94" s="6">
        <f t="shared" si="39"/>
        <v>254.25</v>
      </c>
      <c r="M94" s="2"/>
      <c r="N94" s="7">
        <f t="shared" si="40"/>
        <v>0</v>
      </c>
      <c r="O94" s="11"/>
      <c r="P94" s="6">
        <v>431.3</v>
      </c>
      <c r="Q94" s="2"/>
      <c r="R94" s="7">
        <f t="shared" si="41"/>
        <v>4.9469378689722581E-4</v>
      </c>
      <c r="S94" s="2"/>
      <c r="T94" s="6"/>
      <c r="U94" s="2"/>
      <c r="V94" s="7">
        <f t="shared" si="42"/>
        <v>0</v>
      </c>
      <c r="W94" s="2"/>
      <c r="X94" s="6">
        <f t="shared" si="43"/>
        <v>431.3</v>
      </c>
      <c r="Y94" s="2"/>
      <c r="Z94" s="7">
        <f t="shared" si="44"/>
        <v>0</v>
      </c>
    </row>
    <row r="95" spans="1:26" s="26" customFormat="1" outlineLevel="1" collapsed="1" x14ac:dyDescent="0.25">
      <c r="A95" s="25"/>
      <c r="B95" s="13" t="str">
        <f>CONCATENATE("     ","Training                                          ")</f>
        <v xml:space="preserve">     Training                                          </v>
      </c>
      <c r="C95" s="13"/>
      <c r="D95" s="1">
        <f>SUM(OSRRefD22_10x_0)</f>
        <v>0</v>
      </c>
      <c r="E95" s="1"/>
      <c r="F95" s="5">
        <f t="shared" ref="F95:F96" si="45">IF(D$12=0,0,D95/D$12)</f>
        <v>0</v>
      </c>
      <c r="G95" s="1"/>
      <c r="H95" s="1">
        <f>SUM(OSRRefH22_10x_0)</f>
        <v>375</v>
      </c>
      <c r="I95" s="1"/>
      <c r="J95" s="5">
        <f t="shared" ref="J95:J96" si="46">IF(H$12=0,0,H95/H$12)</f>
        <v>1.1167860386854683E-3</v>
      </c>
      <c r="K95" s="1"/>
      <c r="L95" s="1">
        <f t="shared" ref="L95:L96" si="47">+D95-H95</f>
        <v>-375</v>
      </c>
      <c r="M95" s="1"/>
      <c r="N95" s="5">
        <f t="shared" ref="N95:N96" si="48">IF(H95=0,0,L95/H95)</f>
        <v>-1</v>
      </c>
      <c r="O95" s="13"/>
      <c r="P95" s="1">
        <f>SUM(OSRRefP22_10x_0)</f>
        <v>0</v>
      </c>
      <c r="Q95" s="1"/>
      <c r="R95" s="5">
        <f t="shared" ref="R95:R96" si="49">IF(P$12=0,0,P95/P$12)</f>
        <v>0</v>
      </c>
      <c r="S95" s="1"/>
      <c r="T95" s="1">
        <f>SUM(OSRRefT22_10x_0)</f>
        <v>750</v>
      </c>
      <c r="U95" s="1"/>
      <c r="V95" s="5">
        <f t="shared" ref="V95:V96" si="50">IF(T$12=0,0,T95/T$12)</f>
        <v>1.0031861191143071E-3</v>
      </c>
      <c r="W95" s="1"/>
      <c r="X95" s="1">
        <f t="shared" ref="X95:X96" si="51">+P95-T95</f>
        <v>-750</v>
      </c>
      <c r="Y95" s="1"/>
      <c r="Z95" s="5">
        <f t="shared" ref="Z95:Z96" si="52">IF(T95=0,0,X95/T95)</f>
        <v>-1</v>
      </c>
    </row>
    <row r="96" spans="1:26" s="24" customFormat="1" hidden="1" outlineLevel="2" x14ac:dyDescent="0.25">
      <c r="A96" s="27"/>
      <c r="B96" s="11" t="str">
        <f>CONCATENATE("          ", "6376", " - ", "TRAINING")</f>
        <v xml:space="preserve">          6376 - TRAINING</v>
      </c>
      <c r="C96" s="11"/>
      <c r="D96" s="6"/>
      <c r="E96" s="2"/>
      <c r="F96" s="7">
        <f t="shared" si="45"/>
        <v>0</v>
      </c>
      <c r="G96" s="2"/>
      <c r="H96" s="6">
        <v>375</v>
      </c>
      <c r="I96" s="2"/>
      <c r="J96" s="7">
        <f t="shared" si="46"/>
        <v>1.1167860386854683E-3</v>
      </c>
      <c r="K96" s="2"/>
      <c r="L96" s="6">
        <f t="shared" si="47"/>
        <v>-375</v>
      </c>
      <c r="M96" s="2"/>
      <c r="N96" s="7">
        <f t="shared" si="48"/>
        <v>-1</v>
      </c>
      <c r="O96" s="11"/>
      <c r="P96" s="6"/>
      <c r="Q96" s="2"/>
      <c r="R96" s="7">
        <f t="shared" si="49"/>
        <v>0</v>
      </c>
      <c r="S96" s="2"/>
      <c r="T96" s="6">
        <v>750</v>
      </c>
      <c r="U96" s="2"/>
      <c r="V96" s="7">
        <f t="shared" si="50"/>
        <v>1.0031861191143071E-3</v>
      </c>
      <c r="W96" s="2"/>
      <c r="X96" s="6">
        <f t="shared" si="51"/>
        <v>-750</v>
      </c>
      <c r="Y96" s="2"/>
      <c r="Z96" s="7">
        <f t="shared" si="52"/>
        <v>-1</v>
      </c>
    </row>
    <row r="97" spans="1:26" s="63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8" t="s">
        <v>0</v>
      </c>
      <c r="C98" s="10"/>
      <c r="D98" s="4">
        <f>SUM(OSRRefD25x_0)</f>
        <v>-3027.34</v>
      </c>
      <c r="E98" s="4"/>
      <c r="F98" s="12">
        <f t="shared" ref="F98:F101" si="53">IF(D$12=0,0,D98/D$12)</f>
        <v>-6.0363885354598511E-3</v>
      </c>
      <c r="G98" s="4"/>
      <c r="H98" s="4">
        <f>SUM(OSRRefH25x_0)</f>
        <v>2025</v>
      </c>
      <c r="I98" s="4"/>
      <c r="J98" s="12">
        <f t="shared" ref="J98:J101" si="54">IF(H$12=0,0,H98/H$12)</f>
        <v>6.030644608901529E-3</v>
      </c>
      <c r="K98" s="4"/>
      <c r="L98" s="4">
        <f t="shared" ref="L98:L101" si="55">+D98-H98</f>
        <v>-5052.34</v>
      </c>
      <c r="M98" s="4"/>
      <c r="N98" s="12">
        <f t="shared" ref="N98:N101" si="56">IF(H98=0,0,L98/H98)</f>
        <v>-2.4949827160493827</v>
      </c>
      <c r="O98" s="10"/>
      <c r="P98" s="4">
        <f>SUM(OSRRefP25x_0)</f>
        <v>-3009.54</v>
      </c>
      <c r="Q98" s="4"/>
      <c r="R98" s="12">
        <f t="shared" ref="R98:R101" si="57">IF(P$12=0,0,P98/P$12)</f>
        <v>-3.4518913503794966E-3</v>
      </c>
      <c r="S98" s="4"/>
      <c r="T98" s="4">
        <f>SUM(OSRRefT25x_0)</f>
        <v>3375</v>
      </c>
      <c r="U98" s="4"/>
      <c r="V98" s="12">
        <f t="shared" ref="V98:V101" si="58">IF(T$12=0,0,T98/T$12)</f>
        <v>4.5143375360143815E-3</v>
      </c>
      <c r="W98" s="4"/>
      <c r="X98" s="4">
        <f t="shared" ref="X98:X101" si="59">+P98-T98</f>
        <v>-6384.54</v>
      </c>
      <c r="Y98" s="4"/>
      <c r="Z98" s="12">
        <f t="shared" ref="Z98:Z101" si="60">IF(T98=0,0,X98/T98)</f>
        <v>-1.8917155555555556</v>
      </c>
    </row>
    <row r="99" spans="1:26" s="24" customFormat="1" hidden="1" outlineLevel="1" x14ac:dyDescent="0.25">
      <c r="A99" s="46"/>
      <c r="B99" s="11" t="str">
        <f>CONCATENATE("          ", "4187", " - ", "NON-TAXABLE SALES-COMPUTER REP")</f>
        <v xml:space="preserve">          4187 - NON-TAXABLE SALES-COMPUTER REP</v>
      </c>
      <c r="C99" s="11"/>
      <c r="D99" s="2">
        <f>--1700.37</f>
        <v>1700.37</v>
      </c>
      <c r="E99" s="2"/>
      <c r="F99" s="21">
        <f t="shared" si="53"/>
        <v>3.3904662092926019E-3</v>
      </c>
      <c r="G99" s="2"/>
      <c r="H99" s="2"/>
      <c r="I99" s="2"/>
      <c r="J99" s="21">
        <f t="shared" si="54"/>
        <v>0</v>
      </c>
      <c r="K99" s="2"/>
      <c r="L99" s="2">
        <f t="shared" si="55"/>
        <v>1700.37</v>
      </c>
      <c r="M99" s="2"/>
      <c r="N99" s="21">
        <f t="shared" si="56"/>
        <v>0</v>
      </c>
      <c r="O99" s="11"/>
      <c r="P99" s="2">
        <f>--2482.26</f>
        <v>2482.2600000000002</v>
      </c>
      <c r="Q99" s="2"/>
      <c r="R99" s="21">
        <f t="shared" si="57"/>
        <v>2.8471101309146948E-3</v>
      </c>
      <c r="S99" s="2"/>
      <c r="T99" s="2"/>
      <c r="U99" s="2"/>
      <c r="V99" s="21">
        <f t="shared" si="58"/>
        <v>0</v>
      </c>
      <c r="W99" s="2"/>
      <c r="X99" s="2">
        <f t="shared" si="59"/>
        <v>2482.2600000000002</v>
      </c>
      <c r="Y99" s="2"/>
      <c r="Z99" s="21">
        <f t="shared" si="60"/>
        <v>0</v>
      </c>
    </row>
    <row r="100" spans="1:26" s="24" customFormat="1" hidden="1" outlineLevel="1" x14ac:dyDescent="0.25">
      <c r="A100" s="46"/>
      <c r="B100" s="11" t="str">
        <f>CONCATENATE("          ", "4387", " - ", "SALES RETURN NON TAXABLE-COMPU")</f>
        <v xml:space="preserve">          4387 - SALES RETURN NON TAXABLE-COMPU</v>
      </c>
      <c r="C100" s="11"/>
      <c r="D100" s="2">
        <f>-2820.7</f>
        <v>-2820.7</v>
      </c>
      <c r="E100" s="2"/>
      <c r="F100" s="21">
        <f t="shared" si="53"/>
        <v>-5.6243570731967993E-3</v>
      </c>
      <c r="G100" s="2"/>
      <c r="H100" s="2"/>
      <c r="I100" s="2"/>
      <c r="J100" s="21">
        <f t="shared" si="54"/>
        <v>0</v>
      </c>
      <c r="K100" s="2"/>
      <c r="L100" s="2">
        <f t="shared" si="55"/>
        <v>-2820.7</v>
      </c>
      <c r="M100" s="2"/>
      <c r="N100" s="21">
        <f t="shared" si="56"/>
        <v>0</v>
      </c>
      <c r="O100" s="11"/>
      <c r="P100" s="2">
        <f>-3451.5</f>
        <v>-3451.5</v>
      </c>
      <c r="Q100" s="2"/>
      <c r="R100" s="21">
        <f t="shared" si="57"/>
        <v>-3.9588119765262579E-3</v>
      </c>
      <c r="S100" s="2"/>
      <c r="T100" s="2"/>
      <c r="U100" s="2"/>
      <c r="V100" s="21">
        <f t="shared" si="58"/>
        <v>0</v>
      </c>
      <c r="W100" s="2"/>
      <c r="X100" s="2">
        <f t="shared" si="59"/>
        <v>-3451.5</v>
      </c>
      <c r="Y100" s="2"/>
      <c r="Z100" s="21">
        <f t="shared" si="60"/>
        <v>0</v>
      </c>
    </row>
    <row r="101" spans="1:26" s="24" customFormat="1" hidden="1" outlineLevel="1" x14ac:dyDescent="0.25">
      <c r="A101" s="46"/>
      <c r="B101" s="11" t="str">
        <f>CONCATENATE("          ", "9150", " - ", "MISC. INCOME")</f>
        <v xml:space="preserve">          9150 - MISC. INCOME</v>
      </c>
      <c r="C101" s="11"/>
      <c r="D101" s="2">
        <f>-1907.01</f>
        <v>-1907.01</v>
      </c>
      <c r="E101" s="2"/>
      <c r="F101" s="21">
        <f t="shared" si="53"/>
        <v>-3.8024976715556528E-3</v>
      </c>
      <c r="G101" s="2"/>
      <c r="H101" s="2">
        <v>2025</v>
      </c>
      <c r="I101" s="2"/>
      <c r="J101" s="21">
        <f t="shared" si="54"/>
        <v>6.030644608901529E-3</v>
      </c>
      <c r="K101" s="2"/>
      <c r="L101" s="2">
        <f t="shared" si="55"/>
        <v>-3932.01</v>
      </c>
      <c r="M101" s="2"/>
      <c r="N101" s="21">
        <f t="shared" si="56"/>
        <v>-1.9417333333333335</v>
      </c>
      <c r="O101" s="11"/>
      <c r="P101" s="2">
        <f>-2040.3</f>
        <v>-2040.3</v>
      </c>
      <c r="Q101" s="2"/>
      <c r="R101" s="21">
        <f t="shared" si="57"/>
        <v>-2.3401895047679335E-3</v>
      </c>
      <c r="S101" s="2"/>
      <c r="T101" s="2">
        <v>3375</v>
      </c>
      <c r="U101" s="2"/>
      <c r="V101" s="21">
        <f t="shared" si="58"/>
        <v>4.5143375360143815E-3</v>
      </c>
      <c r="W101" s="2"/>
      <c r="X101" s="2">
        <f t="shared" si="59"/>
        <v>-5415.3</v>
      </c>
      <c r="Y101" s="2"/>
      <c r="Z101" s="21">
        <f t="shared" si="60"/>
        <v>-1.6045333333333334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2">
        <f>+D52-D54+D98</f>
        <v>-21452.760000000078</v>
      </c>
      <c r="E103" s="14"/>
      <c r="F103" s="20">
        <f>IF(D$12=0,0,D103/D$12)</f>
        <v>-4.2775900466406856E-2</v>
      </c>
      <c r="G103" s="14"/>
      <c r="H103" s="22">
        <f>+H52-H54+H98</f>
        <v>58667.923831083077</v>
      </c>
      <c r="I103" s="14"/>
      <c r="J103" s="20">
        <f>IF(H$12=0,0,H103/H$12)</f>
        <v>0.1747187153419095</v>
      </c>
      <c r="K103" s="15"/>
      <c r="L103" s="22">
        <f>+D103-H103</f>
        <v>-80120.683831083152</v>
      </c>
      <c r="M103" s="15"/>
      <c r="N103" s="20">
        <f>IF(H103=0,0,L103/H103)</f>
        <v>-1.3656642096585341</v>
      </c>
      <c r="O103" s="28"/>
      <c r="P103" s="22">
        <f>+P52-P54+P98</f>
        <v>-18446.709999999985</v>
      </c>
      <c r="Q103" s="14"/>
      <c r="R103" s="20">
        <f>IF(P$12=0,0,P103/P$12)</f>
        <v>-2.1158063588441727E-2</v>
      </c>
      <c r="S103" s="14"/>
      <c r="T103" s="22">
        <f>+T52-T54+T98</f>
        <v>133909.94679418692</v>
      </c>
      <c r="U103" s="14"/>
      <c r="V103" s="20">
        <f>IF(T$12=0,0,T103/T$12)</f>
        <v>0.17911546644701828</v>
      </c>
      <c r="W103" s="15"/>
      <c r="X103" s="22">
        <f>+P103-T103</f>
        <v>-152356.65679418691</v>
      </c>
      <c r="Y103" s="15"/>
      <c r="Z103" s="20">
        <f>IF(T103=0,0,X103/T103)</f>
        <v>-1.1377545913624452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>
        <v>31700.05</v>
      </c>
      <c r="E105" s="4"/>
      <c r="F105" s="12">
        <f>IF(D$12=0,0,D105/D$12)</f>
        <v>6.320856540510944E-2</v>
      </c>
      <c r="G105" s="4"/>
      <c r="H105" s="4">
        <v>21049</v>
      </c>
      <c r="I105" s="4"/>
      <c r="J105" s="12">
        <f>IF(H$12=0,0,H105/H$12)</f>
        <v>6.268594487544113E-2</v>
      </c>
      <c r="K105" s="4"/>
      <c r="L105" s="4">
        <f>+D105-H105</f>
        <v>10651.05</v>
      </c>
      <c r="M105" s="4"/>
      <c r="N105" s="12">
        <f>IF(H105=0,0,L105/H105)</f>
        <v>0.50601216209796185</v>
      </c>
      <c r="O105" s="10"/>
      <c r="P105" s="4">
        <v>108704.09999999999</v>
      </c>
      <c r="Q105" s="4"/>
      <c r="R105" s="12">
        <f>IF(P$12=0,0,P105/P$12)</f>
        <v>0.12468175951832766</v>
      </c>
      <c r="S105" s="4"/>
      <c r="T105" s="4">
        <v>121415</v>
      </c>
      <c r="U105" s="4"/>
      <c r="V105" s="12">
        <f>IF(T$12=0,0,T105/T$12)</f>
        <v>0.1624024568696848</v>
      </c>
      <c r="W105" s="4"/>
      <c r="X105" s="4">
        <f>+P105-T105</f>
        <v>-12710.900000000009</v>
      </c>
      <c r="Y105" s="4"/>
      <c r="Z105" s="12">
        <f>IF(T105=0,0,X105/T105)</f>
        <v>-0.10468970061359806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1">
        <f>+D103-D105</f>
        <v>-53152.810000000078</v>
      </c>
      <c r="E107" s="14"/>
      <c r="F107" s="32">
        <f>IF(D$12=0,0,D107/D$12)</f>
        <v>-0.1059844658715163</v>
      </c>
      <c r="G107" s="14"/>
      <c r="H107" s="31">
        <f>+H103-H105</f>
        <v>37618.923831083077</v>
      </c>
      <c r="I107" s="14"/>
      <c r="J107" s="32">
        <f>IF(H$12=0,0,H107/H$12)</f>
        <v>0.11203277046646835</v>
      </c>
      <c r="K107" s="15"/>
      <c r="L107" s="31">
        <f>D107-H107</f>
        <v>-90771.733831083155</v>
      </c>
      <c r="M107" s="15"/>
      <c r="N107" s="32">
        <f>IF(H107=0,0,L107/H107)</f>
        <v>-2.4129274467995798</v>
      </c>
      <c r="O107" s="28"/>
      <c r="P107" s="31">
        <f>+P103-P105</f>
        <v>-127150.80999999997</v>
      </c>
      <c r="Q107" s="14"/>
      <c r="R107" s="32">
        <f>IF(P$12=0,0,P107/P$12)</f>
        <v>-0.14583982310676938</v>
      </c>
      <c r="S107" s="14"/>
      <c r="T107" s="31">
        <f>+T103-T105</f>
        <v>12494.946794186922</v>
      </c>
      <c r="U107" s="14"/>
      <c r="V107" s="32">
        <f>IF(T$12=0,0,T107/T$12)</f>
        <v>1.6713009577333508E-2</v>
      </c>
      <c r="W107" s="15"/>
      <c r="X107" s="31">
        <f>P107-T107</f>
        <v>-139645.75679418689</v>
      </c>
      <c r="Y107" s="15"/>
      <c r="Z107" s="32">
        <f>IF(T107=0,0,X107/T107)</f>
        <v>-11.176178585982846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3">
        <f>SUM(D107:D109)</f>
        <v>-53152.810000000078</v>
      </c>
      <c r="E110" s="14"/>
      <c r="F110" s="35">
        <f>IF(D$12=0,0,D110/D$12)</f>
        <v>-0.1059844658715163</v>
      </c>
      <c r="G110" s="14"/>
      <c r="H110" s="33">
        <f>SUM(H107:H109)</f>
        <v>37618.923831083077</v>
      </c>
      <c r="I110" s="14"/>
      <c r="J110" s="35">
        <f>IF(H$12=0,0,H110/H$12)</f>
        <v>0.11203277046646835</v>
      </c>
      <c r="K110" s="15"/>
      <c r="L110" s="33">
        <f>+D110-H110</f>
        <v>-90771.733831083155</v>
      </c>
      <c r="M110" s="15"/>
      <c r="N110" s="35">
        <f>IF(H110=0,0,L110/H110)</f>
        <v>-2.4129274467995798</v>
      </c>
      <c r="O110" s="28"/>
      <c r="P110" s="33">
        <f>SUM(P107:P109)</f>
        <v>-127150.80999999997</v>
      </c>
      <c r="Q110" s="14"/>
      <c r="R110" s="35">
        <f>IF(P$12=0,0,P110/P$12)</f>
        <v>-0.14583982310676938</v>
      </c>
      <c r="S110" s="14"/>
      <c r="T110" s="33">
        <f>SUM(T107:T109)</f>
        <v>12494.946794186922</v>
      </c>
      <c r="U110" s="14"/>
      <c r="V110" s="35">
        <f>IF(T$12=0,0,T110/T$12)</f>
        <v>1.6713009577333508E-2</v>
      </c>
      <c r="W110" s="15"/>
      <c r="X110" s="33">
        <f>+P110-T110</f>
        <v>-139645.75679418689</v>
      </c>
      <c r="Y110" s="15"/>
      <c r="Z110" s="35">
        <f>IF(T110=0,0,X110/T110)</f>
        <v>-11.176178585982846</v>
      </c>
    </row>
    <row r="111" spans="1:26" ht="15.75" thickTop="1" x14ac:dyDescent="0.25">
      <c r="A111" s="9"/>
      <c r="C111" s="9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61">
        <v>43732.705681712963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62" t="s">
        <v>314</v>
      </c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A114" s="9"/>
      <c r="B114" s="58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25"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","317", " - ", "Computer Store")</f>
        <v>Department 317 - Computer 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501515.09999999992</v>
      </c>
      <c r="E12" s="4"/>
      <c r="F12" s="12"/>
      <c r="G12" s="4"/>
      <c r="H12" s="4">
        <f>SUM(OSRRefH13x_0)</f>
        <v>335785</v>
      </c>
      <c r="I12" s="4"/>
      <c r="J12" s="12"/>
      <c r="K12" s="4"/>
      <c r="L12" s="4">
        <f t="shared" ref="L12:L36" si="0">+D12-H12</f>
        <v>165730.09999999992</v>
      </c>
      <c r="M12" s="4"/>
      <c r="N12" s="12">
        <f t="shared" ref="N12:N36" si="1">IF(H12=0,0,L12/H12)</f>
        <v>0.49356016498652389</v>
      </c>
      <c r="O12" s="10"/>
      <c r="P12" s="4">
        <f>SUM(OSRRefP13x_0)</f>
        <v>871852.47000000009</v>
      </c>
      <c r="Q12" s="4"/>
      <c r="R12" s="12"/>
      <c r="S12" s="4"/>
      <c r="T12" s="4">
        <f>SUM(OSRRefT13x_0)</f>
        <v>747618</v>
      </c>
      <c r="U12" s="4"/>
      <c r="V12" s="12"/>
      <c r="W12" s="4"/>
      <c r="X12" s="4">
        <f t="shared" ref="X12:X36" si="2">+P12-T12</f>
        <v>124234.47000000009</v>
      </c>
      <c r="Y12" s="4"/>
      <c r="Z12" s="12">
        <f t="shared" ref="Z12:Z36" si="3">IF(T12=0,0,X12/T12)</f>
        <v>0.16617372775936387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295490</v>
      </c>
      <c r="I13" s="2"/>
      <c r="J13" s="21"/>
      <c r="K13" s="2"/>
      <c r="L13" s="2">
        <f t="shared" si="0"/>
        <v>-295490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657903</v>
      </c>
      <c r="U13" s="2"/>
      <c r="V13" s="21"/>
      <c r="W13" s="2"/>
      <c r="X13" s="2">
        <f t="shared" si="2"/>
        <v>-657903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"4081", " - ", "TAXABLE SALES-ELECTRONICS")</f>
        <v xml:space="preserve">          4081 - TAXABLE SALES-ELECTRONICS</v>
      </c>
      <c r="C14" s="11"/>
      <c r="D14" s="2">
        <f>--88475.34</f>
        <v>88475.34</v>
      </c>
      <c r="E14" s="2"/>
      <c r="F14" s="21"/>
      <c r="G14" s="2"/>
      <c r="H14" s="2"/>
      <c r="I14" s="2"/>
      <c r="J14" s="21"/>
      <c r="K14" s="2"/>
      <c r="L14" s="2">
        <f t="shared" si="0"/>
        <v>88475.34</v>
      </c>
      <c r="M14" s="2"/>
      <c r="N14" s="21">
        <f t="shared" si="1"/>
        <v>0</v>
      </c>
      <c r="O14" s="11"/>
      <c r="P14" s="2">
        <f>--109419.93</f>
        <v>109419.93</v>
      </c>
      <c r="Q14" s="2"/>
      <c r="R14" s="21"/>
      <c r="S14" s="2"/>
      <c r="T14" s="2"/>
      <c r="U14" s="2"/>
      <c r="V14" s="21"/>
      <c r="W14" s="2"/>
      <c r="X14" s="2">
        <f t="shared" si="2"/>
        <v>109419.93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--414765.04</f>
        <v>414765.04</v>
      </c>
      <c r="E15" s="2"/>
      <c r="F15" s="21"/>
      <c r="G15" s="2"/>
      <c r="H15" s="2"/>
      <c r="I15" s="2"/>
      <c r="J15" s="21"/>
      <c r="K15" s="2"/>
      <c r="L15" s="2">
        <f t="shared" si="0"/>
        <v>414765.04</v>
      </c>
      <c r="M15" s="2"/>
      <c r="N15" s="21">
        <f t="shared" si="1"/>
        <v>0</v>
      </c>
      <c r="O15" s="11"/>
      <c r="P15" s="2">
        <f>--813534.78</f>
        <v>813534.78</v>
      </c>
      <c r="Q15" s="2"/>
      <c r="R15" s="21"/>
      <c r="S15" s="2"/>
      <c r="T15" s="2"/>
      <c r="U15" s="2"/>
      <c r="V15" s="21"/>
      <c r="W15" s="2"/>
      <c r="X15" s="2">
        <f t="shared" si="2"/>
        <v>813534.78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--15671.69</f>
        <v>15671.69</v>
      </c>
      <c r="E16" s="2"/>
      <c r="F16" s="21"/>
      <c r="G16" s="2"/>
      <c r="H16" s="2"/>
      <c r="I16" s="2"/>
      <c r="J16" s="21"/>
      <c r="K16" s="2"/>
      <c r="L16" s="2">
        <f t="shared" si="0"/>
        <v>15671.69</v>
      </c>
      <c r="M16" s="2"/>
      <c r="N16" s="21">
        <f t="shared" si="1"/>
        <v>0</v>
      </c>
      <c r="O16" s="11"/>
      <c r="P16" s="2">
        <f>--23577.79</f>
        <v>23577.79</v>
      </c>
      <c r="Q16" s="2"/>
      <c r="R16" s="21"/>
      <c r="S16" s="2"/>
      <c r="T16" s="2"/>
      <c r="U16" s="2"/>
      <c r="V16" s="21"/>
      <c r="W16" s="2"/>
      <c r="X16" s="2">
        <f t="shared" si="2"/>
        <v>23577.79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 t="shared" ref="D17:D18" si="4">0</f>
        <v>0</v>
      </c>
      <c r="E17" s="2"/>
      <c r="F17" s="21"/>
      <c r="G17" s="2"/>
      <c r="H17" s="2"/>
      <c r="I17" s="2"/>
      <c r="J17" s="21"/>
      <c r="K17" s="2"/>
      <c r="L17" s="2">
        <f t="shared" si="0"/>
        <v>0</v>
      </c>
      <c r="M17" s="2"/>
      <c r="N17" s="21">
        <f t="shared" si="1"/>
        <v>0</v>
      </c>
      <c r="O17" s="11"/>
      <c r="P17" s="2">
        <f>--129</f>
        <v>129</v>
      </c>
      <c r="Q17" s="2"/>
      <c r="R17" s="21"/>
      <c r="S17" s="2"/>
      <c r="T17" s="2"/>
      <c r="U17" s="2"/>
      <c r="V17" s="21"/>
      <c r="W17" s="2"/>
      <c r="X17" s="2">
        <f t="shared" si="2"/>
        <v>129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"4085", " - ", "TAXABLE SALES-SOFTWARE")</f>
        <v xml:space="preserve">          4085 - TAXABLE SALES-SOFTWARE</v>
      </c>
      <c r="C18" s="11"/>
      <c r="D18" s="2">
        <f t="shared" si="4"/>
        <v>0</v>
      </c>
      <c r="E18" s="2"/>
      <c r="F18" s="21"/>
      <c r="G18" s="2"/>
      <c r="H18" s="2"/>
      <c r="I18" s="2"/>
      <c r="J18" s="21"/>
      <c r="K18" s="2"/>
      <c r="L18" s="2">
        <f t="shared" si="0"/>
        <v>0</v>
      </c>
      <c r="M18" s="2"/>
      <c r="N18" s="21">
        <f t="shared" si="1"/>
        <v>0</v>
      </c>
      <c r="O18" s="11"/>
      <c r="P18" s="2">
        <f>--493.95</f>
        <v>493.95</v>
      </c>
      <c r="Q18" s="2"/>
      <c r="R18" s="21"/>
      <c r="S18" s="2"/>
      <c r="T18" s="2"/>
      <c r="U18" s="2"/>
      <c r="V18" s="21"/>
      <c r="W18" s="2"/>
      <c r="X18" s="2">
        <f t="shared" si="2"/>
        <v>493.95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--7578.27</f>
        <v>7578.27</v>
      </c>
      <c r="E19" s="2"/>
      <c r="F19" s="21"/>
      <c r="G19" s="2"/>
      <c r="H19" s="2"/>
      <c r="I19" s="2"/>
      <c r="J19" s="21"/>
      <c r="K19" s="2"/>
      <c r="L19" s="2">
        <f t="shared" si="0"/>
        <v>7578.27</v>
      </c>
      <c r="M19" s="2"/>
      <c r="N19" s="21">
        <f t="shared" si="1"/>
        <v>0</v>
      </c>
      <c r="O19" s="11"/>
      <c r="P19" s="2">
        <f>--9558.6</f>
        <v>9558.6</v>
      </c>
      <c r="Q19" s="2"/>
      <c r="R19" s="21"/>
      <c r="S19" s="2"/>
      <c r="T19" s="2"/>
      <c r="U19" s="2"/>
      <c r="V19" s="21"/>
      <c r="W19" s="2"/>
      <c r="X19" s="2">
        <f t="shared" si="2"/>
        <v>9558.6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"4088", " - ", "TAXABLE SALES-MUSIC")</f>
        <v xml:space="preserve">          4088 - TAXABLE SALES-MUSIC</v>
      </c>
      <c r="C20" s="11"/>
      <c r="D20" s="2">
        <f>--259.98</f>
        <v>259.98</v>
      </c>
      <c r="E20" s="2"/>
      <c r="F20" s="21"/>
      <c r="G20" s="2"/>
      <c r="H20" s="2"/>
      <c r="I20" s="2"/>
      <c r="J20" s="21"/>
      <c r="K20" s="2"/>
      <c r="L20" s="2">
        <f t="shared" si="0"/>
        <v>259.98</v>
      </c>
      <c r="M20" s="2"/>
      <c r="N20" s="21">
        <f t="shared" si="1"/>
        <v>0</v>
      </c>
      <c r="O20" s="11"/>
      <c r="P20" s="2">
        <f>--518.97</f>
        <v>518.97</v>
      </c>
      <c r="Q20" s="2"/>
      <c r="R20" s="21"/>
      <c r="S20" s="2"/>
      <c r="T20" s="2"/>
      <c r="U20" s="2"/>
      <c r="V20" s="21"/>
      <c r="W20" s="2"/>
      <c r="X20" s="2">
        <f t="shared" si="2"/>
        <v>518.97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21"/>
      <c r="G21" s="2"/>
      <c r="H21" s="2">
        <v>40295</v>
      </c>
      <c r="I21" s="2"/>
      <c r="J21" s="21"/>
      <c r="K21" s="2"/>
      <c r="L21" s="2">
        <f t="shared" si="0"/>
        <v>-40295</v>
      </c>
      <c r="M21" s="2"/>
      <c r="N21" s="21">
        <f t="shared" si="1"/>
        <v>-1</v>
      </c>
      <c r="O21" s="11"/>
      <c r="P21" s="2">
        <f>0</f>
        <v>0</v>
      </c>
      <c r="Q21" s="2"/>
      <c r="R21" s="21"/>
      <c r="S21" s="2"/>
      <c r="T21" s="2">
        <v>89715</v>
      </c>
      <c r="U21" s="2"/>
      <c r="V21" s="21"/>
      <c r="W21" s="2"/>
      <c r="X21" s="2">
        <f t="shared" si="2"/>
        <v>-89715</v>
      </c>
      <c r="Y21" s="2"/>
      <c r="Z21" s="21">
        <f t="shared" si="3"/>
        <v>-1</v>
      </c>
    </row>
    <row r="22" spans="1:26" s="24" customFormat="1" hidden="1" outlineLevel="1" x14ac:dyDescent="0.25">
      <c r="A22" s="46"/>
      <c r="B22" s="11" t="str">
        <f>CONCATENATE("          ", "4181", " - ", "NON-TAXABLE SALES-ELECTRONICS")</f>
        <v xml:space="preserve">          4181 - NON-TAXABLE SALES-ELECTRONICS</v>
      </c>
      <c r="C22" s="11"/>
      <c r="D22" s="2">
        <f>--87.95</f>
        <v>87.95</v>
      </c>
      <c r="E22" s="2"/>
      <c r="F22" s="21"/>
      <c r="G22" s="2"/>
      <c r="H22" s="2"/>
      <c r="I22" s="2"/>
      <c r="J22" s="21"/>
      <c r="K22" s="2"/>
      <c r="L22" s="2">
        <f t="shared" si="0"/>
        <v>87.95</v>
      </c>
      <c r="M22" s="2"/>
      <c r="N22" s="21">
        <f t="shared" si="1"/>
        <v>0</v>
      </c>
      <c r="O22" s="11"/>
      <c r="P22" s="2">
        <f>--1390.56</f>
        <v>1390.56</v>
      </c>
      <c r="Q22" s="2"/>
      <c r="R22" s="21"/>
      <c r="S22" s="2"/>
      <c r="T22" s="2"/>
      <c r="U22" s="2"/>
      <c r="V22" s="21"/>
      <c r="W22" s="2"/>
      <c r="X22" s="2">
        <f t="shared" si="2"/>
        <v>1390.56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"4182", " - ", "NON-TAXABLE SALES-COMPUTER HAR")</f>
        <v xml:space="preserve">          4182 - NON-TAXABLE SALES-COMPUTER HAR</v>
      </c>
      <c r="C23" s="11"/>
      <c r="D23" s="2">
        <f>--19953</f>
        <v>19953</v>
      </c>
      <c r="E23" s="2"/>
      <c r="F23" s="21"/>
      <c r="G23" s="2"/>
      <c r="H23" s="2"/>
      <c r="I23" s="2"/>
      <c r="J23" s="21"/>
      <c r="K23" s="2"/>
      <c r="L23" s="2">
        <f t="shared" si="0"/>
        <v>19953</v>
      </c>
      <c r="M23" s="2"/>
      <c r="N23" s="21">
        <f t="shared" si="1"/>
        <v>0</v>
      </c>
      <c r="O23" s="11"/>
      <c r="P23" s="2">
        <f>--30571</f>
        <v>30571</v>
      </c>
      <c r="Q23" s="2"/>
      <c r="R23" s="21"/>
      <c r="S23" s="2"/>
      <c r="T23" s="2"/>
      <c r="U23" s="2"/>
      <c r="V23" s="21"/>
      <c r="W23" s="2"/>
      <c r="X23" s="2">
        <f t="shared" si="2"/>
        <v>30571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"4183", " - ", "NON-TAXABLE SALES-COMPUTER EQU")</f>
        <v xml:space="preserve">          4183 - NON-TAXABLE SALES-COMPUTER EQU</v>
      </c>
      <c r="C24" s="11"/>
      <c r="D24" s="2">
        <f>--974.39</f>
        <v>974.39</v>
      </c>
      <c r="E24" s="2"/>
      <c r="F24" s="21"/>
      <c r="G24" s="2"/>
      <c r="H24" s="2"/>
      <c r="I24" s="2"/>
      <c r="J24" s="21"/>
      <c r="K24" s="2"/>
      <c r="L24" s="2">
        <f t="shared" si="0"/>
        <v>974.39</v>
      </c>
      <c r="M24" s="2"/>
      <c r="N24" s="21">
        <f t="shared" si="1"/>
        <v>0</v>
      </c>
      <c r="O24" s="11"/>
      <c r="P24" s="2">
        <f>--1156.29</f>
        <v>1156.29</v>
      </c>
      <c r="Q24" s="2"/>
      <c r="R24" s="21"/>
      <c r="S24" s="2"/>
      <c r="T24" s="2"/>
      <c r="U24" s="2"/>
      <c r="V24" s="21"/>
      <c r="W24" s="2"/>
      <c r="X24" s="2">
        <f t="shared" si="2"/>
        <v>1156.29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"4184", " - ", "NON-TAXABLE SALES-SOFTWARE LIC")</f>
        <v xml:space="preserve">          4184 - NON-TAXABLE SALES-SOFTWARE LIC</v>
      </c>
      <c r="C25" s="11"/>
      <c r="D25" s="2">
        <f>--1522</f>
        <v>1522</v>
      </c>
      <c r="E25" s="2"/>
      <c r="F25" s="21"/>
      <c r="G25" s="2"/>
      <c r="H25" s="2"/>
      <c r="I25" s="2"/>
      <c r="J25" s="21"/>
      <c r="K25" s="2"/>
      <c r="L25" s="2">
        <f t="shared" si="0"/>
        <v>1522</v>
      </c>
      <c r="M25" s="2"/>
      <c r="N25" s="21">
        <f t="shared" si="1"/>
        <v>0</v>
      </c>
      <c r="O25" s="11"/>
      <c r="P25" s="2">
        <f>--1522</f>
        <v>1522</v>
      </c>
      <c r="Q25" s="2"/>
      <c r="R25" s="21"/>
      <c r="S25" s="2"/>
      <c r="T25" s="2"/>
      <c r="U25" s="2"/>
      <c r="V25" s="21"/>
      <c r="W25" s="2"/>
      <c r="X25" s="2">
        <f t="shared" si="2"/>
        <v>1522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"4185", " - ", "NON-TAXABLE SALES-SOFTWARE")</f>
        <v xml:space="preserve">          4185 - NON-TAXABLE SALES-SOFTWARE</v>
      </c>
      <c r="C26" s="11"/>
      <c r="D26" s="2">
        <f>--3770</f>
        <v>3770</v>
      </c>
      <c r="E26" s="2"/>
      <c r="F26" s="21"/>
      <c r="G26" s="2"/>
      <c r="H26" s="2"/>
      <c r="I26" s="2"/>
      <c r="J26" s="21"/>
      <c r="K26" s="2"/>
      <c r="L26" s="2">
        <f t="shared" si="0"/>
        <v>3770</v>
      </c>
      <c r="M26" s="2"/>
      <c r="N26" s="21">
        <f t="shared" si="1"/>
        <v>0</v>
      </c>
      <c r="O26" s="11"/>
      <c r="P26" s="2">
        <f>--4522</f>
        <v>4522</v>
      </c>
      <c r="Q26" s="2"/>
      <c r="R26" s="21"/>
      <c r="S26" s="2"/>
      <c r="T26" s="2"/>
      <c r="U26" s="2"/>
      <c r="V26" s="21"/>
      <c r="W26" s="2"/>
      <c r="X26" s="2">
        <f t="shared" si="2"/>
        <v>4522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"4186", " - ", "NON-TAXABLE SALES-COMPUTER SUP")</f>
        <v xml:space="preserve">          4186 - NON-TAXABLE SALES-COMPUTER SUP</v>
      </c>
      <c r="C27" s="11"/>
      <c r="D27" s="2">
        <f>--194.93</f>
        <v>194.93</v>
      </c>
      <c r="E27" s="2"/>
      <c r="F27" s="21"/>
      <c r="G27" s="2"/>
      <c r="H27" s="2"/>
      <c r="I27" s="2"/>
      <c r="J27" s="21"/>
      <c r="K27" s="2"/>
      <c r="L27" s="2">
        <f t="shared" si="0"/>
        <v>194.93</v>
      </c>
      <c r="M27" s="2"/>
      <c r="N27" s="21">
        <f t="shared" si="1"/>
        <v>0</v>
      </c>
      <c r="O27" s="11"/>
      <c r="P27" s="2">
        <f>--274.9</f>
        <v>274.89999999999998</v>
      </c>
      <c r="Q27" s="2"/>
      <c r="R27" s="21"/>
      <c r="S27" s="2"/>
      <c r="T27" s="2"/>
      <c r="U27" s="2"/>
      <c r="V27" s="21"/>
      <c r="W27" s="2"/>
      <c r="X27" s="2">
        <f t="shared" si="2"/>
        <v>274.89999999999998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"4188", " - ", "NON-TAXABLE SALES-MUSIC")</f>
        <v xml:space="preserve">          4188 - NON-TAXABLE SALES-MUSIC</v>
      </c>
      <c r="C28" s="11"/>
      <c r="D28" s="2">
        <f>0</f>
        <v>0</v>
      </c>
      <c r="E28" s="2"/>
      <c r="F28" s="21"/>
      <c r="G28" s="2"/>
      <c r="H28" s="2"/>
      <c r="I28" s="2"/>
      <c r="J28" s="21"/>
      <c r="K28" s="2"/>
      <c r="L28" s="2">
        <f t="shared" si="0"/>
        <v>0</v>
      </c>
      <c r="M28" s="2"/>
      <c r="N28" s="21">
        <f t="shared" si="1"/>
        <v>0</v>
      </c>
      <c r="O28" s="11"/>
      <c r="P28" s="2">
        <f>--99.98</f>
        <v>99.98</v>
      </c>
      <c r="Q28" s="2"/>
      <c r="R28" s="21"/>
      <c r="S28" s="2"/>
      <c r="T28" s="2"/>
      <c r="U28" s="2"/>
      <c r="V28" s="21"/>
      <c r="W28" s="2"/>
      <c r="X28" s="2">
        <f t="shared" si="2"/>
        <v>99.98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"4281", " - ", "SALES RETURN TAXABLE-ELECTRONI")</f>
        <v xml:space="preserve">          4281 - SALES RETURN TAXABLE-ELECTRONI</v>
      </c>
      <c r="C29" s="11"/>
      <c r="D29" s="2">
        <f>-575.76</f>
        <v>-575.76</v>
      </c>
      <c r="E29" s="2"/>
      <c r="F29" s="21"/>
      <c r="G29" s="2"/>
      <c r="H29" s="2"/>
      <c r="I29" s="2"/>
      <c r="J29" s="21"/>
      <c r="K29" s="2"/>
      <c r="L29" s="2">
        <f t="shared" si="0"/>
        <v>-575.76</v>
      </c>
      <c r="M29" s="2"/>
      <c r="N29" s="21">
        <f t="shared" si="1"/>
        <v>0</v>
      </c>
      <c r="O29" s="11"/>
      <c r="P29" s="2">
        <f>-2234.75</f>
        <v>-2234.75</v>
      </c>
      <c r="Q29" s="2"/>
      <c r="R29" s="21"/>
      <c r="S29" s="2"/>
      <c r="T29" s="2"/>
      <c r="U29" s="2"/>
      <c r="V29" s="21"/>
      <c r="W29" s="2"/>
      <c r="X29" s="2">
        <f t="shared" si="2"/>
        <v>-2234.75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"4282", " - ", "SALES RETURN TAXABLE-COMPUTER")</f>
        <v xml:space="preserve">          4282 - SALES RETURN TAXABLE-COMPUTER</v>
      </c>
      <c r="C30" s="11"/>
      <c r="D30" s="2">
        <f>-49848.66</f>
        <v>-49848.66</v>
      </c>
      <c r="E30" s="2"/>
      <c r="F30" s="21"/>
      <c r="G30" s="2"/>
      <c r="H30" s="2"/>
      <c r="I30" s="2"/>
      <c r="J30" s="21"/>
      <c r="K30" s="2"/>
      <c r="L30" s="2">
        <f t="shared" si="0"/>
        <v>-49848.66</v>
      </c>
      <c r="M30" s="2"/>
      <c r="N30" s="21">
        <f t="shared" si="1"/>
        <v>0</v>
      </c>
      <c r="O30" s="11"/>
      <c r="P30" s="2">
        <f>-120189.72</f>
        <v>-120189.72</v>
      </c>
      <c r="Q30" s="2"/>
      <c r="R30" s="21"/>
      <c r="S30" s="2"/>
      <c r="T30" s="2"/>
      <c r="U30" s="2"/>
      <c r="V30" s="21"/>
      <c r="W30" s="2"/>
      <c r="X30" s="2">
        <f t="shared" si="2"/>
        <v>-120189.72</v>
      </c>
      <c r="Y30" s="2"/>
      <c r="Z30" s="21">
        <f t="shared" si="3"/>
        <v>0</v>
      </c>
    </row>
    <row r="31" spans="1:26" s="24" customFormat="1" hidden="1" outlineLevel="1" x14ac:dyDescent="0.25">
      <c r="A31" s="46"/>
      <c r="B31" s="11" t="str">
        <f>CONCATENATE("          ", "4283", " - ", "SALES RETURN TAXABLE-COMPUTER")</f>
        <v xml:space="preserve">          4283 - SALES RETURN TAXABLE-COMPUTER</v>
      </c>
      <c r="C31" s="11"/>
      <c r="D31" s="2">
        <f>-503.89</f>
        <v>-503.89</v>
      </c>
      <c r="E31" s="2"/>
      <c r="F31" s="21"/>
      <c r="G31" s="2"/>
      <c r="H31" s="2"/>
      <c r="I31" s="2"/>
      <c r="J31" s="21"/>
      <c r="K31" s="2"/>
      <c r="L31" s="2">
        <f t="shared" si="0"/>
        <v>-503.89</v>
      </c>
      <c r="M31" s="2"/>
      <c r="N31" s="21">
        <f t="shared" si="1"/>
        <v>0</v>
      </c>
      <c r="O31" s="11"/>
      <c r="P31" s="2">
        <f>-730.69</f>
        <v>-730.69</v>
      </c>
      <c r="Q31" s="2"/>
      <c r="R31" s="21"/>
      <c r="S31" s="2"/>
      <c r="T31" s="2"/>
      <c r="U31" s="2"/>
      <c r="V31" s="21"/>
      <c r="W31" s="2"/>
      <c r="X31" s="2">
        <f t="shared" si="2"/>
        <v>-730.69</v>
      </c>
      <c r="Y31" s="2"/>
      <c r="Z31" s="21">
        <f t="shared" si="3"/>
        <v>0</v>
      </c>
    </row>
    <row r="32" spans="1:26" s="24" customFormat="1" hidden="1" outlineLevel="1" x14ac:dyDescent="0.25">
      <c r="A32" s="46"/>
      <c r="B32" s="11" t="str">
        <f>CONCATENATE("          ", "4284", " - ", "SALES RETURN TAXABLE-SOFTWARE")</f>
        <v xml:space="preserve">          4284 - SALES RETURN TAXABLE-SOFTWARE</v>
      </c>
      <c r="C32" s="11"/>
      <c r="D32" s="2">
        <f>-129</f>
        <v>-129</v>
      </c>
      <c r="E32" s="2"/>
      <c r="F32" s="21"/>
      <c r="G32" s="2"/>
      <c r="H32" s="2"/>
      <c r="I32" s="2"/>
      <c r="J32" s="21"/>
      <c r="K32" s="2"/>
      <c r="L32" s="2">
        <f t="shared" si="0"/>
        <v>-129</v>
      </c>
      <c r="M32" s="2"/>
      <c r="N32" s="21">
        <f t="shared" si="1"/>
        <v>0</v>
      </c>
      <c r="O32" s="11"/>
      <c r="P32" s="2">
        <f>-129</f>
        <v>-129</v>
      </c>
      <c r="Q32" s="2"/>
      <c r="R32" s="21"/>
      <c r="S32" s="2"/>
      <c r="T32" s="2"/>
      <c r="U32" s="2"/>
      <c r="V32" s="21"/>
      <c r="W32" s="2"/>
      <c r="X32" s="2">
        <f t="shared" si="2"/>
        <v>-129</v>
      </c>
      <c r="Y32" s="2"/>
      <c r="Z32" s="21">
        <f t="shared" si="3"/>
        <v>0</v>
      </c>
    </row>
    <row r="33" spans="1:26" s="24" customFormat="1" hidden="1" outlineLevel="1" x14ac:dyDescent="0.25">
      <c r="A33" s="46"/>
      <c r="B33" s="11" t="str">
        <f>CONCATENATE("          ", "4285", " - ", "SALES RETURN TAXABLE-SOFTWARE")</f>
        <v xml:space="preserve">          4285 - SALES RETURN TAXABLE-SOFTWARE</v>
      </c>
      <c r="C33" s="11"/>
      <c r="D33" s="2">
        <f>0</f>
        <v>0</v>
      </c>
      <c r="E33" s="2"/>
      <c r="F33" s="21"/>
      <c r="G33" s="2"/>
      <c r="H33" s="2"/>
      <c r="I33" s="2"/>
      <c r="J33" s="21"/>
      <c r="K33" s="2"/>
      <c r="L33" s="2">
        <f t="shared" si="0"/>
        <v>0</v>
      </c>
      <c r="M33" s="2"/>
      <c r="N33" s="21">
        <f t="shared" si="1"/>
        <v>0</v>
      </c>
      <c r="O33" s="11"/>
      <c r="P33" s="2">
        <f>-406.99</f>
        <v>-406.99</v>
      </c>
      <c r="Q33" s="2"/>
      <c r="R33" s="21"/>
      <c r="S33" s="2"/>
      <c r="T33" s="2"/>
      <c r="U33" s="2"/>
      <c r="V33" s="21"/>
      <c r="W33" s="2"/>
      <c r="X33" s="2">
        <f t="shared" si="2"/>
        <v>-406.99</v>
      </c>
      <c r="Y33" s="2"/>
      <c r="Z33" s="21">
        <f t="shared" si="3"/>
        <v>0</v>
      </c>
    </row>
    <row r="34" spans="1:26" s="24" customFormat="1" hidden="1" outlineLevel="1" x14ac:dyDescent="0.25">
      <c r="A34" s="46"/>
      <c r="B34" s="11" t="str">
        <f>CONCATENATE("          ", "4286", " - ", "SALES RETURN TAXABLE-COMPUTER")</f>
        <v xml:space="preserve">          4286 - SALES RETURN TAXABLE-COMPUTER</v>
      </c>
      <c r="C34" s="11"/>
      <c r="D34" s="2">
        <f>-635.2</f>
        <v>-635.20000000000005</v>
      </c>
      <c r="E34" s="2"/>
      <c r="F34" s="21"/>
      <c r="G34" s="2"/>
      <c r="H34" s="2"/>
      <c r="I34" s="2"/>
      <c r="J34" s="21"/>
      <c r="K34" s="2"/>
      <c r="L34" s="2">
        <f t="shared" si="0"/>
        <v>-635.20000000000005</v>
      </c>
      <c r="M34" s="2"/>
      <c r="N34" s="21">
        <f t="shared" si="1"/>
        <v>0</v>
      </c>
      <c r="O34" s="11"/>
      <c r="P34" s="2">
        <f>-1181.15</f>
        <v>-1181.1500000000001</v>
      </c>
      <c r="Q34" s="2"/>
      <c r="R34" s="21"/>
      <c r="S34" s="2"/>
      <c r="T34" s="2"/>
      <c r="U34" s="2"/>
      <c r="V34" s="21"/>
      <c r="W34" s="2"/>
      <c r="X34" s="2">
        <f t="shared" si="2"/>
        <v>-1181.1500000000001</v>
      </c>
      <c r="Y34" s="2"/>
      <c r="Z34" s="21">
        <f t="shared" si="3"/>
        <v>0</v>
      </c>
    </row>
    <row r="35" spans="1:26" s="24" customFormat="1" hidden="1" outlineLevel="1" x14ac:dyDescent="0.25">
      <c r="A35" s="46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>-24.99</f>
        <v>-24.99</v>
      </c>
      <c r="E35" s="2"/>
      <c r="F35" s="21"/>
      <c r="G35" s="2"/>
      <c r="H35" s="2"/>
      <c r="I35" s="2"/>
      <c r="J35" s="21"/>
      <c r="K35" s="2"/>
      <c r="L35" s="2">
        <f t="shared" si="0"/>
        <v>-24.99</v>
      </c>
      <c r="M35" s="2"/>
      <c r="N35" s="21">
        <f t="shared" si="1"/>
        <v>0</v>
      </c>
      <c r="O35" s="11"/>
      <c r="P35" s="2">
        <f>-24.99</f>
        <v>-24.99</v>
      </c>
      <c r="Q35" s="2"/>
      <c r="R35" s="21"/>
      <c r="S35" s="2"/>
      <c r="T35" s="2"/>
      <c r="U35" s="2"/>
      <c r="V35" s="21"/>
      <c r="W35" s="2"/>
      <c r="X35" s="2">
        <f t="shared" si="2"/>
        <v>-24.99</v>
      </c>
      <c r="Y35" s="2"/>
      <c r="Z35" s="21">
        <f t="shared" si="3"/>
        <v>0</v>
      </c>
    </row>
    <row r="36" spans="1:26" s="24" customFormat="1" hidden="1" outlineLevel="1" x14ac:dyDescent="0.25">
      <c r="A36" s="46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>-19.99</f>
        <v>-19.989999999999998</v>
      </c>
      <c r="E36" s="2"/>
      <c r="F36" s="21"/>
      <c r="G36" s="2"/>
      <c r="H36" s="2"/>
      <c r="I36" s="2"/>
      <c r="J36" s="21"/>
      <c r="K36" s="2"/>
      <c r="L36" s="2">
        <f t="shared" si="0"/>
        <v>-19.989999999999998</v>
      </c>
      <c r="M36" s="2"/>
      <c r="N36" s="21">
        <f t="shared" si="1"/>
        <v>0</v>
      </c>
      <c r="O36" s="11"/>
      <c r="P36" s="2">
        <f>-19.99</f>
        <v>-19.989999999999998</v>
      </c>
      <c r="Q36" s="2"/>
      <c r="R36" s="21"/>
      <c r="S36" s="2"/>
      <c r="T36" s="2"/>
      <c r="U36" s="2"/>
      <c r="V36" s="21"/>
      <c r="W36" s="2"/>
      <c r="X36" s="2">
        <f t="shared" si="2"/>
        <v>-19.989999999999998</v>
      </c>
      <c r="Y36" s="2"/>
      <c r="Z36" s="21">
        <f t="shared" si="3"/>
        <v>0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8" t="s">
        <v>8</v>
      </c>
      <c r="C38" s="10"/>
      <c r="D38" s="4">
        <f>SUM(OSRRefD16x_0)</f>
        <v>455074.88</v>
      </c>
      <c r="E38" s="4"/>
      <c r="F38" s="12">
        <f t="shared" ref="F38:F50" si="5">IF(D$12=0,0,D38/D$12)</f>
        <v>0.90740015604714608</v>
      </c>
      <c r="G38" s="4"/>
      <c r="H38" s="4">
        <f>SUM(OSRRefH16x_0)</f>
        <v>262235</v>
      </c>
      <c r="I38" s="4"/>
      <c r="J38" s="12">
        <f t="shared" ref="J38:J50" si="6">IF(H$12=0,0,H38/H$12)</f>
        <v>0.78096103161249009</v>
      </c>
      <c r="K38" s="4"/>
      <c r="L38" s="4">
        <f t="shared" ref="L38:L50" si="7">+D38-H38</f>
        <v>192839.88</v>
      </c>
      <c r="M38" s="4"/>
      <c r="N38" s="12">
        <f t="shared" ref="N38:N50" si="8">IF(H38=0,0,L38/H38)</f>
        <v>0.73537048830247675</v>
      </c>
      <c r="O38" s="10"/>
      <c r="P38" s="4">
        <f>SUM(OSRRefP16x_0)</f>
        <v>797395.07000000007</v>
      </c>
      <c r="Q38" s="4"/>
      <c r="R38" s="12">
        <f t="shared" ref="R38:R50" si="9">IF(P$12=0,0,P38/P$12)</f>
        <v>0.91459862469621722</v>
      </c>
      <c r="S38" s="4"/>
      <c r="T38" s="4">
        <f>SUM(OSRRefT16x_0)</f>
        <v>583862</v>
      </c>
      <c r="U38" s="4"/>
      <c r="V38" s="12">
        <f t="shared" ref="V38:V50" si="10">IF(T$12=0,0,T38/T$12)</f>
        <v>0.78096300517109007</v>
      </c>
      <c r="W38" s="4"/>
      <c r="X38" s="4">
        <f t="shared" ref="X38:X50" si="11">+P38-T38</f>
        <v>213533.07000000007</v>
      </c>
      <c r="Y38" s="4"/>
      <c r="Z38" s="12">
        <f t="shared" ref="Z38:Z50" si="12">IF(T38=0,0,X38/T38)</f>
        <v>0.36572523986832517</v>
      </c>
    </row>
    <row r="39" spans="1:26" s="24" customFormat="1" hidden="1" outlineLevel="1" x14ac:dyDescent="0.25">
      <c r="A39" s="46"/>
      <c r="B39" s="11" t="str">
        <f>CONCATENATE("          ", "5000", " - ", "PURCHASES @ COST")</f>
        <v xml:space="preserve">          5000 - PURCHASES @ COST</v>
      </c>
      <c r="C39" s="11"/>
      <c r="D39" s="2"/>
      <c r="E39" s="2"/>
      <c r="F39" s="21">
        <f t="shared" si="5"/>
        <v>0</v>
      </c>
      <c r="G39" s="2"/>
      <c r="H39" s="2">
        <v>262235</v>
      </c>
      <c r="I39" s="2"/>
      <c r="J39" s="21">
        <f t="shared" si="6"/>
        <v>0.78096103161249009</v>
      </c>
      <c r="K39" s="2"/>
      <c r="L39" s="2">
        <f t="shared" si="7"/>
        <v>-262235</v>
      </c>
      <c r="M39" s="2"/>
      <c r="N39" s="21">
        <f t="shared" si="8"/>
        <v>-1</v>
      </c>
      <c r="O39" s="11"/>
      <c r="P39" s="2"/>
      <c r="Q39" s="2"/>
      <c r="R39" s="21">
        <f t="shared" si="9"/>
        <v>0</v>
      </c>
      <c r="S39" s="2"/>
      <c r="T39" s="2">
        <v>583862</v>
      </c>
      <c r="U39" s="2"/>
      <c r="V39" s="21">
        <f t="shared" si="10"/>
        <v>0.78096300517109007</v>
      </c>
      <c r="W39" s="2"/>
      <c r="X39" s="2">
        <f t="shared" si="11"/>
        <v>-583862</v>
      </c>
      <c r="Y39" s="2"/>
      <c r="Z39" s="21">
        <f t="shared" si="12"/>
        <v>-1</v>
      </c>
    </row>
    <row r="40" spans="1:26" s="24" customFormat="1" hidden="1" outlineLevel="1" x14ac:dyDescent="0.25">
      <c r="A40" s="46"/>
      <c r="B40" s="11" t="str">
        <f>CONCATENATE("          ", "5081", " - ", "PURCHASES @ COST-ELECTRONICS")</f>
        <v xml:space="preserve">          5081 - PURCHASES @ COST-ELECTRONICS</v>
      </c>
      <c r="C40" s="11"/>
      <c r="D40" s="2">
        <v>17400.329999999998</v>
      </c>
      <c r="E40" s="2"/>
      <c r="F40" s="21">
        <f t="shared" si="5"/>
        <v>3.4695525618271515E-2</v>
      </c>
      <c r="G40" s="2"/>
      <c r="H40" s="2"/>
      <c r="I40" s="2"/>
      <c r="J40" s="21">
        <f t="shared" si="6"/>
        <v>0</v>
      </c>
      <c r="K40" s="2"/>
      <c r="L40" s="2">
        <f t="shared" si="7"/>
        <v>17400.329999999998</v>
      </c>
      <c r="M40" s="2"/>
      <c r="N40" s="21">
        <f t="shared" si="8"/>
        <v>0</v>
      </c>
      <c r="O40" s="11"/>
      <c r="P40" s="2">
        <v>83458.680000000008</v>
      </c>
      <c r="Q40" s="2"/>
      <c r="R40" s="21">
        <f t="shared" si="9"/>
        <v>9.5725690838497024E-2</v>
      </c>
      <c r="S40" s="2"/>
      <c r="T40" s="2"/>
      <c r="U40" s="2"/>
      <c r="V40" s="21">
        <f t="shared" si="10"/>
        <v>0</v>
      </c>
      <c r="W40" s="2"/>
      <c r="X40" s="2">
        <f t="shared" si="11"/>
        <v>83458.680000000008</v>
      </c>
      <c r="Y40" s="2"/>
      <c r="Z40" s="21">
        <f t="shared" si="12"/>
        <v>0</v>
      </c>
    </row>
    <row r="41" spans="1:26" s="24" customFormat="1" hidden="1" outlineLevel="1" x14ac:dyDescent="0.25">
      <c r="A41" s="46"/>
      <c r="B41" s="11" t="str">
        <f>CONCATENATE("          ", "5082", " - ", "PURCHASES @ COST-COMPUTER HARD")</f>
        <v xml:space="preserve">          5082 - PURCHASES @ COST-COMPUTER HARD</v>
      </c>
      <c r="C41" s="11"/>
      <c r="D41" s="2">
        <v>317062.93</v>
      </c>
      <c r="E41" s="2"/>
      <c r="F41" s="21">
        <f t="shared" si="5"/>
        <v>0.63221013684333738</v>
      </c>
      <c r="G41" s="2"/>
      <c r="H41" s="2"/>
      <c r="I41" s="2"/>
      <c r="J41" s="21">
        <f t="shared" si="6"/>
        <v>0</v>
      </c>
      <c r="K41" s="2"/>
      <c r="L41" s="2">
        <f t="shared" si="7"/>
        <v>317062.93</v>
      </c>
      <c r="M41" s="2"/>
      <c r="N41" s="21">
        <f t="shared" si="8"/>
        <v>0</v>
      </c>
      <c r="O41" s="11"/>
      <c r="P41" s="2">
        <v>673622.9</v>
      </c>
      <c r="Q41" s="2"/>
      <c r="R41" s="21">
        <f t="shared" si="9"/>
        <v>0.77263404438138483</v>
      </c>
      <c r="S41" s="2"/>
      <c r="T41" s="2"/>
      <c r="U41" s="2"/>
      <c r="V41" s="21">
        <f t="shared" si="10"/>
        <v>0</v>
      </c>
      <c r="W41" s="2"/>
      <c r="X41" s="2">
        <f t="shared" si="11"/>
        <v>673622.9</v>
      </c>
      <c r="Y41" s="2"/>
      <c r="Z41" s="21">
        <f t="shared" si="12"/>
        <v>0</v>
      </c>
    </row>
    <row r="42" spans="1:26" s="24" customFormat="1" hidden="1" outlineLevel="1" x14ac:dyDescent="0.25">
      <c r="A42" s="46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9916.2999999999993</v>
      </c>
      <c r="E42" s="2"/>
      <c r="F42" s="21">
        <f t="shared" si="5"/>
        <v>1.9772684810487263E-2</v>
      </c>
      <c r="G42" s="2"/>
      <c r="H42" s="2"/>
      <c r="I42" s="2"/>
      <c r="J42" s="21">
        <f t="shared" si="6"/>
        <v>0</v>
      </c>
      <c r="K42" s="2"/>
      <c r="L42" s="2">
        <f t="shared" si="7"/>
        <v>9916.2999999999993</v>
      </c>
      <c r="M42" s="2"/>
      <c r="N42" s="21">
        <f t="shared" si="8"/>
        <v>0</v>
      </c>
      <c r="O42" s="11"/>
      <c r="P42" s="2">
        <v>17192.439999999999</v>
      </c>
      <c r="Q42" s="2"/>
      <c r="R42" s="21">
        <f t="shared" si="9"/>
        <v>1.9719437165785624E-2</v>
      </c>
      <c r="S42" s="2"/>
      <c r="T42" s="2"/>
      <c r="U42" s="2"/>
      <c r="V42" s="21">
        <f t="shared" si="10"/>
        <v>0</v>
      </c>
      <c r="W42" s="2"/>
      <c r="X42" s="2">
        <f t="shared" si="11"/>
        <v>17192.439999999999</v>
      </c>
      <c r="Y42" s="2"/>
      <c r="Z42" s="21">
        <f t="shared" si="12"/>
        <v>0</v>
      </c>
    </row>
    <row r="43" spans="1:26" s="24" customFormat="1" hidden="1" outlineLevel="1" x14ac:dyDescent="0.25">
      <c r="A43" s="46"/>
      <c r="B43" s="11" t="str">
        <f>CONCATENATE("          ", "5084", " - ", "PURCHASES @ COST-SOFTWARE LICE")</f>
        <v xml:space="preserve">          5084 - PURCHASES @ COST-SOFTWARE LICE</v>
      </c>
      <c r="C43" s="11"/>
      <c r="D43" s="2">
        <v>1522</v>
      </c>
      <c r="E43" s="2"/>
      <c r="F43" s="21">
        <f t="shared" si="5"/>
        <v>3.0348039371097704E-3</v>
      </c>
      <c r="G43" s="2"/>
      <c r="H43" s="2"/>
      <c r="I43" s="2"/>
      <c r="J43" s="21">
        <f t="shared" si="6"/>
        <v>0</v>
      </c>
      <c r="K43" s="2"/>
      <c r="L43" s="2">
        <f t="shared" si="7"/>
        <v>1522</v>
      </c>
      <c r="M43" s="2"/>
      <c r="N43" s="21">
        <f t="shared" si="8"/>
        <v>0</v>
      </c>
      <c r="O43" s="11"/>
      <c r="P43" s="2">
        <v>1522</v>
      </c>
      <c r="Q43" s="2"/>
      <c r="R43" s="21">
        <f t="shared" si="9"/>
        <v>1.7457081930386685E-3</v>
      </c>
      <c r="S43" s="2"/>
      <c r="T43" s="2"/>
      <c r="U43" s="2"/>
      <c r="V43" s="21">
        <f t="shared" si="10"/>
        <v>0</v>
      </c>
      <c r="W43" s="2"/>
      <c r="X43" s="2">
        <f t="shared" si="11"/>
        <v>1522</v>
      </c>
      <c r="Y43" s="2"/>
      <c r="Z43" s="21">
        <f t="shared" si="12"/>
        <v>0</v>
      </c>
    </row>
    <row r="44" spans="1:26" s="24" customFormat="1" hidden="1" outlineLevel="1" x14ac:dyDescent="0.25">
      <c r="A44" s="46"/>
      <c r="B44" s="11" t="str">
        <f>CONCATENATE("          ", "5085", " - ", "PURCHASES @ COST-SOFTWARE")</f>
        <v xml:space="preserve">          5085 - PURCHASES @ COST-SOFTWARE</v>
      </c>
      <c r="C44" s="11"/>
      <c r="D44" s="2">
        <v>3368</v>
      </c>
      <c r="E44" s="2"/>
      <c r="F44" s="21">
        <f t="shared" si="5"/>
        <v>6.7156502366528953E-3</v>
      </c>
      <c r="G44" s="2"/>
      <c r="H44" s="2"/>
      <c r="I44" s="2"/>
      <c r="J44" s="21">
        <f t="shared" si="6"/>
        <v>0</v>
      </c>
      <c r="K44" s="2"/>
      <c r="L44" s="2">
        <f t="shared" si="7"/>
        <v>3368</v>
      </c>
      <c r="M44" s="2"/>
      <c r="N44" s="21">
        <f t="shared" si="8"/>
        <v>0</v>
      </c>
      <c r="O44" s="11"/>
      <c r="P44" s="2">
        <v>3368</v>
      </c>
      <c r="Q44" s="2"/>
      <c r="R44" s="21">
        <f t="shared" si="9"/>
        <v>3.8630388923483806E-3</v>
      </c>
      <c r="S44" s="2"/>
      <c r="T44" s="2"/>
      <c r="U44" s="2"/>
      <c r="V44" s="21">
        <f t="shared" si="10"/>
        <v>0</v>
      </c>
      <c r="W44" s="2"/>
      <c r="X44" s="2">
        <f t="shared" si="11"/>
        <v>3368</v>
      </c>
      <c r="Y44" s="2"/>
      <c r="Z44" s="21">
        <f t="shared" si="12"/>
        <v>0</v>
      </c>
    </row>
    <row r="45" spans="1:26" s="24" customFormat="1" hidden="1" outlineLevel="1" x14ac:dyDescent="0.25">
      <c r="A45" s="46"/>
      <c r="B45" s="11" t="str">
        <f>CONCATENATE("          ", "5086", " - ", "PURCHASES @ COST-COMPUTER SUPP")</f>
        <v xml:space="preserve">          5086 - PURCHASES @ COST-COMPUTER SUPP</v>
      </c>
      <c r="C45" s="11"/>
      <c r="D45" s="2">
        <v>2779.81</v>
      </c>
      <c r="E45" s="2"/>
      <c r="F45" s="21">
        <f t="shared" si="5"/>
        <v>5.5428241343082199E-3</v>
      </c>
      <c r="G45" s="2"/>
      <c r="H45" s="2"/>
      <c r="I45" s="2"/>
      <c r="J45" s="21">
        <f t="shared" si="6"/>
        <v>0</v>
      </c>
      <c r="K45" s="2"/>
      <c r="L45" s="2">
        <f t="shared" si="7"/>
        <v>2779.81</v>
      </c>
      <c r="M45" s="2"/>
      <c r="N45" s="21">
        <f t="shared" si="8"/>
        <v>0</v>
      </c>
      <c r="O45" s="11"/>
      <c r="P45" s="2">
        <v>6206.88</v>
      </c>
      <c r="Q45" s="2"/>
      <c r="R45" s="21">
        <f t="shared" si="9"/>
        <v>7.1191861164309131E-3</v>
      </c>
      <c r="S45" s="2"/>
      <c r="T45" s="2"/>
      <c r="U45" s="2"/>
      <c r="V45" s="21">
        <f t="shared" si="10"/>
        <v>0</v>
      </c>
      <c r="W45" s="2"/>
      <c r="X45" s="2">
        <f t="shared" si="11"/>
        <v>6206.88</v>
      </c>
      <c r="Y45" s="2"/>
      <c r="Z45" s="21">
        <f t="shared" si="12"/>
        <v>0</v>
      </c>
    </row>
    <row r="46" spans="1:26" s="24" customFormat="1" hidden="1" outlineLevel="1" x14ac:dyDescent="0.25">
      <c r="A46" s="46"/>
      <c r="B46" s="11" t="str">
        <f>CONCATENATE("          ", "5088", " - ", "PURCHASES @ COST-MUSIC")</f>
        <v xml:space="preserve">          5088 - PURCHASES @ COST-MUSIC</v>
      </c>
      <c r="C46" s="11"/>
      <c r="D46" s="2"/>
      <c r="E46" s="2"/>
      <c r="F46" s="21">
        <f t="shared" si="5"/>
        <v>0</v>
      </c>
      <c r="G46" s="2"/>
      <c r="H46" s="2"/>
      <c r="I46" s="2"/>
      <c r="J46" s="21">
        <f t="shared" si="6"/>
        <v>0</v>
      </c>
      <c r="K46" s="2"/>
      <c r="L46" s="2">
        <f t="shared" si="7"/>
        <v>0</v>
      </c>
      <c r="M46" s="2"/>
      <c r="N46" s="21">
        <f t="shared" si="8"/>
        <v>0</v>
      </c>
      <c r="O46" s="11"/>
      <c r="P46" s="2">
        <v>82</v>
      </c>
      <c r="Q46" s="2"/>
      <c r="R46" s="21">
        <f t="shared" si="9"/>
        <v>9.4052609611807364E-5</v>
      </c>
      <c r="S46" s="2"/>
      <c r="T46" s="2"/>
      <c r="U46" s="2"/>
      <c r="V46" s="21">
        <f t="shared" si="10"/>
        <v>0</v>
      </c>
      <c r="W46" s="2"/>
      <c r="X46" s="2">
        <f t="shared" si="11"/>
        <v>82</v>
      </c>
      <c r="Y46" s="2"/>
      <c r="Z46" s="21">
        <f t="shared" si="12"/>
        <v>0</v>
      </c>
    </row>
    <row r="47" spans="1:26" s="24" customFormat="1" hidden="1" outlineLevel="1" x14ac:dyDescent="0.25">
      <c r="A47" s="46"/>
      <c r="B47" s="11" t="str">
        <f>CONCATENATE("          ", "5200", " - ", "PURCHASES OFFSET")</f>
        <v xml:space="preserve">          5200 - PURCHASES OFFSET</v>
      </c>
      <c r="C47" s="11"/>
      <c r="D47" s="2">
        <v>-352082</v>
      </c>
      <c r="E47" s="2"/>
      <c r="F47" s="21">
        <f t="shared" si="5"/>
        <v>-0.70203668842672939</v>
      </c>
      <c r="G47" s="2"/>
      <c r="H47" s="2"/>
      <c r="I47" s="2"/>
      <c r="J47" s="21">
        <f t="shared" si="6"/>
        <v>0</v>
      </c>
      <c r="K47" s="2"/>
      <c r="L47" s="2">
        <f t="shared" si="7"/>
        <v>-352082</v>
      </c>
      <c r="M47" s="2"/>
      <c r="N47" s="21">
        <f t="shared" si="8"/>
        <v>0</v>
      </c>
      <c r="O47" s="11"/>
      <c r="P47" s="2">
        <v>-785522</v>
      </c>
      <c r="Q47" s="2"/>
      <c r="R47" s="21">
        <f t="shared" si="9"/>
        <v>-0.90098041472544077</v>
      </c>
      <c r="S47" s="2"/>
      <c r="T47" s="2"/>
      <c r="U47" s="2"/>
      <c r="V47" s="21">
        <f t="shared" si="10"/>
        <v>0</v>
      </c>
      <c r="W47" s="2"/>
      <c r="X47" s="2">
        <f t="shared" si="11"/>
        <v>-785522</v>
      </c>
      <c r="Y47" s="2"/>
      <c r="Z47" s="21">
        <f t="shared" si="12"/>
        <v>0</v>
      </c>
    </row>
    <row r="48" spans="1:26" s="24" customFormat="1" hidden="1" outlineLevel="1" x14ac:dyDescent="0.25">
      <c r="A48" s="46"/>
      <c r="B48" s="11" t="str">
        <f>CONCATENATE("          ", "5300", " - ", "COG$ OFFSET")</f>
        <v xml:space="preserve">          5300 - COG$ OFFSET</v>
      </c>
      <c r="C48" s="11"/>
      <c r="D48" s="2">
        <v>455074</v>
      </c>
      <c r="E48" s="2"/>
      <c r="F48" s="21">
        <f t="shared" si="5"/>
        <v>0.90739840136418637</v>
      </c>
      <c r="G48" s="2"/>
      <c r="H48" s="2"/>
      <c r="I48" s="2"/>
      <c r="J48" s="21">
        <f t="shared" si="6"/>
        <v>0</v>
      </c>
      <c r="K48" s="2"/>
      <c r="L48" s="2">
        <f t="shared" si="7"/>
        <v>455074</v>
      </c>
      <c r="M48" s="2"/>
      <c r="N48" s="21">
        <f t="shared" si="8"/>
        <v>0</v>
      </c>
      <c r="O48" s="11"/>
      <c r="P48" s="2">
        <v>797394</v>
      </c>
      <c r="Q48" s="2"/>
      <c r="R48" s="21">
        <f t="shared" si="9"/>
        <v>0.91459739742435997</v>
      </c>
      <c r="S48" s="2"/>
      <c r="T48" s="2"/>
      <c r="U48" s="2"/>
      <c r="V48" s="21">
        <f t="shared" si="10"/>
        <v>0</v>
      </c>
      <c r="W48" s="2"/>
      <c r="X48" s="2">
        <f t="shared" si="11"/>
        <v>797394</v>
      </c>
      <c r="Y48" s="2"/>
      <c r="Z48" s="21">
        <f t="shared" si="12"/>
        <v>0</v>
      </c>
    </row>
    <row r="49" spans="1:26" s="24" customFormat="1" hidden="1" outlineLevel="1" x14ac:dyDescent="0.25">
      <c r="A49" s="46"/>
      <c r="B49" s="11" t="str">
        <f>CONCATENATE("          ", "5583", " - ", "FREIGHT-IN-COMPUTER EQUIPMENT")</f>
        <v xml:space="preserve">          5583 - FREIGHT-IN-COMPUTER EQUIPMENT</v>
      </c>
      <c r="C49" s="11"/>
      <c r="D49" s="2">
        <v>26.15</v>
      </c>
      <c r="E49" s="2"/>
      <c r="F49" s="21">
        <f t="shared" si="5"/>
        <v>5.2141999313679692E-5</v>
      </c>
      <c r="G49" s="2"/>
      <c r="H49" s="2"/>
      <c r="I49" s="2"/>
      <c r="J49" s="21">
        <f t="shared" si="6"/>
        <v>0</v>
      </c>
      <c r="K49" s="2"/>
      <c r="L49" s="2">
        <f t="shared" si="7"/>
        <v>26.15</v>
      </c>
      <c r="M49" s="2"/>
      <c r="N49" s="21">
        <f t="shared" si="8"/>
        <v>0</v>
      </c>
      <c r="O49" s="11"/>
      <c r="P49" s="2">
        <v>33.14</v>
      </c>
      <c r="Q49" s="2"/>
      <c r="R49" s="21">
        <f t="shared" si="9"/>
        <v>3.8011018079698734E-5</v>
      </c>
      <c r="S49" s="2"/>
      <c r="T49" s="2"/>
      <c r="U49" s="2"/>
      <c r="V49" s="21">
        <f t="shared" si="10"/>
        <v>0</v>
      </c>
      <c r="W49" s="2"/>
      <c r="X49" s="2">
        <f t="shared" si="11"/>
        <v>33.14</v>
      </c>
      <c r="Y49" s="2"/>
      <c r="Z49" s="21">
        <f t="shared" si="12"/>
        <v>0</v>
      </c>
    </row>
    <row r="50" spans="1:26" s="24" customFormat="1" hidden="1" outlineLevel="1" x14ac:dyDescent="0.25">
      <c r="A50" s="46"/>
      <c r="B50" s="11" t="str">
        <f>CONCATENATE("          ", "5586", " - ", "FREIGHT-IN-COMPUTER SUPPLIES")</f>
        <v xml:space="preserve">          5586 - FREIGHT-IN-COMPUTER SUPPLIES</v>
      </c>
      <c r="C50" s="11"/>
      <c r="D50" s="2">
        <v>7.36</v>
      </c>
      <c r="E50" s="2"/>
      <c r="F50" s="21">
        <f t="shared" si="5"/>
        <v>1.4675530208362623E-5</v>
      </c>
      <c r="G50" s="2"/>
      <c r="H50" s="2"/>
      <c r="I50" s="2"/>
      <c r="J50" s="21">
        <f t="shared" si="6"/>
        <v>0</v>
      </c>
      <c r="K50" s="2"/>
      <c r="L50" s="2">
        <f t="shared" si="7"/>
        <v>7.36</v>
      </c>
      <c r="M50" s="2"/>
      <c r="N50" s="21">
        <f t="shared" si="8"/>
        <v>0</v>
      </c>
      <c r="O50" s="11"/>
      <c r="P50" s="2">
        <v>37.03</v>
      </c>
      <c r="Q50" s="2"/>
      <c r="R50" s="21">
        <f t="shared" si="9"/>
        <v>4.247278212103935E-5</v>
      </c>
      <c r="S50" s="2"/>
      <c r="T50" s="2"/>
      <c r="U50" s="2"/>
      <c r="V50" s="21">
        <f t="shared" si="10"/>
        <v>0</v>
      </c>
      <c r="W50" s="2"/>
      <c r="X50" s="2">
        <f t="shared" si="11"/>
        <v>37.03</v>
      </c>
      <c r="Y50" s="2"/>
      <c r="Z50" s="21">
        <f t="shared" si="12"/>
        <v>0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9" t="s">
        <v>6</v>
      </c>
      <c r="C52" s="29"/>
      <c r="D52" s="22">
        <f>D12-D38</f>
        <v>46440.219999999914</v>
      </c>
      <c r="E52" s="14"/>
      <c r="F52" s="20">
        <f>IF(D$12=0,0,D52/D$12)</f>
        <v>9.2599843952853908E-2</v>
      </c>
      <c r="G52" s="14"/>
      <c r="H52" s="22">
        <f>H12-H38</f>
        <v>73550</v>
      </c>
      <c r="I52" s="14"/>
      <c r="J52" s="20">
        <f>IF(H$12=0,0,H52/H$12)</f>
        <v>0.21903896838750986</v>
      </c>
      <c r="K52" s="15"/>
      <c r="L52" s="22">
        <f>+D52-H52</f>
        <v>-27109.780000000086</v>
      </c>
      <c r="M52" s="15"/>
      <c r="N52" s="20">
        <f>IF(H52=0,0,L52/H52)</f>
        <v>-0.36858980285520171</v>
      </c>
      <c r="O52" s="28"/>
      <c r="P52" s="22">
        <f>P12-P38</f>
        <v>74457.400000000023</v>
      </c>
      <c r="Q52" s="14"/>
      <c r="R52" s="20">
        <f>IF(P$12=0,0,P52/P$12)</f>
        <v>8.5401375303782778E-2</v>
      </c>
      <c r="S52" s="14"/>
      <c r="T52" s="22">
        <f>T12-T38</f>
        <v>163756</v>
      </c>
      <c r="U52" s="14"/>
      <c r="V52" s="20">
        <f>IF(T$12=0,0,T52/T$12)</f>
        <v>0.21903699482890995</v>
      </c>
      <c r="W52" s="15"/>
      <c r="X52" s="22">
        <f>+P52-T52</f>
        <v>-89298.599999999977</v>
      </c>
      <c r="Y52" s="15"/>
      <c r="Z52" s="20">
        <f>IF(T52=0,0,X52/T52)</f>
        <v>-0.54531498082512997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8" t="s">
        <v>9</v>
      </c>
      <c r="C54" s="10"/>
      <c r="D54" s="19">
        <f>SUM(OSRRefD22x_0)</f>
        <v>64865.639999999992</v>
      </c>
      <c r="E54" s="19"/>
      <c r="F54" s="34">
        <f t="shared" ref="F54:F65" si="13">IF(D$12=0,0,D54/D$12)</f>
        <v>0.12933935588380091</v>
      </c>
      <c r="G54" s="19"/>
      <c r="H54" s="19">
        <f>SUM(OSRRefH22x_0)</f>
        <v>16907.076168916923</v>
      </c>
      <c r="I54" s="19"/>
      <c r="J54" s="34">
        <f t="shared" ref="J54:J65" si="14">IF(H$12=0,0,H54/H$12)</f>
        <v>5.035089765450191E-2</v>
      </c>
      <c r="K54" s="4"/>
      <c r="L54" s="19">
        <f t="shared" ref="L54:L65" si="15">+D54-H54</f>
        <v>47958.563831083069</v>
      </c>
      <c r="M54" s="4"/>
      <c r="N54" s="34">
        <f t="shared" ref="N54:N65" si="16">IF(H54=0,0,L54/H54)</f>
        <v>2.8365971355386237</v>
      </c>
      <c r="O54" s="10"/>
      <c r="P54" s="19">
        <f>SUM(OSRRefP22x_0)</f>
        <v>89894.57</v>
      </c>
      <c r="Q54" s="19"/>
      <c r="R54" s="34">
        <f t="shared" ref="R54:R65" si="17">IF(P$12=0,0,P54/P$12)</f>
        <v>0.10310754754184501</v>
      </c>
      <c r="S54" s="19"/>
      <c r="T54" s="19">
        <f>SUM(OSRRefT22x_0)</f>
        <v>33221.053205813078</v>
      </c>
      <c r="U54" s="19"/>
      <c r="V54" s="34">
        <f t="shared" ref="V54:V65" si="18">IF(T$12=0,0,T54/T$12)</f>
        <v>4.4435865917906041E-2</v>
      </c>
      <c r="W54" s="4"/>
      <c r="X54" s="19">
        <f t="shared" ref="X54:X65" si="19">+P54-T54</f>
        <v>56673.516794186929</v>
      </c>
      <c r="Y54" s="4"/>
      <c r="Z54" s="34">
        <f t="shared" ref="Z54:Z65" si="20">IF(T54=0,0,X54/T54)</f>
        <v>1.7059518385247971</v>
      </c>
    </row>
    <row r="55" spans="1:26" s="26" customFormat="1" outlineLevel="1" collapsed="1" x14ac:dyDescent="0.25">
      <c r="A55" s="25"/>
      <c r="B55" s="13" t="str">
        <f>CONCATENATE("     ","*Benefits                                         ")</f>
        <v xml:space="preserve">     *Benefits                                         </v>
      </c>
      <c r="C55" s="13"/>
      <c r="D55" s="1">
        <f>SUM(OSRRefD22_0x_0)</f>
        <v>2410.7799999999997</v>
      </c>
      <c r="E55" s="1"/>
      <c r="F55" s="5">
        <f t="shared" si="13"/>
        <v>4.8069938472440812E-3</v>
      </c>
      <c r="G55" s="1"/>
      <c r="H55" s="1">
        <f>SUM(OSRRefH22_0x_0)</f>
        <v>2872.0947781476916</v>
      </c>
      <c r="I55" s="1"/>
      <c r="J55" s="5">
        <f t="shared" si="14"/>
        <v>8.5533742667114124E-3</v>
      </c>
      <c r="K55" s="1"/>
      <c r="L55" s="1">
        <f t="shared" si="15"/>
        <v>-461.31477814769187</v>
      </c>
      <c r="M55" s="1"/>
      <c r="N55" s="5">
        <f t="shared" si="16"/>
        <v>-0.16061962218573056</v>
      </c>
      <c r="O55" s="13"/>
      <c r="P55" s="1">
        <f>SUM(OSRRefP22_0x_0)</f>
        <v>5129.54</v>
      </c>
      <c r="Q55" s="1"/>
      <c r="R55" s="5">
        <f t="shared" si="17"/>
        <v>5.8834954037579306E-3</v>
      </c>
      <c r="S55" s="1"/>
      <c r="T55" s="1">
        <f>SUM(OSRRefT22_0x_0)</f>
        <v>5810.3200765823067</v>
      </c>
      <c r="U55" s="1"/>
      <c r="V55" s="5">
        <f t="shared" si="18"/>
        <v>7.7717765979180634E-3</v>
      </c>
      <c r="W55" s="1"/>
      <c r="X55" s="1">
        <f t="shared" si="19"/>
        <v>-680.78007658230672</v>
      </c>
      <c r="Y55" s="1"/>
      <c r="Z55" s="5">
        <f t="shared" si="20"/>
        <v>-0.11716739656496668</v>
      </c>
    </row>
    <row r="56" spans="1:26" s="24" customFormat="1" hidden="1" outlineLevel="2" x14ac:dyDescent="0.25">
      <c r="A56" s="27"/>
      <c r="B56" s="11" t="str">
        <f>CONCATENATE("          ", "6111", " - ", "F.I.C.A.")</f>
        <v xml:space="preserve">          6111 - F.I.C.A.</v>
      </c>
      <c r="C56" s="11"/>
      <c r="D56" s="6">
        <v>577.69000000000005</v>
      </c>
      <c r="E56" s="2"/>
      <c r="F56" s="7">
        <f t="shared" si="13"/>
        <v>1.1518895443028538E-3</v>
      </c>
      <c r="G56" s="2"/>
      <c r="H56" s="6">
        <v>808.42397211692298</v>
      </c>
      <c r="I56" s="2"/>
      <c r="J56" s="7">
        <f t="shared" si="14"/>
        <v>2.4075642810635466E-3</v>
      </c>
      <c r="K56" s="2"/>
      <c r="L56" s="6">
        <f t="shared" si="15"/>
        <v>-230.73397211692293</v>
      </c>
      <c r="M56" s="2"/>
      <c r="N56" s="7">
        <f t="shared" si="16"/>
        <v>-0.28541208583007199</v>
      </c>
      <c r="O56" s="11"/>
      <c r="P56" s="6">
        <v>1075.54</v>
      </c>
      <c r="Q56" s="2"/>
      <c r="R56" s="7">
        <f t="shared" si="17"/>
        <v>1.2336261431936987E-3</v>
      </c>
      <c r="S56" s="2"/>
      <c r="T56" s="6">
        <v>1571.6300230130769</v>
      </c>
      <c r="U56" s="2"/>
      <c r="V56" s="7">
        <f t="shared" si="18"/>
        <v>2.102183231293357E-3</v>
      </c>
      <c r="W56" s="2"/>
      <c r="X56" s="6">
        <f t="shared" si="19"/>
        <v>-496.09002301307692</v>
      </c>
      <c r="Y56" s="2"/>
      <c r="Z56" s="7">
        <f t="shared" si="20"/>
        <v>-0.31565318538646242</v>
      </c>
    </row>
    <row r="57" spans="1:26" s="24" customFormat="1" hidden="1" outlineLevel="2" x14ac:dyDescent="0.25">
      <c r="A57" s="27"/>
      <c r="B57" s="11" t="str">
        <f>CONCATENATE("          ", "6112", " - ", "COMPENSATION INSURANCE")</f>
        <v xml:space="preserve">          6112 - COMPENSATION INSURANCE</v>
      </c>
      <c r="C57" s="11"/>
      <c r="D57" s="6">
        <v>133.99</v>
      </c>
      <c r="E57" s="2"/>
      <c r="F57" s="7">
        <f t="shared" si="13"/>
        <v>2.6717042019273207E-4</v>
      </c>
      <c r="G57" s="2"/>
      <c r="H57" s="6">
        <v>200.70633046153799</v>
      </c>
      <c r="I57" s="2"/>
      <c r="J57" s="7">
        <f t="shared" si="14"/>
        <v>5.9772274062730012E-4</v>
      </c>
      <c r="K57" s="2"/>
      <c r="L57" s="6">
        <f t="shared" si="15"/>
        <v>-66.716330461537979</v>
      </c>
      <c r="M57" s="2"/>
      <c r="N57" s="7">
        <f t="shared" si="16"/>
        <v>-0.33240770387321217</v>
      </c>
      <c r="O57" s="11"/>
      <c r="P57" s="6">
        <v>257.64</v>
      </c>
      <c r="Q57" s="2"/>
      <c r="R57" s="7">
        <f t="shared" si="17"/>
        <v>2.9550871146812252E-4</v>
      </c>
      <c r="S57" s="2"/>
      <c r="T57" s="6">
        <v>390.18646853846099</v>
      </c>
      <c r="U57" s="2"/>
      <c r="V57" s="7">
        <f t="shared" si="18"/>
        <v>5.2190619880535373E-4</v>
      </c>
      <c r="W57" s="2"/>
      <c r="X57" s="6">
        <f t="shared" si="19"/>
        <v>-132.546468538461</v>
      </c>
      <c r="Y57" s="2"/>
      <c r="Z57" s="7">
        <f t="shared" si="20"/>
        <v>-0.33970032081057622</v>
      </c>
    </row>
    <row r="58" spans="1:26" s="24" customFormat="1" hidden="1" outlineLevel="2" x14ac:dyDescent="0.25">
      <c r="A58" s="27"/>
      <c r="B58" s="11" t="str">
        <f>CONCATENATE("          ", "6113", " - ", "GROUP INSURANCE")</f>
        <v xml:space="preserve">          6113 - GROUP INSURANCE</v>
      </c>
      <c r="C58" s="11"/>
      <c r="D58" s="6">
        <v>964.88</v>
      </c>
      <c r="E58" s="2"/>
      <c r="F58" s="7">
        <f t="shared" si="13"/>
        <v>1.9239301069897997E-3</v>
      </c>
      <c r="G58" s="2"/>
      <c r="H58" s="6">
        <v>1186.2</v>
      </c>
      <c r="I58" s="2"/>
      <c r="J58" s="7">
        <f t="shared" si="14"/>
        <v>3.5326175975698738E-3</v>
      </c>
      <c r="K58" s="2"/>
      <c r="L58" s="6">
        <f t="shared" si="15"/>
        <v>-221.32000000000005</v>
      </c>
      <c r="M58" s="2"/>
      <c r="N58" s="7">
        <f t="shared" si="16"/>
        <v>-0.1865789917383241</v>
      </c>
      <c r="O58" s="11"/>
      <c r="P58" s="6">
        <v>1929.76</v>
      </c>
      <c r="Q58" s="2"/>
      <c r="R58" s="7">
        <f t="shared" si="17"/>
        <v>2.2134019990790411E-3</v>
      </c>
      <c r="S58" s="2"/>
      <c r="T58" s="6">
        <v>2372.4</v>
      </c>
      <c r="U58" s="2"/>
      <c r="V58" s="7">
        <f t="shared" si="18"/>
        <v>3.1732783319823763E-3</v>
      </c>
      <c r="W58" s="2"/>
      <c r="X58" s="6">
        <f t="shared" si="19"/>
        <v>-442.6400000000001</v>
      </c>
      <c r="Y58" s="2"/>
      <c r="Z58" s="7">
        <f t="shared" si="20"/>
        <v>-0.1865789917383241</v>
      </c>
    </row>
    <row r="59" spans="1:26" s="24" customFormat="1" hidden="1" outlineLevel="2" x14ac:dyDescent="0.25">
      <c r="A59" s="27"/>
      <c r="B59" s="11" t="str">
        <f>CONCATENATE("          ", "6114", " - ", "STATE UNEMPLOYMENT INSURANCE")</f>
        <v xml:space="preserve">          6114 - STATE UNEMPLOYMENT INSURANCE</v>
      </c>
      <c r="C59" s="11"/>
      <c r="D59" s="6">
        <v>18.34</v>
      </c>
      <c r="E59" s="2"/>
      <c r="F59" s="7">
        <f t="shared" si="13"/>
        <v>3.656918804638186E-5</v>
      </c>
      <c r="G59" s="2"/>
      <c r="H59" s="6">
        <v>27.465076799999999</v>
      </c>
      <c r="I59" s="2"/>
      <c r="J59" s="7">
        <f t="shared" si="14"/>
        <v>8.1793638191104422E-5</v>
      </c>
      <c r="K59" s="2"/>
      <c r="L59" s="6">
        <f t="shared" si="15"/>
        <v>-9.1250767999999987</v>
      </c>
      <c r="M59" s="2"/>
      <c r="N59" s="7">
        <f t="shared" si="16"/>
        <v>-0.33224290128327622</v>
      </c>
      <c r="O59" s="11"/>
      <c r="P59" s="6">
        <v>35.26</v>
      </c>
      <c r="Q59" s="2"/>
      <c r="R59" s="7">
        <f t="shared" si="17"/>
        <v>4.0442622133077162E-5</v>
      </c>
      <c r="S59" s="2"/>
      <c r="T59" s="6">
        <v>53.393937800000003</v>
      </c>
      <c r="U59" s="2"/>
      <c r="V59" s="7">
        <f t="shared" si="18"/>
        <v>7.141874299441694E-5</v>
      </c>
      <c r="W59" s="2"/>
      <c r="X59" s="6">
        <f t="shared" si="19"/>
        <v>-18.133937800000005</v>
      </c>
      <c r="Y59" s="2"/>
      <c r="Z59" s="7">
        <f t="shared" si="20"/>
        <v>-0.3396254059388743</v>
      </c>
    </row>
    <row r="60" spans="1:26" s="24" customFormat="1" hidden="1" outlineLevel="2" x14ac:dyDescent="0.25">
      <c r="A60" s="27"/>
      <c r="B60" s="11" t="str">
        <f>CONCATENATE("          ", "6115", " - ", "P.E.R.S.")</f>
        <v xml:space="preserve">          6115 - P.E.R.S.</v>
      </c>
      <c r="C60" s="11"/>
      <c r="D60" s="6">
        <v>183.4</v>
      </c>
      <c r="E60" s="2"/>
      <c r="F60" s="7">
        <f t="shared" si="13"/>
        <v>3.6569188046381863E-4</v>
      </c>
      <c r="G60" s="2"/>
      <c r="H60" s="6">
        <v>294.022912615385</v>
      </c>
      <c r="I60" s="2"/>
      <c r="J60" s="7">
        <f t="shared" si="14"/>
        <v>8.7562849029999845E-4</v>
      </c>
      <c r="K60" s="2"/>
      <c r="L60" s="6">
        <f t="shared" si="15"/>
        <v>-110.62291261538499</v>
      </c>
      <c r="M60" s="2"/>
      <c r="N60" s="7">
        <f t="shared" si="16"/>
        <v>-0.37623908841448755</v>
      </c>
      <c r="O60" s="11"/>
      <c r="P60" s="6">
        <v>366.8</v>
      </c>
      <c r="Q60" s="2"/>
      <c r="R60" s="7">
        <f t="shared" si="17"/>
        <v>4.2071338055623103E-4</v>
      </c>
      <c r="S60" s="2"/>
      <c r="T60" s="6">
        <v>661.551553384616</v>
      </c>
      <c r="U60" s="2"/>
      <c r="V60" s="7">
        <f t="shared" si="18"/>
        <v>8.84879113911939E-4</v>
      </c>
      <c r="W60" s="2"/>
      <c r="X60" s="6">
        <f t="shared" si="19"/>
        <v>-294.75155338461599</v>
      </c>
      <c r="Y60" s="2"/>
      <c r="Z60" s="7">
        <f t="shared" si="20"/>
        <v>-0.44554585636843319</v>
      </c>
    </row>
    <row r="61" spans="1:26" s="24" customFormat="1" hidden="1" outlineLevel="2" x14ac:dyDescent="0.25">
      <c r="A61" s="27"/>
      <c r="B61" s="11" t="str">
        <f>CONCATENATE("          ", "6116", " - ", "EDUCATIONAL BENEFITS")</f>
        <v xml:space="preserve">          6116 - EDUCATIONAL BENEFITS</v>
      </c>
      <c r="C61" s="11"/>
      <c r="D61" s="6"/>
      <c r="E61" s="2"/>
      <c r="F61" s="7">
        <f t="shared" si="13"/>
        <v>0</v>
      </c>
      <c r="G61" s="2"/>
      <c r="H61" s="6">
        <v>0</v>
      </c>
      <c r="I61" s="2"/>
      <c r="J61" s="7">
        <f t="shared" si="14"/>
        <v>0</v>
      </c>
      <c r="K61" s="2"/>
      <c r="L61" s="6">
        <f t="shared" si="15"/>
        <v>0</v>
      </c>
      <c r="M61" s="2"/>
      <c r="N61" s="7">
        <f t="shared" si="16"/>
        <v>0</v>
      </c>
      <c r="O61" s="11"/>
      <c r="P61" s="6"/>
      <c r="Q61" s="2"/>
      <c r="R61" s="7">
        <f t="shared" si="17"/>
        <v>0</v>
      </c>
      <c r="S61" s="2"/>
      <c r="T61" s="6">
        <v>0</v>
      </c>
      <c r="U61" s="2"/>
      <c r="V61" s="7">
        <f t="shared" si="18"/>
        <v>0</v>
      </c>
      <c r="W61" s="2"/>
      <c r="X61" s="6">
        <f t="shared" si="19"/>
        <v>0</v>
      </c>
      <c r="Y61" s="2"/>
      <c r="Z61" s="7">
        <f t="shared" si="20"/>
        <v>0</v>
      </c>
    </row>
    <row r="62" spans="1:26" s="24" customFormat="1" hidden="1" outlineLevel="2" x14ac:dyDescent="0.25">
      <c r="A62" s="27"/>
      <c r="B62" s="11" t="str">
        <f>CONCATENATE("          ", "6117", " - ", "RETIREMENT STAFF HOURLY")</f>
        <v xml:space="preserve">          6117 - RETIREMENT STAFF HOURLY</v>
      </c>
      <c r="C62" s="11"/>
      <c r="D62" s="6">
        <v>110.86</v>
      </c>
      <c r="E62" s="2"/>
      <c r="F62" s="7">
        <f t="shared" si="13"/>
        <v>2.2105017376346199E-4</v>
      </c>
      <c r="G62" s="2"/>
      <c r="H62" s="6"/>
      <c r="I62" s="2"/>
      <c r="J62" s="7">
        <f t="shared" si="14"/>
        <v>0</v>
      </c>
      <c r="K62" s="2"/>
      <c r="L62" s="6">
        <f t="shared" si="15"/>
        <v>110.86</v>
      </c>
      <c r="M62" s="2"/>
      <c r="N62" s="7">
        <f t="shared" si="16"/>
        <v>0</v>
      </c>
      <c r="O62" s="11"/>
      <c r="P62" s="6">
        <v>250.98</v>
      </c>
      <c r="Q62" s="2"/>
      <c r="R62" s="7">
        <f t="shared" si="17"/>
        <v>2.8786980439477329E-4</v>
      </c>
      <c r="S62" s="2"/>
      <c r="T62" s="6"/>
      <c r="U62" s="2"/>
      <c r="V62" s="7">
        <f t="shared" si="18"/>
        <v>0</v>
      </c>
      <c r="W62" s="2"/>
      <c r="X62" s="6">
        <f t="shared" si="19"/>
        <v>250.98</v>
      </c>
      <c r="Y62" s="2"/>
      <c r="Z62" s="7">
        <f t="shared" si="20"/>
        <v>0</v>
      </c>
    </row>
    <row r="63" spans="1:26" s="24" customFormat="1" hidden="1" outlineLevel="2" x14ac:dyDescent="0.25">
      <c r="A63" s="27"/>
      <c r="B63" s="11" t="str">
        <f>CONCATENATE("          ", "6118", " - ", "VACATION")</f>
        <v xml:space="preserve">          6118 - VACATION</v>
      </c>
      <c r="C63" s="11"/>
      <c r="D63" s="6">
        <v>151.31</v>
      </c>
      <c r="E63" s="2"/>
      <c r="F63" s="7">
        <f t="shared" si="13"/>
        <v>3.0170577117219407E-4</v>
      </c>
      <c r="G63" s="2"/>
      <c r="H63" s="6">
        <v>170.943553846154</v>
      </c>
      <c r="I63" s="2"/>
      <c r="J63" s="7">
        <f t="shared" si="14"/>
        <v>5.0908633156976639E-4</v>
      </c>
      <c r="K63" s="2"/>
      <c r="L63" s="6">
        <f t="shared" si="15"/>
        <v>-19.633553846154001</v>
      </c>
      <c r="M63" s="2"/>
      <c r="N63" s="7">
        <f t="shared" si="16"/>
        <v>-0.11485401703900359</v>
      </c>
      <c r="O63" s="11"/>
      <c r="P63" s="6">
        <v>464.63</v>
      </c>
      <c r="Q63" s="2"/>
      <c r="R63" s="7">
        <f t="shared" si="17"/>
        <v>5.3292273175529331E-4</v>
      </c>
      <c r="S63" s="2"/>
      <c r="T63" s="6">
        <v>384.62299615384603</v>
      </c>
      <c r="U63" s="2"/>
      <c r="V63" s="7">
        <f t="shared" si="18"/>
        <v>5.1446460111159178E-4</v>
      </c>
      <c r="W63" s="2"/>
      <c r="X63" s="6">
        <f t="shared" si="19"/>
        <v>80.007003846153964</v>
      </c>
      <c r="Y63" s="2"/>
      <c r="Z63" s="7">
        <f t="shared" si="20"/>
        <v>0.20801409340109198</v>
      </c>
    </row>
    <row r="64" spans="1:26" s="24" customFormat="1" hidden="1" outlineLevel="2" x14ac:dyDescent="0.25">
      <c r="A64" s="27"/>
      <c r="B64" s="11" t="str">
        <f>CONCATENATE("          ", "6119", " - ", "SICK LEAVE")</f>
        <v xml:space="preserve">          6119 - SICK LEAVE</v>
      </c>
      <c r="C64" s="11"/>
      <c r="D64" s="6">
        <v>121.11</v>
      </c>
      <c r="E64" s="2"/>
      <c r="F64" s="7">
        <f t="shared" si="13"/>
        <v>2.4148824232809744E-4</v>
      </c>
      <c r="G64" s="2"/>
      <c r="H64" s="6">
        <v>184.332932307692</v>
      </c>
      <c r="I64" s="2"/>
      <c r="J64" s="7">
        <f t="shared" si="14"/>
        <v>5.4896118738982386E-4</v>
      </c>
      <c r="K64" s="2"/>
      <c r="L64" s="6">
        <f t="shared" si="15"/>
        <v>-63.222932307692005</v>
      </c>
      <c r="M64" s="2"/>
      <c r="N64" s="7">
        <f t="shared" si="16"/>
        <v>-0.34298229576340217</v>
      </c>
      <c r="O64" s="11"/>
      <c r="P64" s="6">
        <v>449.73</v>
      </c>
      <c r="Q64" s="2"/>
      <c r="R64" s="7">
        <f t="shared" si="17"/>
        <v>5.1583268439900159E-4</v>
      </c>
      <c r="S64" s="2"/>
      <c r="T64" s="6">
        <v>376.53509769230698</v>
      </c>
      <c r="U64" s="2"/>
      <c r="V64" s="7">
        <f t="shared" si="18"/>
        <v>5.0364637781902916E-4</v>
      </c>
      <c r="W64" s="2"/>
      <c r="X64" s="6">
        <f t="shared" si="19"/>
        <v>73.194902307693042</v>
      </c>
      <c r="Y64" s="2"/>
      <c r="Z64" s="7">
        <f t="shared" si="20"/>
        <v>0.19439064978613413</v>
      </c>
    </row>
    <row r="65" spans="1:26" s="24" customFormat="1" hidden="1" outlineLevel="2" x14ac:dyDescent="0.25">
      <c r="A65" s="27"/>
      <c r="B65" s="11" t="str">
        <f>CONCATENATE("          ", "6156", " - ", "EMPLOYEE MEALS")</f>
        <v xml:space="preserve">          6156 - EMPLOYEE MEALS</v>
      </c>
      <c r="C65" s="11"/>
      <c r="D65" s="6">
        <v>149.19999999999999</v>
      </c>
      <c r="E65" s="2"/>
      <c r="F65" s="7">
        <f t="shared" si="13"/>
        <v>2.9749851998474227E-4</v>
      </c>
      <c r="G65" s="2"/>
      <c r="H65" s="6"/>
      <c r="I65" s="2"/>
      <c r="J65" s="7">
        <f t="shared" si="14"/>
        <v>0</v>
      </c>
      <c r="K65" s="2"/>
      <c r="L65" s="6">
        <f t="shared" si="15"/>
        <v>149.19999999999999</v>
      </c>
      <c r="M65" s="2"/>
      <c r="N65" s="7">
        <f t="shared" si="16"/>
        <v>0</v>
      </c>
      <c r="O65" s="11"/>
      <c r="P65" s="6">
        <v>299.2</v>
      </c>
      <c r="Q65" s="2"/>
      <c r="R65" s="7">
        <f t="shared" si="17"/>
        <v>3.4317732677869222E-4</v>
      </c>
      <c r="S65" s="2"/>
      <c r="T65" s="6"/>
      <c r="U65" s="2"/>
      <c r="V65" s="7">
        <f t="shared" si="18"/>
        <v>0</v>
      </c>
      <c r="W65" s="2"/>
      <c r="X65" s="6">
        <f t="shared" si="19"/>
        <v>299.2</v>
      </c>
      <c r="Y65" s="2"/>
      <c r="Z65" s="7">
        <f t="shared" si="20"/>
        <v>0</v>
      </c>
    </row>
    <row r="66" spans="1:26" s="26" customFormat="1" outlineLevel="1" collapsed="1" x14ac:dyDescent="0.25">
      <c r="A66" s="25"/>
      <c r="B66" s="13" t="str">
        <f>CONCATENATE("     ","*Payroll                                          ")</f>
        <v xml:space="preserve">     *Payroll                                          </v>
      </c>
      <c r="C66" s="13"/>
      <c r="D66" s="1">
        <f>SUM(OSRRefD22_1x_0)</f>
        <v>9374.5400000000009</v>
      </c>
      <c r="E66" s="1"/>
      <c r="F66" s="5">
        <f t="shared" ref="F66:F76" si="21">IF(D$12=0,0,D66/D$12)</f>
        <v>1.8692438173845617E-2</v>
      </c>
      <c r="G66" s="1"/>
      <c r="H66" s="1">
        <f>SUM(OSRRefH22_1x_0)</f>
        <v>10289.98139076923</v>
      </c>
      <c r="I66" s="1"/>
      <c r="J66" s="5">
        <f t="shared" ref="J66:J76" si="22">IF(H$12=0,0,H66/H$12)</f>
        <v>3.0644553481451613E-2</v>
      </c>
      <c r="K66" s="1"/>
      <c r="L66" s="1">
        <f t="shared" ref="L66:L76" si="23">+D66-H66</f>
        <v>-915.44139076922875</v>
      </c>
      <c r="M66" s="1"/>
      <c r="N66" s="5">
        <f t="shared" ref="N66:N76" si="24">IF(H66=0,0,L66/H66)</f>
        <v>-8.8964338807302229E-2</v>
      </c>
      <c r="O66" s="13"/>
      <c r="P66" s="1">
        <f>SUM(OSRRefP22_1x_0)</f>
        <v>17288.080000000002</v>
      </c>
      <c r="Q66" s="1"/>
      <c r="R66" s="5">
        <f t="shared" ref="R66:R76" si="25">IF(P$12=0,0,P66/P$12)</f>
        <v>1.9829134624118231E-2</v>
      </c>
      <c r="S66" s="1"/>
      <c r="T66" s="1">
        <f>SUM(OSRRefT22_1x_0)</f>
        <v>19920.733129230772</v>
      </c>
      <c r="U66" s="1"/>
      <c r="V66" s="5">
        <f t="shared" ref="V66:V76" si="26">IF(T$12=0,0,T66/T$12)</f>
        <v>2.664560394376643E-2</v>
      </c>
      <c r="W66" s="1"/>
      <c r="X66" s="1">
        <f t="shared" ref="X66:X76" si="27">+P66-T66</f>
        <v>-2632.65312923077</v>
      </c>
      <c r="Y66" s="1"/>
      <c r="Z66" s="5">
        <f t="shared" ref="Z66:Z76" si="28">IF(T66=0,0,X66/T66)</f>
        <v>-0.1321564378254601</v>
      </c>
    </row>
    <row r="67" spans="1:26" s="24" customFormat="1" hidden="1" outlineLevel="2" x14ac:dyDescent="0.25">
      <c r="A67" s="27"/>
      <c r="B67" s="11" t="str">
        <f>CONCATENATE("          ", "6001", " - ", "ADMINISTRATIVE SALARIES")</f>
        <v xml:space="preserve">          6001 - ADMINISTRATIVE SALARIES</v>
      </c>
      <c r="C67" s="11"/>
      <c r="D67" s="6"/>
      <c r="E67" s="2"/>
      <c r="F67" s="7">
        <f t="shared" si="21"/>
        <v>0</v>
      </c>
      <c r="G67" s="2"/>
      <c r="H67" s="6">
        <v>3145.3613907692297</v>
      </c>
      <c r="I67" s="2"/>
      <c r="J67" s="7">
        <f t="shared" si="22"/>
        <v>9.3671885008836889E-3</v>
      </c>
      <c r="K67" s="2"/>
      <c r="L67" s="6">
        <f t="shared" si="23"/>
        <v>-3145.3613907692297</v>
      </c>
      <c r="M67" s="2"/>
      <c r="N67" s="7">
        <f t="shared" si="24"/>
        <v>-1</v>
      </c>
      <c r="O67" s="11"/>
      <c r="P67" s="6"/>
      <c r="Q67" s="2"/>
      <c r="R67" s="7">
        <f t="shared" si="25"/>
        <v>0</v>
      </c>
      <c r="S67" s="2"/>
      <c r="T67" s="6">
        <v>7077.0631292307698</v>
      </c>
      <c r="U67" s="2"/>
      <c r="V67" s="7">
        <f t="shared" si="26"/>
        <v>9.4661486604532934E-3</v>
      </c>
      <c r="W67" s="2"/>
      <c r="X67" s="6">
        <f t="shared" si="27"/>
        <v>-7077.0631292307698</v>
      </c>
      <c r="Y67" s="2"/>
      <c r="Z67" s="7">
        <f t="shared" si="28"/>
        <v>-1</v>
      </c>
    </row>
    <row r="68" spans="1:26" s="24" customFormat="1" hidden="1" outlineLevel="2" x14ac:dyDescent="0.25">
      <c r="A68" s="27"/>
      <c r="B68" s="11" t="str">
        <f>CONCATENATE("          ", "6002", " - ", "STAFF SALARIES")</f>
        <v xml:space="preserve">          6002 - STAFF SALARIES</v>
      </c>
      <c r="C68" s="11"/>
      <c r="D68" s="6">
        <v>2624.68</v>
      </c>
      <c r="E68" s="2"/>
      <c r="F68" s="7">
        <f t="shared" si="21"/>
        <v>5.2335014439246199E-3</v>
      </c>
      <c r="G68" s="2"/>
      <c r="H68" s="6">
        <v>0</v>
      </c>
      <c r="I68" s="2"/>
      <c r="J68" s="7">
        <f t="shared" si="22"/>
        <v>0</v>
      </c>
      <c r="K68" s="2"/>
      <c r="L68" s="6">
        <f t="shared" si="23"/>
        <v>2624.68</v>
      </c>
      <c r="M68" s="2"/>
      <c r="N68" s="7">
        <f t="shared" si="24"/>
        <v>0</v>
      </c>
      <c r="O68" s="11"/>
      <c r="P68" s="6">
        <v>5776.08</v>
      </c>
      <c r="Q68" s="2"/>
      <c r="R68" s="7">
        <f t="shared" si="25"/>
        <v>6.6250658210557107E-3</v>
      </c>
      <c r="S68" s="2"/>
      <c r="T68" s="6">
        <v>0</v>
      </c>
      <c r="U68" s="2"/>
      <c r="V68" s="7">
        <f t="shared" si="26"/>
        <v>0</v>
      </c>
      <c r="W68" s="2"/>
      <c r="X68" s="6">
        <f t="shared" si="27"/>
        <v>5776.08</v>
      </c>
      <c r="Y68" s="2"/>
      <c r="Z68" s="7">
        <f t="shared" si="28"/>
        <v>0</v>
      </c>
    </row>
    <row r="69" spans="1:26" s="24" customFormat="1" hidden="1" outlineLevel="2" x14ac:dyDescent="0.25">
      <c r="A69" s="27"/>
      <c r="B69" s="11" t="str">
        <f>CONCATENATE("          ", "6003", " - ", "STAFF HOURLY-9 MONTH")</f>
        <v xml:space="preserve">          6003 - STAFF HOURLY-9 MONTH</v>
      </c>
      <c r="C69" s="11"/>
      <c r="D69" s="6"/>
      <c r="E69" s="2"/>
      <c r="F69" s="7">
        <f t="shared" si="21"/>
        <v>0</v>
      </c>
      <c r="G69" s="2"/>
      <c r="H69" s="6">
        <v>0</v>
      </c>
      <c r="I69" s="2"/>
      <c r="J69" s="7">
        <f t="shared" si="22"/>
        <v>0</v>
      </c>
      <c r="K69" s="2"/>
      <c r="L69" s="6">
        <f t="shared" si="23"/>
        <v>0</v>
      </c>
      <c r="M69" s="2"/>
      <c r="N69" s="7">
        <f t="shared" si="24"/>
        <v>0</v>
      </c>
      <c r="O69" s="11"/>
      <c r="P69" s="6"/>
      <c r="Q69" s="2"/>
      <c r="R69" s="7">
        <f t="shared" si="25"/>
        <v>0</v>
      </c>
      <c r="S69" s="2"/>
      <c r="T69" s="6">
        <v>0</v>
      </c>
      <c r="U69" s="2"/>
      <c r="V69" s="7">
        <f t="shared" si="26"/>
        <v>0</v>
      </c>
      <c r="W69" s="2"/>
      <c r="X69" s="6">
        <f t="shared" si="27"/>
        <v>0</v>
      </c>
      <c r="Y69" s="2"/>
      <c r="Z69" s="7">
        <f t="shared" si="28"/>
        <v>0</v>
      </c>
    </row>
    <row r="70" spans="1:26" s="24" customFormat="1" hidden="1" outlineLevel="2" x14ac:dyDescent="0.25">
      <c r="A70" s="27"/>
      <c r="B70" s="11" t="str">
        <f>CONCATENATE("          ", "6004", " - ", "STAFF HOURLY")</f>
        <v xml:space="preserve">          6004 - STAFF HOURLY</v>
      </c>
      <c r="C70" s="11"/>
      <c r="D70" s="6"/>
      <c r="E70" s="2"/>
      <c r="F70" s="7">
        <f t="shared" si="21"/>
        <v>0</v>
      </c>
      <c r="G70" s="2"/>
      <c r="H70" s="6">
        <v>2064.12</v>
      </c>
      <c r="I70" s="2"/>
      <c r="J70" s="7">
        <f t="shared" si="22"/>
        <v>6.1471477284571968E-3</v>
      </c>
      <c r="K70" s="2"/>
      <c r="L70" s="6">
        <f t="shared" si="23"/>
        <v>-2064.12</v>
      </c>
      <c r="M70" s="2"/>
      <c r="N70" s="7">
        <f t="shared" si="24"/>
        <v>-1</v>
      </c>
      <c r="O70" s="11"/>
      <c r="P70" s="6"/>
      <c r="Q70" s="2"/>
      <c r="R70" s="7">
        <f t="shared" si="25"/>
        <v>0</v>
      </c>
      <c r="S70" s="2"/>
      <c r="T70" s="6">
        <v>3464.92</v>
      </c>
      <c r="U70" s="2"/>
      <c r="V70" s="7">
        <f t="shared" si="26"/>
        <v>4.6346128637887261E-3</v>
      </c>
      <c r="W70" s="2"/>
      <c r="X70" s="6">
        <f t="shared" si="27"/>
        <v>-3464.92</v>
      </c>
      <c r="Y70" s="2"/>
      <c r="Z70" s="7">
        <f t="shared" si="28"/>
        <v>-1</v>
      </c>
    </row>
    <row r="71" spans="1:26" s="24" customFormat="1" hidden="1" outlineLevel="2" x14ac:dyDescent="0.25">
      <c r="A71" s="27"/>
      <c r="B71" s="11" t="str">
        <f>CONCATENATE("          ", "6005", " - ", "TEMPORARY WAGES-HOURLY")</f>
        <v xml:space="preserve">          6005 - TEMPORARY WAGES-HOURLY</v>
      </c>
      <c r="C71" s="11"/>
      <c r="D71" s="6">
        <v>2707.17</v>
      </c>
      <c r="E71" s="2"/>
      <c r="F71" s="7">
        <f t="shared" si="21"/>
        <v>5.3979830318169894E-3</v>
      </c>
      <c r="G71" s="2"/>
      <c r="H71" s="6">
        <v>0</v>
      </c>
      <c r="I71" s="2"/>
      <c r="J71" s="7">
        <f t="shared" si="22"/>
        <v>0</v>
      </c>
      <c r="K71" s="2"/>
      <c r="L71" s="6">
        <f t="shared" si="23"/>
        <v>2707.17</v>
      </c>
      <c r="M71" s="2"/>
      <c r="N71" s="7">
        <f t="shared" si="24"/>
        <v>0</v>
      </c>
      <c r="O71" s="11"/>
      <c r="P71" s="6">
        <v>5140.87</v>
      </c>
      <c r="Q71" s="2"/>
      <c r="R71" s="7">
        <f t="shared" si="25"/>
        <v>5.8964907216469773E-3</v>
      </c>
      <c r="S71" s="2"/>
      <c r="T71" s="6">
        <v>0</v>
      </c>
      <c r="U71" s="2"/>
      <c r="V71" s="7">
        <f t="shared" si="26"/>
        <v>0</v>
      </c>
      <c r="W71" s="2"/>
      <c r="X71" s="6">
        <f t="shared" si="27"/>
        <v>5140.87</v>
      </c>
      <c r="Y71" s="2"/>
      <c r="Z71" s="7">
        <f t="shared" si="28"/>
        <v>0</v>
      </c>
    </row>
    <row r="72" spans="1:26" s="24" customFormat="1" hidden="1" outlineLevel="2" x14ac:dyDescent="0.25">
      <c r="A72" s="27"/>
      <c r="B72" s="11" t="str">
        <f>CONCATENATE("          ", "6006", " - ", "TEMPORARY PART TIME")</f>
        <v xml:space="preserve">          6006 - TEMPORARY PART TIME</v>
      </c>
      <c r="C72" s="11"/>
      <c r="D72" s="6">
        <v>1503.38</v>
      </c>
      <c r="E72" s="2"/>
      <c r="F72" s="7">
        <f t="shared" si="21"/>
        <v>2.9976764408489402E-3</v>
      </c>
      <c r="G72" s="2"/>
      <c r="H72" s="6">
        <v>0</v>
      </c>
      <c r="I72" s="2"/>
      <c r="J72" s="7">
        <f t="shared" si="22"/>
        <v>0</v>
      </c>
      <c r="K72" s="2"/>
      <c r="L72" s="6">
        <f t="shared" si="23"/>
        <v>1503.38</v>
      </c>
      <c r="M72" s="2"/>
      <c r="N72" s="7">
        <f t="shared" si="24"/>
        <v>0</v>
      </c>
      <c r="O72" s="11"/>
      <c r="P72" s="6">
        <v>2951.82</v>
      </c>
      <c r="Q72" s="2"/>
      <c r="R72" s="7">
        <f t="shared" si="25"/>
        <v>3.3856874890771369E-3</v>
      </c>
      <c r="S72" s="2"/>
      <c r="T72" s="6">
        <v>0</v>
      </c>
      <c r="U72" s="2"/>
      <c r="V72" s="7">
        <f t="shared" si="26"/>
        <v>0</v>
      </c>
      <c r="W72" s="2"/>
      <c r="X72" s="6">
        <f t="shared" si="27"/>
        <v>2951.82</v>
      </c>
      <c r="Y72" s="2"/>
      <c r="Z72" s="7">
        <f t="shared" si="28"/>
        <v>0</v>
      </c>
    </row>
    <row r="73" spans="1:26" s="24" customFormat="1" hidden="1" outlineLevel="2" x14ac:dyDescent="0.25">
      <c r="A73" s="27"/>
      <c r="B73" s="11" t="str">
        <f>CONCATENATE("          ", "6007", " - ", "STUDENT HOURLY")</f>
        <v xml:space="preserve">          6007 - STUDENT HOURLY</v>
      </c>
      <c r="C73" s="11"/>
      <c r="D73" s="6">
        <v>2539.31</v>
      </c>
      <c r="E73" s="2"/>
      <c r="F73" s="7">
        <f t="shared" si="21"/>
        <v>5.0632772572550668E-3</v>
      </c>
      <c r="G73" s="2"/>
      <c r="H73" s="6">
        <v>5080.5</v>
      </c>
      <c r="I73" s="2"/>
      <c r="J73" s="7">
        <f t="shared" si="22"/>
        <v>1.5130217252110726E-2</v>
      </c>
      <c r="K73" s="2"/>
      <c r="L73" s="6">
        <f t="shared" si="23"/>
        <v>-2541.19</v>
      </c>
      <c r="M73" s="2"/>
      <c r="N73" s="7">
        <f t="shared" si="24"/>
        <v>-0.50018502115933472</v>
      </c>
      <c r="O73" s="11"/>
      <c r="P73" s="6">
        <v>3419.31</v>
      </c>
      <c r="Q73" s="2"/>
      <c r="R73" s="7">
        <f t="shared" si="25"/>
        <v>3.9218905923384031E-3</v>
      </c>
      <c r="S73" s="2"/>
      <c r="T73" s="6">
        <v>9378.75</v>
      </c>
      <c r="U73" s="2"/>
      <c r="V73" s="7">
        <f t="shared" si="26"/>
        <v>1.2544842419524409E-2</v>
      </c>
      <c r="W73" s="2"/>
      <c r="X73" s="6">
        <f t="shared" si="27"/>
        <v>-5959.4400000000005</v>
      </c>
      <c r="Y73" s="2"/>
      <c r="Z73" s="7">
        <f t="shared" si="28"/>
        <v>-0.63541943222710917</v>
      </c>
    </row>
    <row r="74" spans="1:26" s="24" customFormat="1" hidden="1" outlineLevel="2" x14ac:dyDescent="0.25">
      <c r="A74" s="27"/>
      <c r="B74" s="11" t="str">
        <f>CONCATENATE("          ", "6008", " - ", "STUDENT HOURLY-FICA EXEMPT")</f>
        <v xml:space="preserve">          6008 - STUDENT HOURLY-FICA EXEMPT</v>
      </c>
      <c r="C74" s="11"/>
      <c r="D74" s="6"/>
      <c r="E74" s="2"/>
      <c r="F74" s="7">
        <f t="shared" si="21"/>
        <v>0</v>
      </c>
      <c r="G74" s="2"/>
      <c r="H74" s="6">
        <v>0</v>
      </c>
      <c r="I74" s="2"/>
      <c r="J74" s="7">
        <f t="shared" si="22"/>
        <v>0</v>
      </c>
      <c r="K74" s="2"/>
      <c r="L74" s="6">
        <f t="shared" si="23"/>
        <v>0</v>
      </c>
      <c r="M74" s="2"/>
      <c r="N74" s="7">
        <f t="shared" si="24"/>
        <v>0</v>
      </c>
      <c r="O74" s="11"/>
      <c r="P74" s="6"/>
      <c r="Q74" s="2"/>
      <c r="R74" s="7">
        <f t="shared" si="25"/>
        <v>0</v>
      </c>
      <c r="S74" s="2"/>
      <c r="T74" s="6">
        <v>0</v>
      </c>
      <c r="U74" s="2"/>
      <c r="V74" s="7">
        <f t="shared" si="26"/>
        <v>0</v>
      </c>
      <c r="W74" s="2"/>
      <c r="X74" s="6">
        <f t="shared" si="27"/>
        <v>0</v>
      </c>
      <c r="Y74" s="2"/>
      <c r="Z74" s="7">
        <f t="shared" si="28"/>
        <v>0</v>
      </c>
    </row>
    <row r="75" spans="1:26" s="24" customFormat="1" hidden="1" outlineLevel="2" x14ac:dyDescent="0.25">
      <c r="A75" s="27"/>
      <c r="B75" s="11" t="str">
        <f>CONCATENATE("          ", "6009", " - ", "TEMPORARY-SEASONAL")</f>
        <v xml:space="preserve">          6009 - TEMPORARY-SEASONAL</v>
      </c>
      <c r="C75" s="11"/>
      <c r="D75" s="6"/>
      <c r="E75" s="2"/>
      <c r="F75" s="7">
        <f t="shared" si="21"/>
        <v>0</v>
      </c>
      <c r="G75" s="2"/>
      <c r="H75" s="6">
        <v>0</v>
      </c>
      <c r="I75" s="2"/>
      <c r="J75" s="7">
        <f t="shared" si="22"/>
        <v>0</v>
      </c>
      <c r="K75" s="2"/>
      <c r="L75" s="6">
        <f t="shared" si="23"/>
        <v>0</v>
      </c>
      <c r="M75" s="2"/>
      <c r="N75" s="7">
        <f t="shared" si="24"/>
        <v>0</v>
      </c>
      <c r="O75" s="11"/>
      <c r="P75" s="6"/>
      <c r="Q75" s="2"/>
      <c r="R75" s="7">
        <f t="shared" si="25"/>
        <v>0</v>
      </c>
      <c r="S75" s="2"/>
      <c r="T75" s="6">
        <v>0</v>
      </c>
      <c r="U75" s="2"/>
      <c r="V75" s="7">
        <f t="shared" si="26"/>
        <v>0</v>
      </c>
      <c r="W75" s="2"/>
      <c r="X75" s="6">
        <f t="shared" si="27"/>
        <v>0</v>
      </c>
      <c r="Y75" s="2"/>
      <c r="Z75" s="7">
        <f t="shared" si="28"/>
        <v>0</v>
      </c>
    </row>
    <row r="76" spans="1:26" s="24" customFormat="1" hidden="1" outlineLevel="2" x14ac:dyDescent="0.25">
      <c r="A76" s="27"/>
      <c r="B76" s="11" t="str">
        <f>CONCATENATE("          ", "6010", " - ", "GRATUITY")</f>
        <v xml:space="preserve">          6010 - GRATUITY</v>
      </c>
      <c r="C76" s="11"/>
      <c r="D76" s="6"/>
      <c r="E76" s="2"/>
      <c r="F76" s="7">
        <f t="shared" si="21"/>
        <v>0</v>
      </c>
      <c r="G76" s="2"/>
      <c r="H76" s="6">
        <v>0</v>
      </c>
      <c r="I76" s="2"/>
      <c r="J76" s="7">
        <f t="shared" si="22"/>
        <v>0</v>
      </c>
      <c r="K76" s="2"/>
      <c r="L76" s="6">
        <f t="shared" si="23"/>
        <v>0</v>
      </c>
      <c r="M76" s="2"/>
      <c r="N76" s="7">
        <f t="shared" si="24"/>
        <v>0</v>
      </c>
      <c r="O76" s="11"/>
      <c r="P76" s="6"/>
      <c r="Q76" s="2"/>
      <c r="R76" s="7">
        <f t="shared" si="25"/>
        <v>0</v>
      </c>
      <c r="S76" s="2"/>
      <c r="T76" s="6">
        <v>0</v>
      </c>
      <c r="U76" s="2"/>
      <c r="V76" s="7">
        <f t="shared" si="26"/>
        <v>0</v>
      </c>
      <c r="W76" s="2"/>
      <c r="X76" s="6">
        <f t="shared" si="27"/>
        <v>0</v>
      </c>
      <c r="Y76" s="2"/>
      <c r="Z76" s="7">
        <f t="shared" si="28"/>
        <v>0</v>
      </c>
    </row>
    <row r="77" spans="1:26" s="26" customFormat="1" outlineLevel="1" collapsed="1" x14ac:dyDescent="0.25">
      <c r="A77" s="25"/>
      <c r="B77" s="13" t="str">
        <f>CONCATENATE("     ","Advertising/Promo                                 ")</f>
        <v xml:space="preserve">     Advertising/Promo                                 </v>
      </c>
      <c r="C77" s="13"/>
      <c r="D77" s="1">
        <f>SUM(OSRRefD22_2x_0)</f>
        <v>343.09</v>
      </c>
      <c r="E77" s="1"/>
      <c r="F77" s="5">
        <f t="shared" ref="F77:F91" si="29">IF(D$12=0,0,D77/D$12)</f>
        <v>6.8410701891129504E-4</v>
      </c>
      <c r="G77" s="1"/>
      <c r="H77" s="1">
        <f>SUM(OSRRefH22_2x_0)</f>
        <v>250</v>
      </c>
      <c r="I77" s="1"/>
      <c r="J77" s="5">
        <f t="shared" ref="J77:J91" si="30">IF(H$12=0,0,H77/H$12)</f>
        <v>7.4452402579031226E-4</v>
      </c>
      <c r="K77" s="1"/>
      <c r="L77" s="1">
        <f t="shared" ref="L77:L91" si="31">+D77-H77</f>
        <v>93.089999999999975</v>
      </c>
      <c r="M77" s="1"/>
      <c r="N77" s="5">
        <f t="shared" ref="N77:N91" si="32">IF(H77=0,0,L77/H77)</f>
        <v>0.37235999999999991</v>
      </c>
      <c r="O77" s="13"/>
      <c r="P77" s="1">
        <f>SUM(OSRRefP22_2x_0)</f>
        <v>702.16</v>
      </c>
      <c r="Q77" s="1"/>
      <c r="R77" s="5">
        <f t="shared" ref="R77:R91" si="33">IF(P$12=0,0,P77/P$12)</f>
        <v>8.0536561420764216E-4</v>
      </c>
      <c r="S77" s="1"/>
      <c r="T77" s="1">
        <f>SUM(OSRRefT22_2x_0)</f>
        <v>500</v>
      </c>
      <c r="U77" s="1"/>
      <c r="V77" s="5">
        <f t="shared" ref="V77:V91" si="34">IF(T$12=0,0,T77/T$12)</f>
        <v>6.6879074607620467E-4</v>
      </c>
      <c r="W77" s="1"/>
      <c r="X77" s="1">
        <f t="shared" ref="X77:X91" si="35">+P77-T77</f>
        <v>202.15999999999997</v>
      </c>
      <c r="Y77" s="1"/>
      <c r="Z77" s="5">
        <f t="shared" ref="Z77:Z91" si="36">IF(T77=0,0,X77/T77)</f>
        <v>0.40431999999999996</v>
      </c>
    </row>
    <row r="78" spans="1:26" s="24" customFormat="1" hidden="1" outlineLevel="2" x14ac:dyDescent="0.25">
      <c r="A78" s="27"/>
      <c r="B78" s="11" t="str">
        <f>CONCATENATE("          ", "6362", " - ", "ADVERTISING EXPENSE")</f>
        <v xml:space="preserve">          6362 - ADVERTISING EXPENSE</v>
      </c>
      <c r="C78" s="11"/>
      <c r="D78" s="6">
        <v>343.09</v>
      </c>
      <c r="E78" s="2"/>
      <c r="F78" s="7">
        <f t="shared" si="29"/>
        <v>6.8410701891129504E-4</v>
      </c>
      <c r="G78" s="2"/>
      <c r="H78" s="6">
        <v>250</v>
      </c>
      <c r="I78" s="2"/>
      <c r="J78" s="7">
        <f t="shared" si="30"/>
        <v>7.4452402579031226E-4</v>
      </c>
      <c r="K78" s="2"/>
      <c r="L78" s="6">
        <f t="shared" si="31"/>
        <v>93.089999999999975</v>
      </c>
      <c r="M78" s="2"/>
      <c r="N78" s="7">
        <f t="shared" si="32"/>
        <v>0.37235999999999991</v>
      </c>
      <c r="O78" s="11"/>
      <c r="P78" s="6">
        <v>702.16</v>
      </c>
      <c r="Q78" s="2"/>
      <c r="R78" s="7">
        <f t="shared" si="33"/>
        <v>8.0536561420764216E-4</v>
      </c>
      <c r="S78" s="2"/>
      <c r="T78" s="6">
        <v>500</v>
      </c>
      <c r="U78" s="2"/>
      <c r="V78" s="7">
        <f t="shared" si="34"/>
        <v>6.6879074607620467E-4</v>
      </c>
      <c r="W78" s="2"/>
      <c r="X78" s="6">
        <f t="shared" si="35"/>
        <v>202.15999999999997</v>
      </c>
      <c r="Y78" s="2"/>
      <c r="Z78" s="7">
        <f t="shared" si="36"/>
        <v>0.40431999999999996</v>
      </c>
    </row>
    <row r="79" spans="1:26" s="26" customFormat="1" outlineLevel="1" collapsed="1" x14ac:dyDescent="0.25">
      <c r="A79" s="25"/>
      <c r="B79" s="13" t="str">
        <f>CONCATENATE("     ","Depreciation                                      ")</f>
        <v xml:space="preserve">     Depreciation                                      </v>
      </c>
      <c r="C79" s="13"/>
      <c r="D79" s="1">
        <f>SUM(OSRRefD22_3x_0)</f>
        <v>280.44</v>
      </c>
      <c r="E79" s="1"/>
      <c r="F79" s="5">
        <f t="shared" si="29"/>
        <v>5.5918555592842582E-4</v>
      </c>
      <c r="G79" s="1"/>
      <c r="H79" s="1">
        <f>SUM(OSRRefH22_3x_0)</f>
        <v>0</v>
      </c>
      <c r="I79" s="1"/>
      <c r="J79" s="5">
        <f t="shared" si="30"/>
        <v>0</v>
      </c>
      <c r="K79" s="1"/>
      <c r="L79" s="1">
        <f t="shared" si="31"/>
        <v>280.44</v>
      </c>
      <c r="M79" s="1"/>
      <c r="N79" s="5">
        <f t="shared" si="32"/>
        <v>0</v>
      </c>
      <c r="O79" s="13"/>
      <c r="P79" s="1">
        <f>SUM(OSRRefP22_3x_0)</f>
        <v>560.88</v>
      </c>
      <c r="Q79" s="1"/>
      <c r="R79" s="5">
        <f t="shared" si="33"/>
        <v>6.4331984974476235E-4</v>
      </c>
      <c r="S79" s="1"/>
      <c r="T79" s="1">
        <f>SUM(OSRRefT22_3x_0)</f>
        <v>0</v>
      </c>
      <c r="U79" s="1"/>
      <c r="V79" s="5">
        <f t="shared" si="34"/>
        <v>0</v>
      </c>
      <c r="W79" s="1"/>
      <c r="X79" s="1">
        <f t="shared" si="35"/>
        <v>560.88</v>
      </c>
      <c r="Y79" s="1"/>
      <c r="Z79" s="5">
        <f t="shared" si="36"/>
        <v>0</v>
      </c>
    </row>
    <row r="80" spans="1:26" s="24" customFormat="1" hidden="1" outlineLevel="2" x14ac:dyDescent="0.25">
      <c r="A80" s="27"/>
      <c r="B80" s="11" t="str">
        <f>CONCATENATE("          ", "6322", " - ", "EQUIPMENT DEPRECIATION EXPENSE")</f>
        <v xml:space="preserve">          6322 - EQUIPMENT DEPRECIATION EXPENSE</v>
      </c>
      <c r="C80" s="11"/>
      <c r="D80" s="6">
        <v>280.44</v>
      </c>
      <c r="E80" s="2"/>
      <c r="F80" s="7">
        <f t="shared" si="29"/>
        <v>5.5918555592842582E-4</v>
      </c>
      <c r="G80" s="2"/>
      <c r="H80" s="6"/>
      <c r="I80" s="2"/>
      <c r="J80" s="7">
        <f t="shared" si="30"/>
        <v>0</v>
      </c>
      <c r="K80" s="2"/>
      <c r="L80" s="6">
        <f t="shared" si="31"/>
        <v>280.44</v>
      </c>
      <c r="M80" s="2"/>
      <c r="N80" s="7">
        <f t="shared" si="32"/>
        <v>0</v>
      </c>
      <c r="O80" s="11"/>
      <c r="P80" s="6">
        <v>560.88</v>
      </c>
      <c r="Q80" s="2"/>
      <c r="R80" s="7">
        <f t="shared" si="33"/>
        <v>6.4331984974476235E-4</v>
      </c>
      <c r="S80" s="2"/>
      <c r="T80" s="6"/>
      <c r="U80" s="2"/>
      <c r="V80" s="7">
        <f t="shared" si="34"/>
        <v>0</v>
      </c>
      <c r="W80" s="2"/>
      <c r="X80" s="6">
        <f t="shared" si="35"/>
        <v>560.88</v>
      </c>
      <c r="Y80" s="2"/>
      <c r="Z80" s="7">
        <f t="shared" si="36"/>
        <v>0</v>
      </c>
    </row>
    <row r="81" spans="1:26" s="26" customFormat="1" outlineLevel="1" collapsed="1" x14ac:dyDescent="0.25">
      <c r="A81" s="25"/>
      <c r="B81" s="13" t="str">
        <f>CONCATENATE("     ","Discounts and Markdowns                           ")</f>
        <v xml:space="preserve">     Discounts and Markdowns                           </v>
      </c>
      <c r="C81" s="13"/>
      <c r="D81" s="1">
        <f>SUM(OSRRefD22_4x_0)</f>
        <v>57114.36</v>
      </c>
      <c r="E81" s="1"/>
      <c r="F81" s="5">
        <f t="shared" si="29"/>
        <v>0.11388362982490459</v>
      </c>
      <c r="G81" s="1"/>
      <c r="H81" s="1">
        <f>SUM(OSRRefH22_4x_0)</f>
        <v>2500</v>
      </c>
      <c r="I81" s="1"/>
      <c r="J81" s="5">
        <f t="shared" si="30"/>
        <v>7.4452402579031221E-3</v>
      </c>
      <c r="K81" s="1"/>
      <c r="L81" s="1">
        <f t="shared" si="31"/>
        <v>54614.36</v>
      </c>
      <c r="M81" s="1"/>
      <c r="N81" s="5">
        <f t="shared" si="32"/>
        <v>21.845744</v>
      </c>
      <c r="O81" s="13"/>
      <c r="P81" s="1">
        <f>SUM(OSRRefP22_4x_0)</f>
        <v>70019.17</v>
      </c>
      <c r="Q81" s="1"/>
      <c r="R81" s="5">
        <f t="shared" si="33"/>
        <v>8.0310800748204555E-2</v>
      </c>
      <c r="S81" s="1"/>
      <c r="T81" s="1">
        <f>SUM(OSRRefT22_4x_0)</f>
        <v>5000</v>
      </c>
      <c r="U81" s="1"/>
      <c r="V81" s="5">
        <f t="shared" si="34"/>
        <v>6.6879074607620473E-3</v>
      </c>
      <c r="W81" s="1"/>
      <c r="X81" s="1">
        <f t="shared" si="35"/>
        <v>65019.17</v>
      </c>
      <c r="Y81" s="1"/>
      <c r="Z81" s="5">
        <f t="shared" si="36"/>
        <v>13.003833999999999</v>
      </c>
    </row>
    <row r="82" spans="1:26" s="24" customFormat="1" hidden="1" outlineLevel="2" x14ac:dyDescent="0.25">
      <c r="A82" s="27"/>
      <c r="B82" s="11" t="str">
        <f>CONCATENATE("          ", "6382", " - ", "DISCOUNTS/MARK DOWNS")</f>
        <v xml:space="preserve">          6382 - DISCOUNTS/MARK DOWNS</v>
      </c>
      <c r="C82" s="11"/>
      <c r="D82" s="6">
        <v>57114.36</v>
      </c>
      <c r="E82" s="2"/>
      <c r="F82" s="7">
        <f t="shared" si="29"/>
        <v>0.11388362982490459</v>
      </c>
      <c r="G82" s="2"/>
      <c r="H82" s="6">
        <v>2500</v>
      </c>
      <c r="I82" s="2"/>
      <c r="J82" s="7">
        <f t="shared" si="30"/>
        <v>7.4452402579031221E-3</v>
      </c>
      <c r="K82" s="2"/>
      <c r="L82" s="6">
        <f t="shared" si="31"/>
        <v>54614.36</v>
      </c>
      <c r="M82" s="2"/>
      <c r="N82" s="7">
        <f t="shared" si="32"/>
        <v>21.845744</v>
      </c>
      <c r="O82" s="11"/>
      <c r="P82" s="6">
        <v>70019.17</v>
      </c>
      <c r="Q82" s="2"/>
      <c r="R82" s="7">
        <f t="shared" si="33"/>
        <v>8.0310800748204555E-2</v>
      </c>
      <c r="S82" s="2"/>
      <c r="T82" s="6">
        <v>5000</v>
      </c>
      <c r="U82" s="2"/>
      <c r="V82" s="7">
        <f t="shared" si="34"/>
        <v>6.6879074607620473E-3</v>
      </c>
      <c r="W82" s="2"/>
      <c r="X82" s="6">
        <f t="shared" si="35"/>
        <v>65019.17</v>
      </c>
      <c r="Y82" s="2"/>
      <c r="Z82" s="7">
        <f t="shared" si="36"/>
        <v>13.003833999999999</v>
      </c>
    </row>
    <row r="83" spans="1:26" s="26" customFormat="1" outlineLevel="1" collapsed="1" x14ac:dyDescent="0.25">
      <c r="A83" s="25"/>
      <c r="B83" s="13" t="str">
        <f>CONCATENATE("     ","Employees' Appreciation                           ")</f>
        <v xml:space="preserve">     Employees' Appreciation                           </v>
      </c>
      <c r="C83" s="13"/>
      <c r="D83" s="1">
        <f>SUM(OSRRefD22_5x_0)</f>
        <v>0</v>
      </c>
      <c r="E83" s="1"/>
      <c r="F83" s="5">
        <f t="shared" si="29"/>
        <v>0</v>
      </c>
      <c r="G83" s="1"/>
      <c r="H83" s="1">
        <f>SUM(OSRRefH22_5x_0)</f>
        <v>40</v>
      </c>
      <c r="I83" s="1"/>
      <c r="J83" s="5">
        <f t="shared" si="30"/>
        <v>1.1912384412644996E-4</v>
      </c>
      <c r="K83" s="1"/>
      <c r="L83" s="1">
        <f t="shared" si="31"/>
        <v>-40</v>
      </c>
      <c r="M83" s="1"/>
      <c r="N83" s="5">
        <f t="shared" si="32"/>
        <v>-1</v>
      </c>
      <c r="O83" s="13"/>
      <c r="P83" s="1">
        <f>SUM(OSRRefP22_5x_0)</f>
        <v>0</v>
      </c>
      <c r="Q83" s="1"/>
      <c r="R83" s="5">
        <f t="shared" si="33"/>
        <v>0</v>
      </c>
      <c r="S83" s="1"/>
      <c r="T83" s="1">
        <f>SUM(OSRRefT22_5x_0)</f>
        <v>80</v>
      </c>
      <c r="U83" s="1"/>
      <c r="V83" s="5">
        <f t="shared" si="34"/>
        <v>1.0700651937219275E-4</v>
      </c>
      <c r="W83" s="1"/>
      <c r="X83" s="1">
        <f t="shared" si="35"/>
        <v>-80</v>
      </c>
      <c r="Y83" s="1"/>
      <c r="Z83" s="5">
        <f t="shared" si="36"/>
        <v>-1</v>
      </c>
    </row>
    <row r="84" spans="1:26" s="24" customFormat="1" hidden="1" outlineLevel="2" x14ac:dyDescent="0.25">
      <c r="A84" s="27"/>
      <c r="B84" s="11" t="str">
        <f>CONCATENATE("          ", "6277", " - ", "EMPLOYEE APPRECIATION")</f>
        <v xml:space="preserve">          6277 - EMPLOYEE APPRECIATION</v>
      </c>
      <c r="C84" s="11"/>
      <c r="D84" s="6"/>
      <c r="E84" s="2"/>
      <c r="F84" s="7">
        <f t="shared" si="29"/>
        <v>0</v>
      </c>
      <c r="G84" s="2"/>
      <c r="H84" s="6">
        <v>40</v>
      </c>
      <c r="I84" s="2"/>
      <c r="J84" s="7">
        <f t="shared" si="30"/>
        <v>1.1912384412644996E-4</v>
      </c>
      <c r="K84" s="2"/>
      <c r="L84" s="6">
        <f t="shared" si="31"/>
        <v>-40</v>
      </c>
      <c r="M84" s="2"/>
      <c r="N84" s="7">
        <f t="shared" si="32"/>
        <v>-1</v>
      </c>
      <c r="O84" s="11"/>
      <c r="P84" s="6"/>
      <c r="Q84" s="2"/>
      <c r="R84" s="7">
        <f t="shared" si="33"/>
        <v>0</v>
      </c>
      <c r="S84" s="2"/>
      <c r="T84" s="6">
        <v>80</v>
      </c>
      <c r="U84" s="2"/>
      <c r="V84" s="7">
        <f t="shared" si="34"/>
        <v>1.0700651937219275E-4</v>
      </c>
      <c r="W84" s="2"/>
      <c r="X84" s="6">
        <f t="shared" si="35"/>
        <v>-80</v>
      </c>
      <c r="Y84" s="2"/>
      <c r="Z84" s="7">
        <f t="shared" si="36"/>
        <v>-1</v>
      </c>
    </row>
    <row r="85" spans="1:26" s="26" customFormat="1" outlineLevel="1" collapsed="1" x14ac:dyDescent="0.25">
      <c r="A85" s="25"/>
      <c r="B85" s="13" t="str">
        <f>CONCATENATE("     ","Freight out/Postage                               ")</f>
        <v xml:space="preserve">     Freight out/Postage                               </v>
      </c>
      <c r="C85" s="13"/>
      <c r="D85" s="1">
        <f>SUM(OSRRefD22_6x_0)</f>
        <v>0</v>
      </c>
      <c r="E85" s="1"/>
      <c r="F85" s="5">
        <f t="shared" si="29"/>
        <v>0</v>
      </c>
      <c r="G85" s="1"/>
      <c r="H85" s="1">
        <f>SUM(OSRRefH22_6x_0)</f>
        <v>25</v>
      </c>
      <c r="I85" s="1"/>
      <c r="J85" s="5">
        <f t="shared" si="30"/>
        <v>7.4452402579031226E-5</v>
      </c>
      <c r="K85" s="1"/>
      <c r="L85" s="1">
        <f t="shared" si="31"/>
        <v>-25</v>
      </c>
      <c r="M85" s="1"/>
      <c r="N85" s="5">
        <f t="shared" si="32"/>
        <v>-1</v>
      </c>
      <c r="O85" s="13"/>
      <c r="P85" s="1">
        <f>SUM(OSRRefP22_6x_0)</f>
        <v>0</v>
      </c>
      <c r="Q85" s="1"/>
      <c r="R85" s="5">
        <f t="shared" si="33"/>
        <v>0</v>
      </c>
      <c r="S85" s="1"/>
      <c r="T85" s="1">
        <f>SUM(OSRRefT22_6x_0)</f>
        <v>50</v>
      </c>
      <c r="U85" s="1"/>
      <c r="V85" s="5">
        <f t="shared" si="34"/>
        <v>6.6879074607620464E-5</v>
      </c>
      <c r="W85" s="1"/>
      <c r="X85" s="1">
        <f t="shared" si="35"/>
        <v>-50</v>
      </c>
      <c r="Y85" s="1"/>
      <c r="Z85" s="5">
        <f t="shared" si="36"/>
        <v>-1</v>
      </c>
    </row>
    <row r="86" spans="1:26" s="24" customFormat="1" hidden="1" outlineLevel="2" x14ac:dyDescent="0.25">
      <c r="A86" s="27"/>
      <c r="B86" s="11" t="str">
        <f>CONCATENATE("          ", "6305", " - ", "FREIGHT OUT")</f>
        <v xml:space="preserve">          6305 - FREIGHT OUT</v>
      </c>
      <c r="C86" s="11"/>
      <c r="D86" s="6"/>
      <c r="E86" s="2"/>
      <c r="F86" s="7">
        <f t="shared" si="29"/>
        <v>0</v>
      </c>
      <c r="G86" s="2"/>
      <c r="H86" s="6">
        <v>25</v>
      </c>
      <c r="I86" s="2"/>
      <c r="J86" s="7">
        <f t="shared" si="30"/>
        <v>7.4452402579031226E-5</v>
      </c>
      <c r="K86" s="2"/>
      <c r="L86" s="6">
        <f t="shared" si="31"/>
        <v>-25</v>
      </c>
      <c r="M86" s="2"/>
      <c r="N86" s="7">
        <f t="shared" si="32"/>
        <v>-1</v>
      </c>
      <c r="O86" s="11"/>
      <c r="P86" s="6"/>
      <c r="Q86" s="2"/>
      <c r="R86" s="7">
        <f t="shared" si="33"/>
        <v>0</v>
      </c>
      <c r="S86" s="2"/>
      <c r="T86" s="6">
        <v>50</v>
      </c>
      <c r="U86" s="2"/>
      <c r="V86" s="7">
        <f t="shared" si="34"/>
        <v>6.6879074607620464E-5</v>
      </c>
      <c r="W86" s="2"/>
      <c r="X86" s="6">
        <f t="shared" si="35"/>
        <v>-50</v>
      </c>
      <c r="Y86" s="2"/>
      <c r="Z86" s="7">
        <f t="shared" si="36"/>
        <v>-1</v>
      </c>
    </row>
    <row r="87" spans="1:26" s="26" customFormat="1" outlineLevel="1" collapsed="1" x14ac:dyDescent="0.25">
      <c r="A87" s="25"/>
      <c r="B87" s="13" t="str">
        <f>CONCATENATE("     ","Subscriptions &amp; Dues                              ")</f>
        <v xml:space="preserve">     Subscriptions &amp; Dues                              </v>
      </c>
      <c r="C87" s="13"/>
      <c r="D87" s="1">
        <f>SUM(OSRRefD22_7x_0)</f>
        <v>-5000</v>
      </c>
      <c r="E87" s="1"/>
      <c r="F87" s="5">
        <f t="shared" si="29"/>
        <v>-9.9697895437246067E-3</v>
      </c>
      <c r="G87" s="1"/>
      <c r="H87" s="1">
        <f>SUM(OSRRefH22_7x_0)</f>
        <v>0</v>
      </c>
      <c r="I87" s="1"/>
      <c r="J87" s="5">
        <f t="shared" si="30"/>
        <v>0</v>
      </c>
      <c r="K87" s="1"/>
      <c r="L87" s="1">
        <f t="shared" si="31"/>
        <v>-5000</v>
      </c>
      <c r="M87" s="1"/>
      <c r="N87" s="5">
        <f t="shared" si="32"/>
        <v>0</v>
      </c>
      <c r="O87" s="13"/>
      <c r="P87" s="1">
        <f>SUM(OSRRefP22_7x_0)</f>
        <v>-5000</v>
      </c>
      <c r="Q87" s="1"/>
      <c r="R87" s="5">
        <f t="shared" si="33"/>
        <v>-5.7349152202321564E-3</v>
      </c>
      <c r="S87" s="1"/>
      <c r="T87" s="1">
        <f>SUM(OSRRefT22_7x_0)</f>
        <v>0</v>
      </c>
      <c r="U87" s="1"/>
      <c r="V87" s="5">
        <f t="shared" si="34"/>
        <v>0</v>
      </c>
      <c r="W87" s="1"/>
      <c r="X87" s="1">
        <f t="shared" si="35"/>
        <v>-5000</v>
      </c>
      <c r="Y87" s="1"/>
      <c r="Z87" s="5">
        <f t="shared" si="36"/>
        <v>0</v>
      </c>
    </row>
    <row r="88" spans="1:26" s="24" customFormat="1" hidden="1" outlineLevel="2" x14ac:dyDescent="0.25">
      <c r="A88" s="27"/>
      <c r="B88" s="11" t="str">
        <f>CONCATENATE("          ", "6258", " - ", "MEMBERSHIP DUES")</f>
        <v xml:space="preserve">          6258 - MEMBERSHIP DUES</v>
      </c>
      <c r="C88" s="11"/>
      <c r="D88" s="6">
        <v>-5000</v>
      </c>
      <c r="E88" s="2"/>
      <c r="F88" s="7">
        <f t="shared" si="29"/>
        <v>-9.9697895437246067E-3</v>
      </c>
      <c r="G88" s="2"/>
      <c r="H88" s="6"/>
      <c r="I88" s="2"/>
      <c r="J88" s="7">
        <f t="shared" si="30"/>
        <v>0</v>
      </c>
      <c r="K88" s="2"/>
      <c r="L88" s="6">
        <f t="shared" si="31"/>
        <v>-5000</v>
      </c>
      <c r="M88" s="2"/>
      <c r="N88" s="7">
        <f t="shared" si="32"/>
        <v>0</v>
      </c>
      <c r="O88" s="11"/>
      <c r="P88" s="6">
        <v>-5000</v>
      </c>
      <c r="Q88" s="2"/>
      <c r="R88" s="7">
        <f t="shared" si="33"/>
        <v>-5.7349152202321564E-3</v>
      </c>
      <c r="S88" s="2"/>
      <c r="T88" s="6"/>
      <c r="U88" s="2"/>
      <c r="V88" s="7">
        <f t="shared" si="34"/>
        <v>0</v>
      </c>
      <c r="W88" s="2"/>
      <c r="X88" s="6">
        <f t="shared" si="35"/>
        <v>-5000</v>
      </c>
      <c r="Y88" s="2"/>
      <c r="Z88" s="7">
        <f t="shared" si="36"/>
        <v>0</v>
      </c>
    </row>
    <row r="89" spans="1:26" s="26" customFormat="1" outlineLevel="1" collapsed="1" x14ac:dyDescent="0.25">
      <c r="A89" s="25"/>
      <c r="B89" s="13" t="str">
        <f>CONCATENATE("     ","Supplies                                          ")</f>
        <v xml:space="preserve">     Supplies                                          </v>
      </c>
      <c r="C89" s="13"/>
      <c r="D89" s="1">
        <f>SUM(OSRRefD22_8x_0)</f>
        <v>88.18</v>
      </c>
      <c r="E89" s="1"/>
      <c r="F89" s="5">
        <f t="shared" si="29"/>
        <v>1.758272083931272E-4</v>
      </c>
      <c r="G89" s="1"/>
      <c r="H89" s="1">
        <f>SUM(OSRRefH22_8x_0)</f>
        <v>275</v>
      </c>
      <c r="I89" s="1"/>
      <c r="J89" s="5">
        <f t="shared" si="30"/>
        <v>8.1897642836934348E-4</v>
      </c>
      <c r="K89" s="1"/>
      <c r="L89" s="1">
        <f t="shared" si="31"/>
        <v>-186.82</v>
      </c>
      <c r="M89" s="1"/>
      <c r="N89" s="5">
        <f t="shared" si="32"/>
        <v>-0.67934545454545447</v>
      </c>
      <c r="O89" s="13"/>
      <c r="P89" s="1">
        <f>SUM(OSRRefP22_8x_0)</f>
        <v>763.44</v>
      </c>
      <c r="Q89" s="1"/>
      <c r="R89" s="5">
        <f t="shared" si="33"/>
        <v>8.7565273514680756E-4</v>
      </c>
      <c r="S89" s="1"/>
      <c r="T89" s="1">
        <f>SUM(OSRRefT22_8x_0)</f>
        <v>550</v>
      </c>
      <c r="U89" s="1"/>
      <c r="V89" s="5">
        <f t="shared" si="34"/>
        <v>7.3566982068382514E-4</v>
      </c>
      <c r="W89" s="1"/>
      <c r="X89" s="1">
        <f t="shared" si="35"/>
        <v>213.44000000000005</v>
      </c>
      <c r="Y89" s="1"/>
      <c r="Z89" s="5">
        <f t="shared" si="36"/>
        <v>0.38807272727272735</v>
      </c>
    </row>
    <row r="90" spans="1:26" s="24" customFormat="1" hidden="1" outlineLevel="2" x14ac:dyDescent="0.25">
      <c r="A90" s="27"/>
      <c r="B90" s="11" t="str">
        <f>CONCATENATE("          ", "6241", " - ", "OFFICE EXPENSE")</f>
        <v xml:space="preserve">          6241 - OFFICE EXPENSE</v>
      </c>
      <c r="C90" s="11"/>
      <c r="D90" s="6">
        <v>88.18</v>
      </c>
      <c r="E90" s="2"/>
      <c r="F90" s="7">
        <f t="shared" si="29"/>
        <v>1.758272083931272E-4</v>
      </c>
      <c r="G90" s="2"/>
      <c r="H90" s="6">
        <v>275</v>
      </c>
      <c r="I90" s="2"/>
      <c r="J90" s="7">
        <f t="shared" si="30"/>
        <v>8.1897642836934348E-4</v>
      </c>
      <c r="K90" s="2"/>
      <c r="L90" s="6">
        <f t="shared" si="31"/>
        <v>-186.82</v>
      </c>
      <c r="M90" s="2"/>
      <c r="N90" s="7">
        <f t="shared" si="32"/>
        <v>-0.67934545454545447</v>
      </c>
      <c r="O90" s="11"/>
      <c r="P90" s="6">
        <v>181</v>
      </c>
      <c r="Q90" s="2"/>
      <c r="R90" s="7">
        <f t="shared" si="33"/>
        <v>2.0760393097240406E-4</v>
      </c>
      <c r="S90" s="2"/>
      <c r="T90" s="6">
        <v>550</v>
      </c>
      <c r="U90" s="2"/>
      <c r="V90" s="7">
        <f t="shared" si="34"/>
        <v>7.3566982068382514E-4</v>
      </c>
      <c r="W90" s="2"/>
      <c r="X90" s="6">
        <f t="shared" si="35"/>
        <v>-369</v>
      </c>
      <c r="Y90" s="2"/>
      <c r="Z90" s="7">
        <f t="shared" si="36"/>
        <v>-0.6709090909090909</v>
      </c>
    </row>
    <row r="91" spans="1:26" s="24" customFormat="1" hidden="1" outlineLevel="2" x14ac:dyDescent="0.25">
      <c r="A91" s="27"/>
      <c r="B91" s="11" t="str">
        <f>CONCATENATE("          ", "6247", " - ", "STORE SUPPLIES")</f>
        <v xml:space="preserve">          6247 - STORE SUPPLIES</v>
      </c>
      <c r="C91" s="11"/>
      <c r="D91" s="6"/>
      <c r="E91" s="2"/>
      <c r="F91" s="7">
        <f t="shared" si="29"/>
        <v>0</v>
      </c>
      <c r="G91" s="2"/>
      <c r="H91" s="6"/>
      <c r="I91" s="2"/>
      <c r="J91" s="7">
        <f t="shared" si="30"/>
        <v>0</v>
      </c>
      <c r="K91" s="2"/>
      <c r="L91" s="6">
        <f t="shared" si="31"/>
        <v>0</v>
      </c>
      <c r="M91" s="2"/>
      <c r="N91" s="7">
        <f t="shared" si="32"/>
        <v>0</v>
      </c>
      <c r="O91" s="11"/>
      <c r="P91" s="6">
        <v>582.44000000000005</v>
      </c>
      <c r="Q91" s="2"/>
      <c r="R91" s="7">
        <f t="shared" si="33"/>
        <v>6.6804880417440347E-4</v>
      </c>
      <c r="S91" s="2"/>
      <c r="T91" s="6"/>
      <c r="U91" s="2"/>
      <c r="V91" s="7">
        <f t="shared" si="34"/>
        <v>0</v>
      </c>
      <c r="W91" s="2"/>
      <c r="X91" s="6">
        <f t="shared" si="35"/>
        <v>582.44000000000005</v>
      </c>
      <c r="Y91" s="2"/>
      <c r="Z91" s="7">
        <f t="shared" si="36"/>
        <v>0</v>
      </c>
    </row>
    <row r="92" spans="1:26" s="26" customFormat="1" outlineLevel="1" collapsed="1" x14ac:dyDescent="0.25">
      <c r="A92" s="25"/>
      <c r="B92" s="13" t="str">
        <f>CONCATENATE("     ","Telephone/Data Lines                              ")</f>
        <v xml:space="preserve">     Telephone/Data Lines                              </v>
      </c>
      <c r="C92" s="13"/>
      <c r="D92" s="1">
        <f>SUM(OSRRefD22_9x_0)</f>
        <v>254.25</v>
      </c>
      <c r="E92" s="1"/>
      <c r="F92" s="5">
        <f t="shared" ref="F92:F94" si="37">IF(D$12=0,0,D92/D$12)</f>
        <v>5.0696379829839628E-4</v>
      </c>
      <c r="G92" s="1"/>
      <c r="H92" s="1">
        <f>SUM(OSRRefH22_9x_0)</f>
        <v>280</v>
      </c>
      <c r="I92" s="1"/>
      <c r="J92" s="5">
        <f t="shared" ref="J92:J94" si="38">IF(H$12=0,0,H92/H$12)</f>
        <v>8.3386690888514971E-4</v>
      </c>
      <c r="K92" s="1"/>
      <c r="L92" s="1">
        <f t="shared" ref="L92:L94" si="39">+D92-H92</f>
        <v>-25.75</v>
      </c>
      <c r="M92" s="1"/>
      <c r="N92" s="5">
        <f t="shared" ref="N92:N94" si="40">IF(H92=0,0,L92/H92)</f>
        <v>-9.1964285714285721E-2</v>
      </c>
      <c r="O92" s="13"/>
      <c r="P92" s="1">
        <f>SUM(OSRRefP22_9x_0)</f>
        <v>431.3</v>
      </c>
      <c r="Q92" s="1"/>
      <c r="R92" s="5">
        <f t="shared" ref="R92:R94" si="41">IF(P$12=0,0,P92/P$12)</f>
        <v>4.9469378689722581E-4</v>
      </c>
      <c r="S92" s="1"/>
      <c r="T92" s="1">
        <f>SUM(OSRRefT22_9x_0)</f>
        <v>560</v>
      </c>
      <c r="U92" s="1"/>
      <c r="V92" s="5">
        <f t="shared" ref="V92:V94" si="42">IF(T$12=0,0,T92/T$12)</f>
        <v>7.4904563560534922E-4</v>
      </c>
      <c r="W92" s="1"/>
      <c r="X92" s="1">
        <f t="shared" ref="X92:X94" si="43">+P92-T92</f>
        <v>-128.69999999999999</v>
      </c>
      <c r="Y92" s="1"/>
      <c r="Z92" s="5">
        <f t="shared" ref="Z92:Z94" si="44">IF(T92=0,0,X92/T92)</f>
        <v>-0.22982142857142854</v>
      </c>
    </row>
    <row r="93" spans="1:26" s="24" customFormat="1" hidden="1" outlineLevel="2" x14ac:dyDescent="0.25">
      <c r="A93" s="27"/>
      <c r="B93" s="11" t="str">
        <f>CONCATENATE("          ", "6303", " - ", "DATA PHONE LINES")</f>
        <v xml:space="preserve">          6303 - DATA PHONE LINES</v>
      </c>
      <c r="C93" s="11"/>
      <c r="D93" s="6"/>
      <c r="E93" s="2"/>
      <c r="F93" s="7">
        <f t="shared" si="37"/>
        <v>0</v>
      </c>
      <c r="G93" s="2"/>
      <c r="H93" s="6">
        <v>280</v>
      </c>
      <c r="I93" s="2"/>
      <c r="J93" s="7">
        <f t="shared" si="38"/>
        <v>8.3386690888514971E-4</v>
      </c>
      <c r="K93" s="2"/>
      <c r="L93" s="6">
        <f t="shared" si="39"/>
        <v>-280</v>
      </c>
      <c r="M93" s="2"/>
      <c r="N93" s="7">
        <f t="shared" si="40"/>
        <v>-1</v>
      </c>
      <c r="O93" s="11"/>
      <c r="P93" s="6"/>
      <c r="Q93" s="2"/>
      <c r="R93" s="7">
        <f t="shared" si="41"/>
        <v>0</v>
      </c>
      <c r="S93" s="2"/>
      <c r="T93" s="6">
        <v>560</v>
      </c>
      <c r="U93" s="2"/>
      <c r="V93" s="7">
        <f t="shared" si="42"/>
        <v>7.4904563560534922E-4</v>
      </c>
      <c r="W93" s="2"/>
      <c r="X93" s="6">
        <f t="shared" si="43"/>
        <v>-560</v>
      </c>
      <c r="Y93" s="2"/>
      <c r="Z93" s="7">
        <f t="shared" si="44"/>
        <v>-1</v>
      </c>
    </row>
    <row r="94" spans="1:26" s="24" customFormat="1" hidden="1" outlineLevel="2" x14ac:dyDescent="0.25">
      <c r="A94" s="27"/>
      <c r="B94" s="11" t="str">
        <f>CONCATENATE("          ", "6309", " - ", "TELEPHONE")</f>
        <v xml:space="preserve">          6309 - TELEPHONE</v>
      </c>
      <c r="C94" s="11"/>
      <c r="D94" s="6">
        <v>254.25</v>
      </c>
      <c r="E94" s="2"/>
      <c r="F94" s="7">
        <f t="shared" si="37"/>
        <v>5.0696379829839628E-4</v>
      </c>
      <c r="G94" s="2"/>
      <c r="H94" s="6"/>
      <c r="I94" s="2"/>
      <c r="J94" s="7">
        <f t="shared" si="38"/>
        <v>0</v>
      </c>
      <c r="K94" s="2"/>
      <c r="L94" s="6">
        <f t="shared" si="39"/>
        <v>254.25</v>
      </c>
      <c r="M94" s="2"/>
      <c r="N94" s="7">
        <f t="shared" si="40"/>
        <v>0</v>
      </c>
      <c r="O94" s="11"/>
      <c r="P94" s="6">
        <v>431.3</v>
      </c>
      <c r="Q94" s="2"/>
      <c r="R94" s="7">
        <f t="shared" si="41"/>
        <v>4.9469378689722581E-4</v>
      </c>
      <c r="S94" s="2"/>
      <c r="T94" s="6"/>
      <c r="U94" s="2"/>
      <c r="V94" s="7">
        <f t="shared" si="42"/>
        <v>0</v>
      </c>
      <c r="W94" s="2"/>
      <c r="X94" s="6">
        <f t="shared" si="43"/>
        <v>431.3</v>
      </c>
      <c r="Y94" s="2"/>
      <c r="Z94" s="7">
        <f t="shared" si="44"/>
        <v>0</v>
      </c>
    </row>
    <row r="95" spans="1:26" s="26" customFormat="1" outlineLevel="1" collapsed="1" x14ac:dyDescent="0.25">
      <c r="A95" s="25"/>
      <c r="B95" s="13" t="str">
        <f>CONCATENATE("     ","Training                                          ")</f>
        <v xml:space="preserve">     Training                                          </v>
      </c>
      <c r="C95" s="13"/>
      <c r="D95" s="1">
        <f>SUM(OSRRefD22_10x_0)</f>
        <v>0</v>
      </c>
      <c r="E95" s="1"/>
      <c r="F95" s="5">
        <f t="shared" ref="F95:F96" si="45">IF(D$12=0,0,D95/D$12)</f>
        <v>0</v>
      </c>
      <c r="G95" s="1"/>
      <c r="H95" s="1">
        <f>SUM(OSRRefH22_10x_0)</f>
        <v>375</v>
      </c>
      <c r="I95" s="1"/>
      <c r="J95" s="5">
        <f t="shared" ref="J95:J96" si="46">IF(H$12=0,0,H95/H$12)</f>
        <v>1.1167860386854683E-3</v>
      </c>
      <c r="K95" s="1"/>
      <c r="L95" s="1">
        <f t="shared" ref="L95:L96" si="47">+D95-H95</f>
        <v>-375</v>
      </c>
      <c r="M95" s="1"/>
      <c r="N95" s="5">
        <f t="shared" ref="N95:N96" si="48">IF(H95=0,0,L95/H95)</f>
        <v>-1</v>
      </c>
      <c r="O95" s="13"/>
      <c r="P95" s="1">
        <f>SUM(OSRRefP22_10x_0)</f>
        <v>0</v>
      </c>
      <c r="Q95" s="1"/>
      <c r="R95" s="5">
        <f t="shared" ref="R95:R96" si="49">IF(P$12=0,0,P95/P$12)</f>
        <v>0</v>
      </c>
      <c r="S95" s="1"/>
      <c r="T95" s="1">
        <f>SUM(OSRRefT22_10x_0)</f>
        <v>750</v>
      </c>
      <c r="U95" s="1"/>
      <c r="V95" s="5">
        <f t="shared" ref="V95:V96" si="50">IF(T$12=0,0,T95/T$12)</f>
        <v>1.0031861191143071E-3</v>
      </c>
      <c r="W95" s="1"/>
      <c r="X95" s="1">
        <f t="shared" ref="X95:X96" si="51">+P95-T95</f>
        <v>-750</v>
      </c>
      <c r="Y95" s="1"/>
      <c r="Z95" s="5">
        <f t="shared" ref="Z95:Z96" si="52">IF(T95=0,0,X95/T95)</f>
        <v>-1</v>
      </c>
    </row>
    <row r="96" spans="1:26" s="24" customFormat="1" hidden="1" outlineLevel="2" x14ac:dyDescent="0.25">
      <c r="A96" s="27"/>
      <c r="B96" s="11" t="str">
        <f>CONCATENATE("          ", "6376", " - ", "TRAINING")</f>
        <v xml:space="preserve">          6376 - TRAINING</v>
      </c>
      <c r="C96" s="11"/>
      <c r="D96" s="6"/>
      <c r="E96" s="2"/>
      <c r="F96" s="7">
        <f t="shared" si="45"/>
        <v>0</v>
      </c>
      <c r="G96" s="2"/>
      <c r="H96" s="6">
        <v>375</v>
      </c>
      <c r="I96" s="2"/>
      <c r="J96" s="7">
        <f t="shared" si="46"/>
        <v>1.1167860386854683E-3</v>
      </c>
      <c r="K96" s="2"/>
      <c r="L96" s="6">
        <f t="shared" si="47"/>
        <v>-375</v>
      </c>
      <c r="M96" s="2"/>
      <c r="N96" s="7">
        <f t="shared" si="48"/>
        <v>-1</v>
      </c>
      <c r="O96" s="11"/>
      <c r="P96" s="6"/>
      <c r="Q96" s="2"/>
      <c r="R96" s="7">
        <f t="shared" si="49"/>
        <v>0</v>
      </c>
      <c r="S96" s="2"/>
      <c r="T96" s="6">
        <v>750</v>
      </c>
      <c r="U96" s="2"/>
      <c r="V96" s="7">
        <f t="shared" si="50"/>
        <v>1.0031861191143071E-3</v>
      </c>
      <c r="W96" s="2"/>
      <c r="X96" s="6">
        <f t="shared" si="51"/>
        <v>-750</v>
      </c>
      <c r="Y96" s="2"/>
      <c r="Z96" s="7">
        <f t="shared" si="52"/>
        <v>-1</v>
      </c>
    </row>
    <row r="97" spans="1:26" s="63" customFormat="1" x14ac:dyDescent="0.25">
      <c r="A97" s="36"/>
      <c r="B97" s="36"/>
      <c r="C97" s="36"/>
      <c r="D97" s="1"/>
      <c r="E97" s="1"/>
      <c r="F97" s="5"/>
      <c r="G97" s="1"/>
      <c r="H97" s="1"/>
      <c r="I97" s="1"/>
      <c r="J97" s="5"/>
      <c r="K97" s="1"/>
      <c r="L97" s="1"/>
      <c r="M97" s="1"/>
      <c r="N97" s="5"/>
      <c r="O97" s="36"/>
      <c r="P97" s="1"/>
      <c r="Q97" s="1"/>
      <c r="R97" s="5"/>
      <c r="S97" s="1"/>
      <c r="T97" s="1"/>
      <c r="U97" s="1"/>
      <c r="V97" s="5"/>
      <c r="W97" s="1"/>
      <c r="X97" s="1"/>
      <c r="Y97" s="1"/>
      <c r="Z97" s="5"/>
    </row>
    <row r="98" spans="1:26" s="23" customFormat="1" collapsed="1" x14ac:dyDescent="0.25">
      <c r="A98" s="10"/>
      <c r="B98" s="28" t="s">
        <v>0</v>
      </c>
      <c r="C98" s="10"/>
      <c r="D98" s="4">
        <f>SUM(OSRRefD25x_0)</f>
        <v>-3027.34</v>
      </c>
      <c r="E98" s="4"/>
      <c r="F98" s="12">
        <f t="shared" ref="F98:F101" si="53">IF(D$12=0,0,D98/D$12)</f>
        <v>-6.0363885354598511E-3</v>
      </c>
      <c r="G98" s="4"/>
      <c r="H98" s="4">
        <f>SUM(OSRRefH25x_0)</f>
        <v>2025</v>
      </c>
      <c r="I98" s="4"/>
      <c r="J98" s="12">
        <f t="shared" ref="J98:J101" si="54">IF(H$12=0,0,H98/H$12)</f>
        <v>6.030644608901529E-3</v>
      </c>
      <c r="K98" s="4"/>
      <c r="L98" s="4">
        <f t="shared" ref="L98:L101" si="55">+D98-H98</f>
        <v>-5052.34</v>
      </c>
      <c r="M98" s="4"/>
      <c r="N98" s="12">
        <f t="shared" ref="N98:N101" si="56">IF(H98=0,0,L98/H98)</f>
        <v>-2.4949827160493827</v>
      </c>
      <c r="O98" s="10"/>
      <c r="P98" s="4">
        <f>SUM(OSRRefP25x_0)</f>
        <v>-3009.54</v>
      </c>
      <c r="Q98" s="4"/>
      <c r="R98" s="12">
        <f t="shared" ref="R98:R101" si="57">IF(P$12=0,0,P98/P$12)</f>
        <v>-3.4518913503794966E-3</v>
      </c>
      <c r="S98" s="4"/>
      <c r="T98" s="4">
        <f>SUM(OSRRefT25x_0)</f>
        <v>3375</v>
      </c>
      <c r="U98" s="4"/>
      <c r="V98" s="12">
        <f t="shared" ref="V98:V101" si="58">IF(T$12=0,0,T98/T$12)</f>
        <v>4.5143375360143815E-3</v>
      </c>
      <c r="W98" s="4"/>
      <c r="X98" s="4">
        <f t="shared" ref="X98:X101" si="59">+P98-T98</f>
        <v>-6384.54</v>
      </c>
      <c r="Y98" s="4"/>
      <c r="Z98" s="12">
        <f t="shared" ref="Z98:Z101" si="60">IF(T98=0,0,X98/T98)</f>
        <v>-1.8917155555555556</v>
      </c>
    </row>
    <row r="99" spans="1:26" s="24" customFormat="1" hidden="1" outlineLevel="1" x14ac:dyDescent="0.25">
      <c r="A99" s="46"/>
      <c r="B99" s="11" t="str">
        <f>CONCATENATE("          ", "4187", " - ", "NON-TAXABLE SALES-COMPUTER REP")</f>
        <v xml:space="preserve">          4187 - NON-TAXABLE SALES-COMPUTER REP</v>
      </c>
      <c r="C99" s="11"/>
      <c r="D99" s="2">
        <f>--1700.37</f>
        <v>1700.37</v>
      </c>
      <c r="E99" s="2"/>
      <c r="F99" s="21">
        <f t="shared" si="53"/>
        <v>3.3904662092926019E-3</v>
      </c>
      <c r="G99" s="2"/>
      <c r="H99" s="2"/>
      <c r="I99" s="2"/>
      <c r="J99" s="21">
        <f t="shared" si="54"/>
        <v>0</v>
      </c>
      <c r="K99" s="2"/>
      <c r="L99" s="2">
        <f t="shared" si="55"/>
        <v>1700.37</v>
      </c>
      <c r="M99" s="2"/>
      <c r="N99" s="21">
        <f t="shared" si="56"/>
        <v>0</v>
      </c>
      <c r="O99" s="11"/>
      <c r="P99" s="2">
        <f>--2482.26</f>
        <v>2482.2600000000002</v>
      </c>
      <c r="Q99" s="2"/>
      <c r="R99" s="21">
        <f t="shared" si="57"/>
        <v>2.8471101309146948E-3</v>
      </c>
      <c r="S99" s="2"/>
      <c r="T99" s="2"/>
      <c r="U99" s="2"/>
      <c r="V99" s="21">
        <f t="shared" si="58"/>
        <v>0</v>
      </c>
      <c r="W99" s="2"/>
      <c r="X99" s="2">
        <f t="shared" si="59"/>
        <v>2482.2600000000002</v>
      </c>
      <c r="Y99" s="2"/>
      <c r="Z99" s="21">
        <f t="shared" si="60"/>
        <v>0</v>
      </c>
    </row>
    <row r="100" spans="1:26" s="24" customFormat="1" hidden="1" outlineLevel="1" x14ac:dyDescent="0.25">
      <c r="A100" s="46"/>
      <c r="B100" s="11" t="str">
        <f>CONCATENATE("          ", "4387", " - ", "SALES RETURN NON TAXABLE-COMPU")</f>
        <v xml:space="preserve">          4387 - SALES RETURN NON TAXABLE-COMPU</v>
      </c>
      <c r="C100" s="11"/>
      <c r="D100" s="2">
        <f>-2820.7</f>
        <v>-2820.7</v>
      </c>
      <c r="E100" s="2"/>
      <c r="F100" s="21">
        <f t="shared" si="53"/>
        <v>-5.6243570731967993E-3</v>
      </c>
      <c r="G100" s="2"/>
      <c r="H100" s="2"/>
      <c r="I100" s="2"/>
      <c r="J100" s="21">
        <f t="shared" si="54"/>
        <v>0</v>
      </c>
      <c r="K100" s="2"/>
      <c r="L100" s="2">
        <f t="shared" si="55"/>
        <v>-2820.7</v>
      </c>
      <c r="M100" s="2"/>
      <c r="N100" s="21">
        <f t="shared" si="56"/>
        <v>0</v>
      </c>
      <c r="O100" s="11"/>
      <c r="P100" s="2">
        <f>-3451.5</f>
        <v>-3451.5</v>
      </c>
      <c r="Q100" s="2"/>
      <c r="R100" s="21">
        <f t="shared" si="57"/>
        <v>-3.9588119765262579E-3</v>
      </c>
      <c r="S100" s="2"/>
      <c r="T100" s="2"/>
      <c r="U100" s="2"/>
      <c r="V100" s="21">
        <f t="shared" si="58"/>
        <v>0</v>
      </c>
      <c r="W100" s="2"/>
      <c r="X100" s="2">
        <f t="shared" si="59"/>
        <v>-3451.5</v>
      </c>
      <c r="Y100" s="2"/>
      <c r="Z100" s="21">
        <f t="shared" si="60"/>
        <v>0</v>
      </c>
    </row>
    <row r="101" spans="1:26" s="24" customFormat="1" hidden="1" outlineLevel="1" x14ac:dyDescent="0.25">
      <c r="A101" s="46"/>
      <c r="B101" s="11" t="str">
        <f>CONCATENATE("          ", "9150", " - ", "MISC. INCOME")</f>
        <v xml:space="preserve">          9150 - MISC. INCOME</v>
      </c>
      <c r="C101" s="11"/>
      <c r="D101" s="2">
        <f>-1907.01</f>
        <v>-1907.01</v>
      </c>
      <c r="E101" s="2"/>
      <c r="F101" s="21">
        <f t="shared" si="53"/>
        <v>-3.8024976715556528E-3</v>
      </c>
      <c r="G101" s="2"/>
      <c r="H101" s="2">
        <v>2025</v>
      </c>
      <c r="I101" s="2"/>
      <c r="J101" s="21">
        <f t="shared" si="54"/>
        <v>6.030644608901529E-3</v>
      </c>
      <c r="K101" s="2"/>
      <c r="L101" s="2">
        <f t="shared" si="55"/>
        <v>-3932.01</v>
      </c>
      <c r="M101" s="2"/>
      <c r="N101" s="21">
        <f t="shared" si="56"/>
        <v>-1.9417333333333335</v>
      </c>
      <c r="O101" s="11"/>
      <c r="P101" s="2">
        <f>-2040.3</f>
        <v>-2040.3</v>
      </c>
      <c r="Q101" s="2"/>
      <c r="R101" s="21">
        <f t="shared" si="57"/>
        <v>-2.3401895047679335E-3</v>
      </c>
      <c r="S101" s="2"/>
      <c r="T101" s="2">
        <v>3375</v>
      </c>
      <c r="U101" s="2"/>
      <c r="V101" s="21">
        <f t="shared" si="58"/>
        <v>4.5143375360143815E-3</v>
      </c>
      <c r="W101" s="2"/>
      <c r="X101" s="2">
        <f t="shared" si="59"/>
        <v>-5415.3</v>
      </c>
      <c r="Y101" s="2"/>
      <c r="Z101" s="21">
        <f t="shared" si="60"/>
        <v>-1.6045333333333334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10"/>
      <c r="B103" s="29" t="s">
        <v>3</v>
      </c>
      <c r="C103" s="29"/>
      <c r="D103" s="22">
        <f>+D52-D54+D98</f>
        <v>-21452.760000000078</v>
      </c>
      <c r="E103" s="14"/>
      <c r="F103" s="20">
        <f>IF(D$12=0,0,D103/D$12)</f>
        <v>-4.2775900466406856E-2</v>
      </c>
      <c r="G103" s="14"/>
      <c r="H103" s="22">
        <f>+H52-H54+H98</f>
        <v>58667.923831083077</v>
      </c>
      <c r="I103" s="14"/>
      <c r="J103" s="20">
        <f>IF(H$12=0,0,H103/H$12)</f>
        <v>0.1747187153419095</v>
      </c>
      <c r="K103" s="15"/>
      <c r="L103" s="22">
        <f>+D103-H103</f>
        <v>-80120.683831083152</v>
      </c>
      <c r="M103" s="15"/>
      <c r="N103" s="20">
        <f>IF(H103=0,0,L103/H103)</f>
        <v>-1.3656642096585341</v>
      </c>
      <c r="O103" s="28"/>
      <c r="P103" s="22">
        <f>+P52-P54+P98</f>
        <v>-18446.709999999985</v>
      </c>
      <c r="Q103" s="14"/>
      <c r="R103" s="20">
        <f>IF(P$12=0,0,P103/P$12)</f>
        <v>-2.1158063588441727E-2</v>
      </c>
      <c r="S103" s="14"/>
      <c r="T103" s="22">
        <f>+T52-T54+T98</f>
        <v>133909.94679418692</v>
      </c>
      <c r="U103" s="14"/>
      <c r="V103" s="20">
        <f>IF(T$12=0,0,T103/T$12)</f>
        <v>0.17911546644701828</v>
      </c>
      <c r="W103" s="15"/>
      <c r="X103" s="22">
        <f>+P103-T103</f>
        <v>-152356.65679418691</v>
      </c>
      <c r="Y103" s="15"/>
      <c r="Z103" s="20">
        <f>IF(T103=0,0,X103/T103)</f>
        <v>-1.1377545913624452</v>
      </c>
    </row>
    <row r="104" spans="1:26" x14ac:dyDescent="0.25">
      <c r="A104" s="9"/>
      <c r="B104" s="10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52"/>
      <c r="B105" s="10" t="s">
        <v>14</v>
      </c>
      <c r="C105" s="10"/>
      <c r="D105" s="4">
        <v>31700.05</v>
      </c>
      <c r="E105" s="4"/>
      <c r="F105" s="12">
        <f>IF(D$12=0,0,D105/D$12)</f>
        <v>6.320856540510944E-2</v>
      </c>
      <c r="G105" s="4"/>
      <c r="H105" s="4">
        <v>21049</v>
      </c>
      <c r="I105" s="4"/>
      <c r="J105" s="12">
        <f>IF(H$12=0,0,H105/H$12)</f>
        <v>6.268594487544113E-2</v>
      </c>
      <c r="K105" s="4"/>
      <c r="L105" s="4">
        <f>+D105-H105</f>
        <v>10651.05</v>
      </c>
      <c r="M105" s="4"/>
      <c r="N105" s="12">
        <f>IF(H105=0,0,L105/H105)</f>
        <v>0.50601216209796185</v>
      </c>
      <c r="O105" s="10"/>
      <c r="P105" s="4">
        <v>108704.09999999999</v>
      </c>
      <c r="Q105" s="4"/>
      <c r="R105" s="12">
        <f>IF(P$12=0,0,P105/P$12)</f>
        <v>0.12468175951832766</v>
      </c>
      <c r="S105" s="4"/>
      <c r="T105" s="4">
        <v>121415</v>
      </c>
      <c r="U105" s="4"/>
      <c r="V105" s="12">
        <f>IF(T$12=0,0,T105/T$12)</f>
        <v>0.1624024568696848</v>
      </c>
      <c r="W105" s="4"/>
      <c r="X105" s="4">
        <f>+P105-T105</f>
        <v>-12710.900000000009</v>
      </c>
      <c r="Y105" s="4"/>
      <c r="Z105" s="12">
        <f>IF(T105=0,0,X105/T105)</f>
        <v>-0.10468970061359806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ht="15.75" thickBot="1" x14ac:dyDescent="0.3">
      <c r="A107" s="10"/>
      <c r="B107" s="29" t="s">
        <v>4</v>
      </c>
      <c r="C107" s="29"/>
      <c r="D107" s="31">
        <f>+D103-D105</f>
        <v>-53152.810000000078</v>
      </c>
      <c r="E107" s="14"/>
      <c r="F107" s="32">
        <f>IF(D$12=0,0,D107/D$12)</f>
        <v>-0.1059844658715163</v>
      </c>
      <c r="G107" s="14"/>
      <c r="H107" s="31">
        <f>+H103-H105</f>
        <v>37618.923831083077</v>
      </c>
      <c r="I107" s="14"/>
      <c r="J107" s="32">
        <f>IF(H$12=0,0,H107/H$12)</f>
        <v>0.11203277046646835</v>
      </c>
      <c r="K107" s="15"/>
      <c r="L107" s="31">
        <f>D107-H107</f>
        <v>-90771.733831083155</v>
      </c>
      <c r="M107" s="15"/>
      <c r="N107" s="32">
        <f>IF(H107=0,0,L107/H107)</f>
        <v>-2.4129274467995798</v>
      </c>
      <c r="O107" s="28"/>
      <c r="P107" s="31">
        <f>+P103-P105</f>
        <v>-127150.80999999997</v>
      </c>
      <c r="Q107" s="14"/>
      <c r="R107" s="32">
        <f>IF(P$12=0,0,P107/P$12)</f>
        <v>-0.14583982310676938</v>
      </c>
      <c r="S107" s="14"/>
      <c r="T107" s="31">
        <f>+T103-T105</f>
        <v>12494.946794186922</v>
      </c>
      <c r="U107" s="14"/>
      <c r="V107" s="32">
        <f>IF(T$12=0,0,T107/T$12)</f>
        <v>1.6713009577333508E-2</v>
      </c>
      <c r="W107" s="15"/>
      <c r="X107" s="31">
        <f>P107-T107</f>
        <v>-139645.75679418689</v>
      </c>
      <c r="Y107" s="15"/>
      <c r="Z107" s="32">
        <f>IF(T107=0,0,X107/T107)</f>
        <v>-11.176178585982846</v>
      </c>
    </row>
    <row r="108" spans="1:26" ht="15.75" thickTop="1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x14ac:dyDescent="0.25">
      <c r="A109" s="9"/>
      <c r="B109" s="9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ht="15.75" thickBot="1" x14ac:dyDescent="0.3">
      <c r="A110" s="10"/>
      <c r="B110" s="29" t="s">
        <v>5</v>
      </c>
      <c r="C110" s="29"/>
      <c r="D110" s="33">
        <f>SUM(D107:D109)</f>
        <v>-53152.810000000078</v>
      </c>
      <c r="E110" s="14"/>
      <c r="F110" s="35">
        <f>IF(D$12=0,0,D110/D$12)</f>
        <v>-0.1059844658715163</v>
      </c>
      <c r="G110" s="14"/>
      <c r="H110" s="33">
        <f>SUM(H107:H109)</f>
        <v>37618.923831083077</v>
      </c>
      <c r="I110" s="14"/>
      <c r="J110" s="35">
        <f>IF(H$12=0,0,H110/H$12)</f>
        <v>0.11203277046646835</v>
      </c>
      <c r="K110" s="15"/>
      <c r="L110" s="33">
        <f>+D110-H110</f>
        <v>-90771.733831083155</v>
      </c>
      <c r="M110" s="15"/>
      <c r="N110" s="35">
        <f>IF(H110=0,0,L110/H110)</f>
        <v>-2.4129274467995798</v>
      </c>
      <c r="O110" s="28"/>
      <c r="P110" s="33">
        <f>SUM(P107:P109)</f>
        <v>-127150.80999999997</v>
      </c>
      <c r="Q110" s="14"/>
      <c r="R110" s="35">
        <f>IF(P$12=0,0,P110/P$12)</f>
        <v>-0.14583982310676938</v>
      </c>
      <c r="S110" s="14"/>
      <c r="T110" s="33">
        <f>SUM(T107:T109)</f>
        <v>12494.946794186922</v>
      </c>
      <c r="U110" s="14"/>
      <c r="V110" s="35">
        <f>IF(T$12=0,0,T110/T$12)</f>
        <v>1.6713009577333508E-2</v>
      </c>
      <c r="W110" s="15"/>
      <c r="X110" s="33">
        <f>+P110-T110</f>
        <v>-139645.75679418689</v>
      </c>
      <c r="Y110" s="15"/>
      <c r="Z110" s="35">
        <f>IF(T110=0,0,X110/T110)</f>
        <v>-11.176178585982846</v>
      </c>
    </row>
    <row r="111" spans="1:26" ht="15.75" thickTop="1" x14ac:dyDescent="0.25">
      <c r="A111" s="9"/>
      <c r="C111" s="9"/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61">
        <v>43732.706080787037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25">
      <c r="A113" s="9"/>
      <c r="B113" s="62" t="s">
        <v>314</v>
      </c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25">
      <c r="A114" s="9"/>
      <c r="B114" s="58"/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25"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307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128718.36000000002</v>
      </c>
      <c r="E12" s="4"/>
      <c r="F12" s="12"/>
      <c r="G12" s="4"/>
      <c r="H12" s="4">
        <f>SUM(OSRRefH13x_0)</f>
        <v>139109</v>
      </c>
      <c r="I12" s="4"/>
      <c r="J12" s="12"/>
      <c r="K12" s="4"/>
      <c r="L12" s="4">
        <f t="shared" ref="L12:L22" si="0">+D12-H12</f>
        <v>-10390.639999999985</v>
      </c>
      <c r="M12" s="4"/>
      <c r="N12" s="12">
        <f t="shared" ref="N12:N22" si="1">IF(H12=0,0,L12/H12)</f>
        <v>-7.4694232580206785E-2</v>
      </c>
      <c r="O12" s="10"/>
      <c r="P12" s="4">
        <f>SUM(OSRRefP13x_0)</f>
        <v>187543.3</v>
      </c>
      <c r="Q12" s="4"/>
      <c r="R12" s="12"/>
      <c r="S12" s="4"/>
      <c r="T12" s="4">
        <f>SUM(OSRRefT13x_0)</f>
        <v>198943.2</v>
      </c>
      <c r="U12" s="4"/>
      <c r="V12" s="12"/>
      <c r="W12" s="4"/>
      <c r="X12" s="4">
        <f t="shared" ref="X12:X22" si="2">+P12-T12</f>
        <v>-11399.900000000023</v>
      </c>
      <c r="Y12" s="4"/>
      <c r="Z12" s="12">
        <f t="shared" ref="Z12:Z22" si="3">IF(T12=0,0,X12/T12)</f>
        <v>-5.7302285275395305E-2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32462</v>
      </c>
      <c r="I13" s="2"/>
      <c r="J13" s="21"/>
      <c r="K13" s="2"/>
      <c r="L13" s="2">
        <f t="shared" si="0"/>
        <v>-32462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46650.2</v>
      </c>
      <c r="U13" s="2"/>
      <c r="V13" s="21"/>
      <c r="W13" s="2"/>
      <c r="X13" s="2">
        <f t="shared" si="2"/>
        <v>-46650.2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"4032", " - ", "TAXABLE SALES-JUICE")</f>
        <v xml:space="preserve">          4032 - TAXABLE SALES-JUICE</v>
      </c>
      <c r="C14" s="11"/>
      <c r="D14" s="2">
        <f>--17869.12</f>
        <v>17869.12</v>
      </c>
      <c r="E14" s="2"/>
      <c r="F14" s="21"/>
      <c r="G14" s="2"/>
      <c r="H14" s="2"/>
      <c r="I14" s="2"/>
      <c r="J14" s="21"/>
      <c r="K14" s="2"/>
      <c r="L14" s="2">
        <f t="shared" si="0"/>
        <v>17869.12</v>
      </c>
      <c r="M14" s="2"/>
      <c r="N14" s="21">
        <f t="shared" si="1"/>
        <v>0</v>
      </c>
      <c r="O14" s="11"/>
      <c r="P14" s="2">
        <f>--24749.38</f>
        <v>24749.38</v>
      </c>
      <c r="Q14" s="2"/>
      <c r="R14" s="21"/>
      <c r="S14" s="2"/>
      <c r="T14" s="2"/>
      <c r="U14" s="2"/>
      <c r="V14" s="21"/>
      <c r="W14" s="2"/>
      <c r="X14" s="2">
        <f t="shared" si="2"/>
        <v>24749.38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"4034", " - ", "TAXABLE SALES-SODA")</f>
        <v xml:space="preserve">          4034 - TAXABLE SALES-SODA</v>
      </c>
      <c r="C15" s="11"/>
      <c r="D15" s="2">
        <f>--357.65</f>
        <v>357.65</v>
      </c>
      <c r="E15" s="2"/>
      <c r="F15" s="21"/>
      <c r="G15" s="2"/>
      <c r="H15" s="2"/>
      <c r="I15" s="2"/>
      <c r="J15" s="21"/>
      <c r="K15" s="2"/>
      <c r="L15" s="2">
        <f t="shared" si="0"/>
        <v>357.65</v>
      </c>
      <c r="M15" s="2"/>
      <c r="N15" s="21">
        <f t="shared" si="1"/>
        <v>0</v>
      </c>
      <c r="O15" s="11"/>
      <c r="P15" s="2">
        <f>--646.4</f>
        <v>646.4</v>
      </c>
      <c r="Q15" s="2"/>
      <c r="R15" s="21"/>
      <c r="S15" s="2"/>
      <c r="T15" s="2"/>
      <c r="U15" s="2"/>
      <c r="V15" s="21"/>
      <c r="W15" s="2"/>
      <c r="X15" s="2">
        <f t="shared" si="2"/>
        <v>646.4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"4051", " - ", "TAXABLE SALES-FOOD")</f>
        <v xml:space="preserve">          4051 - TAXABLE SALES-FOOD</v>
      </c>
      <c r="C16" s="11"/>
      <c r="D16" s="2">
        <f>--7439.21</f>
        <v>7439.21</v>
      </c>
      <c r="E16" s="2"/>
      <c r="F16" s="21"/>
      <c r="G16" s="2"/>
      <c r="H16" s="2"/>
      <c r="I16" s="2"/>
      <c r="J16" s="21"/>
      <c r="K16" s="2"/>
      <c r="L16" s="2">
        <f t="shared" si="0"/>
        <v>7439.21</v>
      </c>
      <c r="M16" s="2"/>
      <c r="N16" s="21">
        <f t="shared" si="1"/>
        <v>0</v>
      </c>
      <c r="O16" s="11"/>
      <c r="P16" s="2">
        <f>--11166.88</f>
        <v>11166.88</v>
      </c>
      <c r="Q16" s="2"/>
      <c r="R16" s="21"/>
      <c r="S16" s="2"/>
      <c r="T16" s="2"/>
      <c r="U16" s="2"/>
      <c r="V16" s="21"/>
      <c r="W16" s="2"/>
      <c r="X16" s="2">
        <f t="shared" si="2"/>
        <v>11166.88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"4100", " - ", "NON-TAXABLE SALES")</f>
        <v xml:space="preserve">          4100 - NON-TAXABLE SALES</v>
      </c>
      <c r="C17" s="11"/>
      <c r="D17" s="2">
        <f>0</f>
        <v>0</v>
      </c>
      <c r="E17" s="2"/>
      <c r="F17" s="21"/>
      <c r="G17" s="2"/>
      <c r="H17" s="2">
        <v>106647</v>
      </c>
      <c r="I17" s="2"/>
      <c r="J17" s="21"/>
      <c r="K17" s="2"/>
      <c r="L17" s="2">
        <f t="shared" si="0"/>
        <v>-106647</v>
      </c>
      <c r="M17" s="2"/>
      <c r="N17" s="21">
        <f t="shared" si="1"/>
        <v>-1</v>
      </c>
      <c r="O17" s="11"/>
      <c r="P17" s="2">
        <f>0</f>
        <v>0</v>
      </c>
      <c r="Q17" s="2"/>
      <c r="R17" s="21"/>
      <c r="S17" s="2"/>
      <c r="T17" s="2">
        <v>152293</v>
      </c>
      <c r="U17" s="2"/>
      <c r="V17" s="21"/>
      <c r="W17" s="2"/>
      <c r="X17" s="2">
        <f t="shared" si="2"/>
        <v>-152293</v>
      </c>
      <c r="Y17" s="2"/>
      <c r="Z17" s="21">
        <f t="shared" si="3"/>
        <v>-1</v>
      </c>
    </row>
    <row r="18" spans="1:26" s="24" customFormat="1" hidden="1" outlineLevel="1" x14ac:dyDescent="0.25">
      <c r="A18" s="46"/>
      <c r="B18" s="11" t="str">
        <f>CONCATENATE("          ", "4132", " - ", "NON-TAXABLE SALES-JUICE")</f>
        <v xml:space="preserve">          4132 - NON-TAXABLE SALES-JUICE</v>
      </c>
      <c r="C18" s="11"/>
      <c r="D18" s="2">
        <f>--61911.21</f>
        <v>61911.21</v>
      </c>
      <c r="E18" s="2"/>
      <c r="F18" s="21"/>
      <c r="G18" s="2"/>
      <c r="H18" s="2"/>
      <c r="I18" s="2"/>
      <c r="J18" s="21"/>
      <c r="K18" s="2"/>
      <c r="L18" s="2">
        <f t="shared" si="0"/>
        <v>61911.21</v>
      </c>
      <c r="M18" s="2"/>
      <c r="N18" s="21">
        <f t="shared" si="1"/>
        <v>0</v>
      </c>
      <c r="O18" s="11"/>
      <c r="P18" s="2">
        <f>--93998.84</f>
        <v>93998.84</v>
      </c>
      <c r="Q18" s="2"/>
      <c r="R18" s="21"/>
      <c r="S18" s="2"/>
      <c r="T18" s="2"/>
      <c r="U18" s="2"/>
      <c r="V18" s="21"/>
      <c r="W18" s="2"/>
      <c r="X18" s="2">
        <f t="shared" si="2"/>
        <v>93998.84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"4134", " - ", "NON-TAXABLE SALES-SODA")</f>
        <v xml:space="preserve">          4134 - NON-TAXABLE SALES-SODA</v>
      </c>
      <c r="C19" s="11"/>
      <c r="D19" s="2">
        <f>0</f>
        <v>0</v>
      </c>
      <c r="E19" s="2"/>
      <c r="F19" s="21"/>
      <c r="G19" s="2"/>
      <c r="H19" s="2"/>
      <c r="I19" s="2"/>
      <c r="J19" s="21"/>
      <c r="K19" s="2"/>
      <c r="L19" s="2">
        <f t="shared" si="0"/>
        <v>0</v>
      </c>
      <c r="M19" s="2"/>
      <c r="N19" s="21">
        <f t="shared" si="1"/>
        <v>0</v>
      </c>
      <c r="O19" s="11"/>
      <c r="P19" s="2">
        <f>-3.39</f>
        <v>-3.39</v>
      </c>
      <c r="Q19" s="2"/>
      <c r="R19" s="21"/>
      <c r="S19" s="2"/>
      <c r="T19" s="2"/>
      <c r="U19" s="2"/>
      <c r="V19" s="21"/>
      <c r="W19" s="2"/>
      <c r="X19" s="2">
        <f t="shared" si="2"/>
        <v>-3.39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"4137", " - ", "NON-TAXABLE SALES-WATER")</f>
        <v xml:space="preserve">          4137 - NON-TAXABLE SALES-WATER</v>
      </c>
      <c r="C20" s="11"/>
      <c r="D20" s="2">
        <f>--173.02</f>
        <v>173.02</v>
      </c>
      <c r="E20" s="2"/>
      <c r="F20" s="21"/>
      <c r="G20" s="2"/>
      <c r="H20" s="2"/>
      <c r="I20" s="2"/>
      <c r="J20" s="21"/>
      <c r="K20" s="2"/>
      <c r="L20" s="2">
        <f t="shared" si="0"/>
        <v>173.02</v>
      </c>
      <c r="M20" s="2"/>
      <c r="N20" s="21">
        <f t="shared" si="1"/>
        <v>0</v>
      </c>
      <c r="O20" s="11"/>
      <c r="P20" s="2">
        <f>--383.52</f>
        <v>383.52</v>
      </c>
      <c r="Q20" s="2"/>
      <c r="R20" s="21"/>
      <c r="S20" s="2"/>
      <c r="T20" s="2"/>
      <c r="U20" s="2"/>
      <c r="V20" s="21"/>
      <c r="W20" s="2"/>
      <c r="X20" s="2">
        <f t="shared" si="2"/>
        <v>383.52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"4151", " - ", "NON-TAXABLE SALES-FOOD")</f>
        <v xml:space="preserve">          4151 - NON-TAXABLE SALES-FOOD</v>
      </c>
      <c r="C21" s="11"/>
      <c r="D21" s="2">
        <f>--40740.65</f>
        <v>40740.65</v>
      </c>
      <c r="E21" s="2"/>
      <c r="F21" s="21"/>
      <c r="G21" s="2"/>
      <c r="H21" s="2"/>
      <c r="I21" s="2"/>
      <c r="J21" s="21"/>
      <c r="K21" s="2"/>
      <c r="L21" s="2">
        <f t="shared" si="0"/>
        <v>40740.65</v>
      </c>
      <c r="M21" s="2"/>
      <c r="N21" s="21">
        <f t="shared" si="1"/>
        <v>0</v>
      </c>
      <c r="O21" s="11"/>
      <c r="P21" s="2">
        <f>--56137.17</f>
        <v>56137.17</v>
      </c>
      <c r="Q21" s="2"/>
      <c r="R21" s="21"/>
      <c r="S21" s="2"/>
      <c r="T21" s="2"/>
      <c r="U21" s="2"/>
      <c r="V21" s="21"/>
      <c r="W21" s="2"/>
      <c r="X21" s="2">
        <f t="shared" si="2"/>
        <v>56137.17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"4153", " - ", "NON-TAXABLE SALES-FOOD")</f>
        <v xml:space="preserve">          4153 - NON-TAXABLE SALES-FOOD</v>
      </c>
      <c r="C22" s="11"/>
      <c r="D22" s="2">
        <f>--227.5</f>
        <v>227.5</v>
      </c>
      <c r="E22" s="2"/>
      <c r="F22" s="21"/>
      <c r="G22" s="2"/>
      <c r="H22" s="2"/>
      <c r="I22" s="2"/>
      <c r="J22" s="21"/>
      <c r="K22" s="2"/>
      <c r="L22" s="2">
        <f t="shared" si="0"/>
        <v>227.5</v>
      </c>
      <c r="M22" s="2"/>
      <c r="N22" s="21">
        <f t="shared" si="1"/>
        <v>0</v>
      </c>
      <c r="O22" s="11"/>
      <c r="P22" s="2">
        <f>--464.5</f>
        <v>464.5</v>
      </c>
      <c r="Q22" s="2"/>
      <c r="R22" s="21"/>
      <c r="S22" s="2"/>
      <c r="T22" s="2"/>
      <c r="U22" s="2"/>
      <c r="V22" s="21"/>
      <c r="W22" s="2"/>
      <c r="X22" s="2">
        <f t="shared" si="2"/>
        <v>464.5</v>
      </c>
      <c r="Y22" s="2"/>
      <c r="Z22" s="21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8" t="s">
        <v>8</v>
      </c>
      <c r="C24" s="10"/>
      <c r="D24" s="4">
        <f>SUM(OSRRefD16x_0)</f>
        <v>66198.5</v>
      </c>
      <c r="E24" s="4"/>
      <c r="F24" s="12">
        <f t="shared" ref="F24:F27" si="4">IF(D$12=0,0,D24/D$12)</f>
        <v>0.51428949219054676</v>
      </c>
      <c r="G24" s="4"/>
      <c r="H24" s="4">
        <f>SUM(OSRRefH16x_0)</f>
        <v>66984</v>
      </c>
      <c r="I24" s="4"/>
      <c r="J24" s="12">
        <f t="shared" ref="J24:J27" si="5">IF(H$12=0,0,H24/H$12)</f>
        <v>0.48152168443450821</v>
      </c>
      <c r="K24" s="4"/>
      <c r="L24" s="4">
        <f t="shared" ref="L24:L27" si="6">+D24-H24</f>
        <v>-785.5</v>
      </c>
      <c r="M24" s="4"/>
      <c r="N24" s="12">
        <f t="shared" ref="N24:N27" si="7">IF(H24=0,0,L24/H24)</f>
        <v>-1.172668099844739E-2</v>
      </c>
      <c r="O24" s="10"/>
      <c r="P24" s="4">
        <f>SUM(OSRRefP16x_0)</f>
        <v>91464.82</v>
      </c>
      <c r="Q24" s="4"/>
      <c r="R24" s="12">
        <f t="shared" ref="R24:R27" si="8">IF(P$12=0,0,P24/P$12)</f>
        <v>0.4876997472050455</v>
      </c>
      <c r="S24" s="4"/>
      <c r="T24" s="4">
        <f>SUM(OSRRefT16x_0)</f>
        <v>95772</v>
      </c>
      <c r="U24" s="4"/>
      <c r="V24" s="12">
        <f t="shared" ref="V24:V27" si="9">IF(T$12=0,0,T24/T$12)</f>
        <v>0.48140373734814756</v>
      </c>
      <c r="W24" s="4"/>
      <c r="X24" s="4">
        <f t="shared" ref="X24:X27" si="10">+P24-T24</f>
        <v>-4307.179999999993</v>
      </c>
      <c r="Y24" s="4"/>
      <c r="Z24" s="12">
        <f t="shared" ref="Z24:Z27" si="11">IF(T24=0,0,X24/T24)</f>
        <v>-4.4973269849225173E-2</v>
      </c>
    </row>
    <row r="25" spans="1:26" s="24" customFormat="1" hidden="1" outlineLevel="1" x14ac:dyDescent="0.25">
      <c r="A25" s="46"/>
      <c r="B25" s="11" t="str">
        <f>CONCATENATE("          ", "5000", " - ", "PURCHASES @ COST")</f>
        <v xml:space="preserve">          5000 - PURCHASES @ COST</v>
      </c>
      <c r="C25" s="11"/>
      <c r="D25" s="2"/>
      <c r="E25" s="2"/>
      <c r="F25" s="21">
        <f t="shared" si="4"/>
        <v>0</v>
      </c>
      <c r="G25" s="2"/>
      <c r="H25" s="2">
        <v>66984</v>
      </c>
      <c r="I25" s="2"/>
      <c r="J25" s="21">
        <f t="shared" si="5"/>
        <v>0.48152168443450821</v>
      </c>
      <c r="K25" s="2"/>
      <c r="L25" s="2">
        <f t="shared" si="6"/>
        <v>-66984</v>
      </c>
      <c r="M25" s="2"/>
      <c r="N25" s="21">
        <f t="shared" si="7"/>
        <v>-1</v>
      </c>
      <c r="O25" s="11"/>
      <c r="P25" s="2"/>
      <c r="Q25" s="2"/>
      <c r="R25" s="21">
        <f t="shared" si="8"/>
        <v>0</v>
      </c>
      <c r="S25" s="2"/>
      <c r="T25" s="2">
        <v>95772</v>
      </c>
      <c r="U25" s="2"/>
      <c r="V25" s="21">
        <f t="shared" si="9"/>
        <v>0.48140373734814756</v>
      </c>
      <c r="W25" s="2"/>
      <c r="X25" s="2">
        <f t="shared" si="10"/>
        <v>-95772</v>
      </c>
      <c r="Y25" s="2"/>
      <c r="Z25" s="21">
        <f t="shared" si="11"/>
        <v>-1</v>
      </c>
    </row>
    <row r="26" spans="1:26" s="24" customFormat="1" hidden="1" outlineLevel="1" x14ac:dyDescent="0.25">
      <c r="A26" s="46"/>
      <c r="B26" s="11" t="str">
        <f>CONCATENATE("          ", "5053", " - ", "PURCHASES @ COST-FOOD")</f>
        <v xml:space="preserve">          5053 - PURCHASES @ COST-FOOD</v>
      </c>
      <c r="C26" s="11"/>
      <c r="D26" s="2">
        <v>95948.59</v>
      </c>
      <c r="E26" s="2"/>
      <c r="F26" s="21">
        <f t="shared" si="4"/>
        <v>0.74541495090521648</v>
      </c>
      <c r="G26" s="2"/>
      <c r="H26" s="2"/>
      <c r="I26" s="2"/>
      <c r="J26" s="21">
        <f t="shared" si="5"/>
        <v>0</v>
      </c>
      <c r="K26" s="2"/>
      <c r="L26" s="2">
        <f t="shared" si="6"/>
        <v>95948.59</v>
      </c>
      <c r="M26" s="2"/>
      <c r="N26" s="21">
        <f t="shared" si="7"/>
        <v>0</v>
      </c>
      <c r="O26" s="11"/>
      <c r="P26" s="2">
        <v>137505.66</v>
      </c>
      <c r="Q26" s="2"/>
      <c r="R26" s="21">
        <f t="shared" si="8"/>
        <v>0.73319420101917798</v>
      </c>
      <c r="S26" s="2"/>
      <c r="T26" s="2"/>
      <c r="U26" s="2"/>
      <c r="V26" s="21">
        <f t="shared" si="9"/>
        <v>0</v>
      </c>
      <c r="W26" s="2"/>
      <c r="X26" s="2">
        <f t="shared" si="10"/>
        <v>137505.66</v>
      </c>
      <c r="Y26" s="2"/>
      <c r="Z26" s="21">
        <f t="shared" si="11"/>
        <v>0</v>
      </c>
    </row>
    <row r="27" spans="1:26" s="24" customFormat="1" hidden="1" outlineLevel="1" x14ac:dyDescent="0.25">
      <c r="A27" s="46"/>
      <c r="B27" s="11" t="str">
        <f>CONCATENATE("          ", "5059", " - ", "PURCHASES @ COST-FOOD")</f>
        <v xml:space="preserve">          5059 - PURCHASES @ COST-FOOD</v>
      </c>
      <c r="C27" s="11"/>
      <c r="D27" s="2">
        <v>-29750.09</v>
      </c>
      <c r="E27" s="2"/>
      <c r="F27" s="21">
        <f t="shared" si="4"/>
        <v>-0.23112545871466975</v>
      </c>
      <c r="G27" s="2"/>
      <c r="H27" s="2"/>
      <c r="I27" s="2"/>
      <c r="J27" s="21">
        <f t="shared" si="5"/>
        <v>0</v>
      </c>
      <c r="K27" s="2"/>
      <c r="L27" s="2">
        <f t="shared" si="6"/>
        <v>-29750.09</v>
      </c>
      <c r="M27" s="2"/>
      <c r="N27" s="21">
        <f t="shared" si="7"/>
        <v>0</v>
      </c>
      <c r="O27" s="11"/>
      <c r="P27" s="2">
        <v>-46040.84</v>
      </c>
      <c r="Q27" s="2"/>
      <c r="R27" s="21">
        <f t="shared" si="8"/>
        <v>-0.24549445381413251</v>
      </c>
      <c r="S27" s="2"/>
      <c r="T27" s="2"/>
      <c r="U27" s="2"/>
      <c r="V27" s="21">
        <f t="shared" si="9"/>
        <v>0</v>
      </c>
      <c r="W27" s="2"/>
      <c r="X27" s="2">
        <f t="shared" si="10"/>
        <v>-46040.84</v>
      </c>
      <c r="Y27" s="2"/>
      <c r="Z27" s="21">
        <f t="shared" si="11"/>
        <v>0</v>
      </c>
    </row>
    <row r="28" spans="1:26" x14ac:dyDescent="0.25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10"/>
      <c r="B29" s="29" t="s">
        <v>6</v>
      </c>
      <c r="C29" s="29"/>
      <c r="D29" s="22">
        <f>D12-D24</f>
        <v>62519.860000000015</v>
      </c>
      <c r="E29" s="14"/>
      <c r="F29" s="20">
        <f>IF(D$12=0,0,D29/D$12)</f>
        <v>0.48571050780945318</v>
      </c>
      <c r="G29" s="14"/>
      <c r="H29" s="22">
        <f>H12-H24</f>
        <v>72125</v>
      </c>
      <c r="I29" s="14"/>
      <c r="J29" s="20">
        <f>IF(H$12=0,0,H29/H$12)</f>
        <v>0.51847831556549184</v>
      </c>
      <c r="K29" s="15"/>
      <c r="L29" s="22">
        <f>+D29-H29</f>
        <v>-9605.1399999999849</v>
      </c>
      <c r="M29" s="15"/>
      <c r="N29" s="20">
        <f>IF(H29=0,0,L29/H29)</f>
        <v>-0.13317351819757345</v>
      </c>
      <c r="O29" s="28"/>
      <c r="P29" s="22">
        <f>P12-P24</f>
        <v>96078.479999999981</v>
      </c>
      <c r="Q29" s="14"/>
      <c r="R29" s="20">
        <f>IF(P$12=0,0,P29/P$12)</f>
        <v>0.5123002527949545</v>
      </c>
      <c r="S29" s="14"/>
      <c r="T29" s="22">
        <f>T12-T24</f>
        <v>103171.20000000001</v>
      </c>
      <c r="U29" s="14"/>
      <c r="V29" s="20">
        <f>IF(T$12=0,0,T29/T$12)</f>
        <v>0.51859626265185244</v>
      </c>
      <c r="W29" s="15"/>
      <c r="X29" s="22">
        <f>+P29-T29</f>
        <v>-7092.7200000000303</v>
      </c>
      <c r="Y29" s="15"/>
      <c r="Z29" s="20">
        <f>IF(T29=0,0,X29/T29)</f>
        <v>-6.8747092211780311E-2</v>
      </c>
    </row>
    <row r="30" spans="1:26" x14ac:dyDescent="0.25">
      <c r="A30" s="9"/>
      <c r="B30" s="10"/>
      <c r="C30" s="9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6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25">
      <c r="A31" s="10"/>
      <c r="B31" s="28" t="s">
        <v>9</v>
      </c>
      <c r="C31" s="10"/>
      <c r="D31" s="19">
        <f>SUM(OSRRefD22x_0)</f>
        <v>87745.76999999999</v>
      </c>
      <c r="E31" s="19"/>
      <c r="F31" s="34">
        <f t="shared" ref="F31:F41" si="12">IF(D$12=0,0,D31/D$12)</f>
        <v>0.68168806687717265</v>
      </c>
      <c r="G31" s="19"/>
      <c r="H31" s="19">
        <f>SUM(OSRRefH22x_0)</f>
        <v>78515.48468838846</v>
      </c>
      <c r="I31" s="19"/>
      <c r="J31" s="34">
        <f t="shared" ref="J31:J41" si="13">IF(H$12=0,0,H31/H$12)</f>
        <v>0.56441700169211528</v>
      </c>
      <c r="K31" s="4"/>
      <c r="L31" s="19">
        <f t="shared" ref="L31:L41" si="14">+D31-H31</f>
        <v>9230.2853116115293</v>
      </c>
      <c r="M31" s="4"/>
      <c r="N31" s="34">
        <f t="shared" ref="N31:N41" si="15">IF(H31=0,0,L31/H31)</f>
        <v>0.11756006281110792</v>
      </c>
      <c r="O31" s="10"/>
      <c r="P31" s="19">
        <f>SUM(OSRRefP22x_0)</f>
        <v>172469.44999999995</v>
      </c>
      <c r="Q31" s="19"/>
      <c r="R31" s="34">
        <f t="shared" ref="R31:R41" si="16">IF(P$12=0,0,P31/P$12)</f>
        <v>0.91962469467051056</v>
      </c>
      <c r="S31" s="19"/>
      <c r="T31" s="19">
        <f>SUM(OSRRefT22x_0)</f>
        <v>153145.75497981155</v>
      </c>
      <c r="U31" s="19"/>
      <c r="V31" s="34">
        <f t="shared" ref="V31:V41" si="17">IF(T$12=0,0,T31/T$12)</f>
        <v>0.76979637896551145</v>
      </c>
      <c r="W31" s="4"/>
      <c r="X31" s="19">
        <f t="shared" ref="X31:X41" si="18">+P31-T31</f>
        <v>19323.695020188403</v>
      </c>
      <c r="Y31" s="4"/>
      <c r="Z31" s="34">
        <f t="shared" ref="Z31:Z41" si="19">IF(T31=0,0,X31/T31)</f>
        <v>0.12617845674361494</v>
      </c>
    </row>
    <row r="32" spans="1:26" s="26" customFormat="1" outlineLevel="1" collapsed="1" x14ac:dyDescent="0.25">
      <c r="A32" s="25"/>
      <c r="B32" s="13" t="str">
        <f>CONCATENATE("     ","*Benefits                                         ")</f>
        <v xml:space="preserve">     *Benefits                                         </v>
      </c>
      <c r="C32" s="13"/>
      <c r="D32" s="1">
        <f>SUM(OSRRefD22_0x_0)</f>
        <v>13737.33</v>
      </c>
      <c r="E32" s="1"/>
      <c r="F32" s="5">
        <f t="shared" si="12"/>
        <v>0.10672393588606939</v>
      </c>
      <c r="G32" s="1"/>
      <c r="H32" s="1">
        <f>SUM(OSRRefH22_0x_0)</f>
        <v>11802.965976849999</v>
      </c>
      <c r="I32" s="1"/>
      <c r="J32" s="5">
        <f t="shared" si="13"/>
        <v>8.484688968255108E-2</v>
      </c>
      <c r="K32" s="1"/>
      <c r="L32" s="1">
        <f t="shared" si="14"/>
        <v>1934.3640231500012</v>
      </c>
      <c r="M32" s="1"/>
      <c r="N32" s="5">
        <f t="shared" si="15"/>
        <v>0.16388796061464617</v>
      </c>
      <c r="O32" s="13"/>
      <c r="P32" s="1">
        <f>SUM(OSRRefP22_0x_0)</f>
        <v>28188.079999999998</v>
      </c>
      <c r="Q32" s="1"/>
      <c r="R32" s="5">
        <f t="shared" si="16"/>
        <v>0.1503017169901564</v>
      </c>
      <c r="S32" s="1"/>
      <c r="T32" s="1">
        <f>SUM(OSRRefT22_0x_0)</f>
        <v>25141.00819135</v>
      </c>
      <c r="U32" s="1"/>
      <c r="V32" s="5">
        <f t="shared" si="17"/>
        <v>0.12637279480449695</v>
      </c>
      <c r="W32" s="1"/>
      <c r="X32" s="1">
        <f t="shared" si="18"/>
        <v>3047.0718086499983</v>
      </c>
      <c r="Y32" s="1"/>
      <c r="Z32" s="5">
        <f t="shared" si="19"/>
        <v>0.12119926875877524</v>
      </c>
    </row>
    <row r="33" spans="1:26" s="24" customFormat="1" hidden="1" outlineLevel="2" x14ac:dyDescent="0.25">
      <c r="A33" s="27"/>
      <c r="B33" s="11" t="str">
        <f>CONCATENATE("          ", "6111", " - ", "F.I.C.A.")</f>
        <v xml:space="preserve">          6111 - F.I.C.A.</v>
      </c>
      <c r="C33" s="11"/>
      <c r="D33" s="6">
        <v>2537.65</v>
      </c>
      <c r="E33" s="2"/>
      <c r="F33" s="7">
        <f t="shared" si="12"/>
        <v>1.9714747764033039E-2</v>
      </c>
      <c r="G33" s="2"/>
      <c r="H33" s="6">
        <v>1600.9468763884609</v>
      </c>
      <c r="I33" s="2"/>
      <c r="J33" s="7">
        <f t="shared" si="13"/>
        <v>1.1508578714450258E-2</v>
      </c>
      <c r="K33" s="2"/>
      <c r="L33" s="6">
        <f t="shared" si="14"/>
        <v>936.70312361153924</v>
      </c>
      <c r="M33" s="2"/>
      <c r="N33" s="7">
        <f t="shared" si="15"/>
        <v>0.58509319542483895</v>
      </c>
      <c r="O33" s="11"/>
      <c r="P33" s="6">
        <v>4745.0600000000004</v>
      </c>
      <c r="Q33" s="2"/>
      <c r="R33" s="7">
        <f t="shared" si="16"/>
        <v>2.5301143789194284E-2</v>
      </c>
      <c r="S33" s="2"/>
      <c r="T33" s="6">
        <v>4383.1741278115378</v>
      </c>
      <c r="U33" s="2"/>
      <c r="V33" s="7">
        <f t="shared" si="17"/>
        <v>2.2032289255483662E-2</v>
      </c>
      <c r="W33" s="2"/>
      <c r="X33" s="6">
        <f t="shared" si="18"/>
        <v>361.8858721884626</v>
      </c>
      <c r="Y33" s="2"/>
      <c r="Z33" s="7">
        <f t="shared" si="19"/>
        <v>8.2562513291970799E-2</v>
      </c>
    </row>
    <row r="34" spans="1:26" s="24" customFormat="1" hidden="1" outlineLevel="2" x14ac:dyDescent="0.25">
      <c r="A34" s="27"/>
      <c r="B34" s="11" t="str">
        <f>CONCATENATE("          ", "6112", " - ", "COMPENSATION INSURANCE")</f>
        <v xml:space="preserve">          6112 - COMPENSATION INSURANCE</v>
      </c>
      <c r="C34" s="11"/>
      <c r="D34" s="6">
        <v>791.53</v>
      </c>
      <c r="E34" s="2"/>
      <c r="F34" s="7">
        <f t="shared" si="12"/>
        <v>6.1493170049711629E-3</v>
      </c>
      <c r="G34" s="2"/>
      <c r="H34" s="6">
        <v>794.79292423076959</v>
      </c>
      <c r="I34" s="2"/>
      <c r="J34" s="7">
        <f t="shared" si="13"/>
        <v>5.7134543719728386E-3</v>
      </c>
      <c r="K34" s="2"/>
      <c r="L34" s="6">
        <f t="shared" si="14"/>
        <v>-3.2629242307696131</v>
      </c>
      <c r="M34" s="2"/>
      <c r="N34" s="7">
        <f t="shared" si="15"/>
        <v>-4.1053765468881016E-3</v>
      </c>
      <c r="O34" s="11"/>
      <c r="P34" s="6">
        <v>1489.12</v>
      </c>
      <c r="Q34" s="2"/>
      <c r="R34" s="7">
        <f t="shared" si="16"/>
        <v>7.9401396904074956E-3</v>
      </c>
      <c r="S34" s="2"/>
      <c r="T34" s="6">
        <v>1485.5327357692313</v>
      </c>
      <c r="U34" s="2"/>
      <c r="V34" s="7">
        <f t="shared" si="17"/>
        <v>7.4671199406123514E-3</v>
      </c>
      <c r="W34" s="2"/>
      <c r="X34" s="6">
        <f t="shared" si="18"/>
        <v>3.5872642307685965</v>
      </c>
      <c r="Y34" s="2"/>
      <c r="Z34" s="7">
        <f t="shared" si="19"/>
        <v>2.4147998521964961E-3</v>
      </c>
    </row>
    <row r="35" spans="1:26" s="24" customFormat="1" hidden="1" outlineLevel="2" x14ac:dyDescent="0.25">
      <c r="A35" s="27"/>
      <c r="B35" s="11" t="str">
        <f>CONCATENATE("          ", "6113", " - ", "GROUP INSURANCE")</f>
        <v xml:space="preserve">          6113 - GROUP INSURANCE</v>
      </c>
      <c r="C35" s="11"/>
      <c r="D35" s="6">
        <v>6378.17</v>
      </c>
      <c r="E35" s="2"/>
      <c r="F35" s="7">
        <f t="shared" si="12"/>
        <v>4.9551361592860561E-2</v>
      </c>
      <c r="G35" s="2"/>
      <c r="H35" s="6">
        <v>5998</v>
      </c>
      <c r="I35" s="2"/>
      <c r="J35" s="7">
        <f t="shared" si="13"/>
        <v>4.3117267754063361E-2</v>
      </c>
      <c r="K35" s="2"/>
      <c r="L35" s="6">
        <f t="shared" si="14"/>
        <v>380.17000000000007</v>
      </c>
      <c r="M35" s="2"/>
      <c r="N35" s="7">
        <f t="shared" si="15"/>
        <v>6.3382794264754933E-2</v>
      </c>
      <c r="O35" s="11"/>
      <c r="P35" s="6">
        <v>13223.99</v>
      </c>
      <c r="Q35" s="2"/>
      <c r="R35" s="7">
        <f t="shared" si="16"/>
        <v>7.0511663173251193E-2</v>
      </c>
      <c r="S35" s="2"/>
      <c r="T35" s="6">
        <v>11996</v>
      </c>
      <c r="U35" s="2"/>
      <c r="V35" s="7">
        <f t="shared" si="17"/>
        <v>6.0298617896967575E-2</v>
      </c>
      <c r="W35" s="2"/>
      <c r="X35" s="6">
        <f t="shared" si="18"/>
        <v>1227.9899999999998</v>
      </c>
      <c r="Y35" s="2"/>
      <c r="Z35" s="7">
        <f t="shared" si="19"/>
        <v>0.10236662220740245</v>
      </c>
    </row>
    <row r="36" spans="1:26" s="24" customFormat="1" hidden="1" outlineLevel="2" x14ac:dyDescent="0.25">
      <c r="A36" s="27"/>
      <c r="B36" s="11" t="str">
        <f>CONCATENATE("          ", "6114", " - ", "STATE UNEMPLOYMENT INSURANCE")</f>
        <v xml:space="preserve">          6114 - STATE UNEMPLOYMENT INSURANCE</v>
      </c>
      <c r="C36" s="11"/>
      <c r="D36" s="6">
        <v>87.97</v>
      </c>
      <c r="E36" s="2"/>
      <c r="F36" s="7">
        <f t="shared" si="12"/>
        <v>6.8343008720745031E-4</v>
      </c>
      <c r="G36" s="2"/>
      <c r="H36" s="6">
        <v>108.76113700000001</v>
      </c>
      <c r="I36" s="2"/>
      <c r="J36" s="7">
        <f t="shared" si="13"/>
        <v>7.8184112458575656E-4</v>
      </c>
      <c r="K36" s="2"/>
      <c r="L36" s="6">
        <f t="shared" si="14"/>
        <v>-20.791137000000006</v>
      </c>
      <c r="M36" s="2"/>
      <c r="N36" s="7">
        <f t="shared" si="15"/>
        <v>-0.19116329208658425</v>
      </c>
      <c r="O36" s="11"/>
      <c r="P36" s="6">
        <v>166.4</v>
      </c>
      <c r="Q36" s="2"/>
      <c r="R36" s="7">
        <f t="shared" si="16"/>
        <v>8.8726176834896266E-4</v>
      </c>
      <c r="S36" s="2"/>
      <c r="T36" s="6">
        <v>203.28342699999999</v>
      </c>
      <c r="U36" s="2"/>
      <c r="V36" s="7">
        <f t="shared" si="17"/>
        <v>1.0218164129259003E-3</v>
      </c>
      <c r="W36" s="2"/>
      <c r="X36" s="6">
        <f t="shared" si="18"/>
        <v>-36.883426999999983</v>
      </c>
      <c r="Y36" s="2"/>
      <c r="Z36" s="7">
        <f t="shared" si="19"/>
        <v>-0.18143843570681237</v>
      </c>
    </row>
    <row r="37" spans="1:26" s="24" customFormat="1" hidden="1" outlineLevel="2" x14ac:dyDescent="0.25">
      <c r="A37" s="27"/>
      <c r="B37" s="11" t="str">
        <f>CONCATENATE("          ", "6115", " - ", "P.E.R.S.")</f>
        <v xml:space="preserve">          6115 - P.E.R.S.</v>
      </c>
      <c r="C37" s="11"/>
      <c r="D37" s="6">
        <v>1497.9</v>
      </c>
      <c r="E37" s="2"/>
      <c r="F37" s="7">
        <f t="shared" si="12"/>
        <v>1.1637034530272138E-2</v>
      </c>
      <c r="G37" s="2"/>
      <c r="H37" s="6">
        <v>1499.133212307692</v>
      </c>
      <c r="I37" s="2"/>
      <c r="J37" s="7">
        <f t="shared" si="13"/>
        <v>1.0776680245761899E-2</v>
      </c>
      <c r="K37" s="2"/>
      <c r="L37" s="6">
        <f t="shared" si="14"/>
        <v>-1.2332123076919288</v>
      </c>
      <c r="M37" s="2"/>
      <c r="N37" s="7">
        <f t="shared" si="15"/>
        <v>-8.2261689459443193E-4</v>
      </c>
      <c r="O37" s="11"/>
      <c r="P37" s="6">
        <v>2995.8</v>
      </c>
      <c r="Q37" s="2"/>
      <c r="R37" s="7">
        <f t="shared" si="16"/>
        <v>1.597391109146528E-2</v>
      </c>
      <c r="S37" s="2"/>
      <c r="T37" s="6">
        <v>3373.0497276923079</v>
      </c>
      <c r="U37" s="2"/>
      <c r="V37" s="7">
        <f t="shared" si="17"/>
        <v>1.6954838002466572E-2</v>
      </c>
      <c r="W37" s="2"/>
      <c r="X37" s="6">
        <f t="shared" si="18"/>
        <v>-377.24972769230772</v>
      </c>
      <c r="Y37" s="2"/>
      <c r="Z37" s="7">
        <f t="shared" si="19"/>
        <v>-0.11184232612852861</v>
      </c>
    </row>
    <row r="38" spans="1:26" s="24" customFormat="1" hidden="1" outlineLevel="2" x14ac:dyDescent="0.25">
      <c r="A38" s="27"/>
      <c r="B38" s="11" t="str">
        <f>CONCATENATE("          ", "6116", " - ", "EDUCATIONAL BENEFITS")</f>
        <v xml:space="preserve">          6116 - EDUCATIONAL BENEFITS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7"/>
      <c r="B39" s="11" t="str">
        <f>CONCATENATE("          ", "6118", " - ", "VACATION")</f>
        <v xml:space="preserve">          6118 - VACATION</v>
      </c>
      <c r="C39" s="11"/>
      <c r="D39" s="6">
        <v>1056.98</v>
      </c>
      <c r="E39" s="2"/>
      <c r="F39" s="7">
        <f t="shared" si="12"/>
        <v>8.2115713717918707E-3</v>
      </c>
      <c r="G39" s="2"/>
      <c r="H39" s="6">
        <v>630.48529230769225</v>
      </c>
      <c r="I39" s="2"/>
      <c r="J39" s="7">
        <f t="shared" si="13"/>
        <v>4.5323112976708357E-3</v>
      </c>
      <c r="K39" s="2"/>
      <c r="L39" s="6">
        <f t="shared" si="14"/>
        <v>426.49470769230777</v>
      </c>
      <c r="M39" s="2"/>
      <c r="N39" s="7">
        <f t="shared" si="15"/>
        <v>0.67645464992729432</v>
      </c>
      <c r="O39" s="11"/>
      <c r="P39" s="6">
        <v>2422.85</v>
      </c>
      <c r="Q39" s="2"/>
      <c r="R39" s="7">
        <f t="shared" si="16"/>
        <v>1.2918883265891131E-2</v>
      </c>
      <c r="S39" s="2"/>
      <c r="T39" s="6">
        <v>1416.2744076923077</v>
      </c>
      <c r="U39" s="2"/>
      <c r="V39" s="7">
        <f t="shared" si="17"/>
        <v>7.1189887751494279E-3</v>
      </c>
      <c r="W39" s="2"/>
      <c r="X39" s="6">
        <f t="shared" si="18"/>
        <v>1006.5755923076922</v>
      </c>
      <c r="Y39" s="2"/>
      <c r="Z39" s="7">
        <f t="shared" si="19"/>
        <v>0.71072073804384917</v>
      </c>
    </row>
    <row r="40" spans="1:26" s="24" customFormat="1" hidden="1" outlineLevel="2" x14ac:dyDescent="0.25">
      <c r="A40" s="27"/>
      <c r="B40" s="11" t="str">
        <f>CONCATENATE("          ", "6119", " - ", "SICK LEAVE")</f>
        <v xml:space="preserve">          6119 - SICK LEAVE</v>
      </c>
      <c r="C40" s="11"/>
      <c r="D40" s="6">
        <v>788.12</v>
      </c>
      <c r="E40" s="2"/>
      <c r="F40" s="7">
        <f t="shared" si="12"/>
        <v>6.1228250577462289E-3</v>
      </c>
      <c r="G40" s="2"/>
      <c r="H40" s="6">
        <v>1170.8465346153848</v>
      </c>
      <c r="I40" s="2"/>
      <c r="J40" s="7">
        <f t="shared" si="13"/>
        <v>8.416756174046143E-3</v>
      </c>
      <c r="K40" s="2"/>
      <c r="L40" s="6">
        <f t="shared" si="14"/>
        <v>-382.72653461538482</v>
      </c>
      <c r="M40" s="2"/>
      <c r="N40" s="7">
        <f t="shared" si="15"/>
        <v>-0.32688018736896879</v>
      </c>
      <c r="O40" s="11"/>
      <c r="P40" s="6">
        <v>1980.66</v>
      </c>
      <c r="Q40" s="2"/>
      <c r="R40" s="7">
        <f t="shared" si="16"/>
        <v>1.0561081094339281E-2</v>
      </c>
      <c r="S40" s="2"/>
      <c r="T40" s="6">
        <v>2158.6937653846157</v>
      </c>
      <c r="U40" s="2"/>
      <c r="V40" s="7">
        <f t="shared" si="17"/>
        <v>1.0850804477783686E-2</v>
      </c>
      <c r="W40" s="2"/>
      <c r="X40" s="6">
        <f t="shared" si="18"/>
        <v>-178.03376538461566</v>
      </c>
      <c r="Y40" s="2"/>
      <c r="Z40" s="7">
        <f t="shared" si="19"/>
        <v>-8.2472914055456717E-2</v>
      </c>
    </row>
    <row r="41" spans="1:26" s="24" customFormat="1" hidden="1" outlineLevel="2" x14ac:dyDescent="0.25">
      <c r="A41" s="27"/>
      <c r="B41" s="11" t="str">
        <f>CONCATENATE("          ", "6156", " - ", "EMPLOYEE MEALS")</f>
        <v xml:space="preserve">          6156 - EMPLOYEE MEALS</v>
      </c>
      <c r="C41" s="11"/>
      <c r="D41" s="6">
        <v>599.01</v>
      </c>
      <c r="E41" s="2"/>
      <c r="F41" s="7">
        <f t="shared" si="12"/>
        <v>4.6536484771869365E-3</v>
      </c>
      <c r="G41" s="2"/>
      <c r="H41" s="6"/>
      <c r="I41" s="2"/>
      <c r="J41" s="7">
        <f t="shared" si="13"/>
        <v>0</v>
      </c>
      <c r="K41" s="2"/>
      <c r="L41" s="6">
        <f t="shared" si="14"/>
        <v>599.01</v>
      </c>
      <c r="M41" s="2"/>
      <c r="N41" s="7">
        <f t="shared" si="15"/>
        <v>0</v>
      </c>
      <c r="O41" s="11"/>
      <c r="P41" s="6">
        <v>1164.2</v>
      </c>
      <c r="Q41" s="2"/>
      <c r="R41" s="7">
        <f t="shared" si="16"/>
        <v>6.2076331172587883E-3</v>
      </c>
      <c r="S41" s="2"/>
      <c r="T41" s="6">
        <v>125</v>
      </c>
      <c r="U41" s="2"/>
      <c r="V41" s="7">
        <f t="shared" si="17"/>
        <v>6.2832004310778148E-4</v>
      </c>
      <c r="W41" s="2"/>
      <c r="X41" s="6">
        <f t="shared" si="18"/>
        <v>1039.2</v>
      </c>
      <c r="Y41" s="2"/>
      <c r="Z41" s="7">
        <f t="shared" si="19"/>
        <v>8.313600000000001</v>
      </c>
    </row>
    <row r="42" spans="1:26" s="26" customFormat="1" outlineLevel="1" collapsed="1" x14ac:dyDescent="0.25">
      <c r="A42" s="25"/>
      <c r="B42" s="13" t="str">
        <f>CONCATENATE("     ","*Payroll                                          ")</f>
        <v xml:space="preserve">     *Payroll                                          </v>
      </c>
      <c r="C42" s="13"/>
      <c r="D42" s="1">
        <f>SUM(OSRRefD22_1x_0)</f>
        <v>42174.81</v>
      </c>
      <c r="E42" s="1"/>
      <c r="F42" s="5">
        <f t="shared" ref="F42:F52" si="20">IF(D$12=0,0,D42/D$12)</f>
        <v>0.32765185945501474</v>
      </c>
      <c r="G42" s="1"/>
      <c r="H42" s="1">
        <f>SUM(OSRRefH22_1x_0)</f>
        <v>40637.518711538469</v>
      </c>
      <c r="I42" s="1"/>
      <c r="J42" s="5">
        <f t="shared" ref="J42:J52" si="21">IF(H$12=0,0,H42/H$12)</f>
        <v>0.29212717158155455</v>
      </c>
      <c r="K42" s="1"/>
      <c r="L42" s="1">
        <f t="shared" ref="L42:L52" si="22">+D42-H42</f>
        <v>1537.2912884615289</v>
      </c>
      <c r="M42" s="1"/>
      <c r="N42" s="5">
        <f t="shared" ref="N42:N52" si="23">IF(H42=0,0,L42/H42)</f>
        <v>3.7829359104669842E-2</v>
      </c>
      <c r="O42" s="13"/>
      <c r="P42" s="1">
        <f>SUM(OSRRefP22_1x_0)</f>
        <v>79943.360000000001</v>
      </c>
      <c r="Q42" s="1"/>
      <c r="R42" s="5">
        <f t="shared" ref="R42:R52" si="24">IF(P$12=0,0,P42/P$12)</f>
        <v>0.42626614760431325</v>
      </c>
      <c r="S42" s="1"/>
      <c r="T42" s="1">
        <f>SUM(OSRRefT22_1x_0)</f>
        <v>75607.746788461562</v>
      </c>
      <c r="U42" s="1"/>
      <c r="V42" s="5">
        <f t="shared" ref="V42:V52" si="25">IF(T$12=0,0,T42/T$12)</f>
        <v>0.38004690177126715</v>
      </c>
      <c r="W42" s="1"/>
      <c r="X42" s="1">
        <f t="shared" ref="X42:X52" si="26">+P42-T42</f>
        <v>4335.6132115384389</v>
      </c>
      <c r="Y42" s="1"/>
      <c r="Z42" s="5">
        <f t="shared" ref="Z42:Z52" si="27">IF(T42=0,0,X42/T42)</f>
        <v>5.7343505073214181E-2</v>
      </c>
    </row>
    <row r="43" spans="1:26" s="24" customFormat="1" hidden="1" outlineLevel="2" x14ac:dyDescent="0.25">
      <c r="A43" s="27"/>
      <c r="B43" s="11" t="str">
        <f>CONCATENATE("          ", "6001", " - ", "ADMINISTRATIVE SALARIES")</f>
        <v xml:space="preserve">          6001 - ADMINISTRATIVE SALARIES</v>
      </c>
      <c r="C43" s="11"/>
      <c r="D43" s="6"/>
      <c r="E43" s="2"/>
      <c r="F43" s="7">
        <f t="shared" si="20"/>
        <v>0</v>
      </c>
      <c r="G43" s="2"/>
      <c r="H43" s="6">
        <v>12802.75246153847</v>
      </c>
      <c r="I43" s="2"/>
      <c r="J43" s="7">
        <f t="shared" si="21"/>
        <v>9.2033962299624544E-2</v>
      </c>
      <c r="K43" s="2"/>
      <c r="L43" s="6">
        <f t="shared" si="22"/>
        <v>-12802.75246153847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28806.193038461552</v>
      </c>
      <c r="U43" s="2"/>
      <c r="V43" s="7">
        <f t="shared" si="25"/>
        <v>0.14479606761357788</v>
      </c>
      <c r="W43" s="2"/>
      <c r="X43" s="6">
        <f t="shared" si="26"/>
        <v>-28806.193038461552</v>
      </c>
      <c r="Y43" s="2"/>
      <c r="Z43" s="7">
        <f t="shared" si="27"/>
        <v>-1</v>
      </c>
    </row>
    <row r="44" spans="1:26" s="24" customFormat="1" hidden="1" outlineLevel="2" x14ac:dyDescent="0.25">
      <c r="A44" s="27"/>
      <c r="B44" s="11" t="str">
        <f>CONCATENATE("          ", "6002", " - ", "STAFF SALARIES")</f>
        <v xml:space="preserve">          6002 - STAFF SALARIES</v>
      </c>
      <c r="C44" s="11"/>
      <c r="D44" s="6">
        <v>15742.66</v>
      </c>
      <c r="E44" s="2"/>
      <c r="F44" s="7">
        <f t="shared" si="20"/>
        <v>0.12230314307920019</v>
      </c>
      <c r="G44" s="2"/>
      <c r="H44" s="6">
        <v>3559.68</v>
      </c>
      <c r="I44" s="2"/>
      <c r="J44" s="7">
        <f t="shared" si="21"/>
        <v>2.558914232723979E-2</v>
      </c>
      <c r="K44" s="2"/>
      <c r="L44" s="6">
        <f t="shared" si="22"/>
        <v>12182.98</v>
      </c>
      <c r="M44" s="2"/>
      <c r="N44" s="7">
        <f t="shared" si="23"/>
        <v>3.4224930330816252</v>
      </c>
      <c r="O44" s="11"/>
      <c r="P44" s="6">
        <v>35026.700000000004</v>
      </c>
      <c r="Q44" s="2"/>
      <c r="R44" s="7">
        <f t="shared" si="24"/>
        <v>0.18676593618647003</v>
      </c>
      <c r="S44" s="2"/>
      <c r="T44" s="6">
        <v>8009.28</v>
      </c>
      <c r="U44" s="2"/>
      <c r="V44" s="7">
        <f t="shared" si="25"/>
        <v>4.0259129238898336E-2</v>
      </c>
      <c r="W44" s="2"/>
      <c r="X44" s="6">
        <f t="shared" si="26"/>
        <v>27017.420000000006</v>
      </c>
      <c r="Y44" s="2"/>
      <c r="Z44" s="7">
        <f t="shared" si="27"/>
        <v>3.3732645131647296</v>
      </c>
    </row>
    <row r="45" spans="1:26" s="24" customFormat="1" hidden="1" outlineLevel="2" x14ac:dyDescent="0.25">
      <c r="A45" s="27"/>
      <c r="B45" s="11" t="str">
        <f>CONCATENATE("          ", "6003", " - ", "STAFF HOURLY-9 MONTH")</f>
        <v xml:space="preserve">          6003 - STAFF HOURLY-9 MONTH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"6004", " - ", "STAFF HOURLY")</f>
        <v xml:space="preserve">          6004 - STAFF HOURLY</v>
      </c>
      <c r="C46" s="11"/>
      <c r="D46" s="6">
        <v>254.64</v>
      </c>
      <c r="E46" s="2"/>
      <c r="F46" s="7">
        <f t="shared" si="20"/>
        <v>1.978272563447825E-3</v>
      </c>
      <c r="G46" s="2"/>
      <c r="H46" s="6">
        <v>1606.8</v>
      </c>
      <c r="I46" s="2"/>
      <c r="J46" s="7">
        <f t="shared" si="21"/>
        <v>1.1550654522712405E-2</v>
      </c>
      <c r="K46" s="2"/>
      <c r="L46" s="6">
        <f t="shared" si="22"/>
        <v>-1352.1599999999999</v>
      </c>
      <c r="M46" s="2"/>
      <c r="N46" s="7">
        <f t="shared" si="23"/>
        <v>-0.84152352501867056</v>
      </c>
      <c r="O46" s="11"/>
      <c r="P46" s="6">
        <v>254.64</v>
      </c>
      <c r="Q46" s="2"/>
      <c r="R46" s="7">
        <f t="shared" si="24"/>
        <v>1.3577664464686288E-3</v>
      </c>
      <c r="S46" s="2"/>
      <c r="T46" s="6">
        <v>3538.05</v>
      </c>
      <c r="U46" s="2"/>
      <c r="V46" s="7">
        <f t="shared" si="25"/>
        <v>1.7784221828139889E-2</v>
      </c>
      <c r="W46" s="2"/>
      <c r="X46" s="6">
        <f t="shared" si="26"/>
        <v>-3283.4100000000003</v>
      </c>
      <c r="Y46" s="2"/>
      <c r="Z46" s="7">
        <f t="shared" si="27"/>
        <v>-0.92802815110018233</v>
      </c>
    </row>
    <row r="47" spans="1:26" s="24" customFormat="1" hidden="1" outlineLevel="2" x14ac:dyDescent="0.25">
      <c r="A47" s="27"/>
      <c r="B47" s="11" t="str">
        <f>CONCATENATE("          ", "6005", " - ", "TEMPORARY WAGES-HOURLY")</f>
        <v xml:space="preserve">          6005 - TEMPORARY WAGES-HOURLY</v>
      </c>
      <c r="C47" s="11"/>
      <c r="D47" s="6">
        <v>5233.43</v>
      </c>
      <c r="E47" s="2"/>
      <c r="F47" s="7">
        <f t="shared" si="20"/>
        <v>4.0657991602751929E-2</v>
      </c>
      <c r="G47" s="2"/>
      <c r="H47" s="6">
        <v>787.64</v>
      </c>
      <c r="I47" s="2"/>
      <c r="J47" s="7">
        <f t="shared" si="21"/>
        <v>5.6620348072374902E-3</v>
      </c>
      <c r="K47" s="2"/>
      <c r="L47" s="6">
        <f t="shared" si="22"/>
        <v>4445.79</v>
      </c>
      <c r="M47" s="2"/>
      <c r="N47" s="7">
        <f t="shared" si="23"/>
        <v>5.6444441623076536</v>
      </c>
      <c r="O47" s="11"/>
      <c r="P47" s="6">
        <v>8690.84</v>
      </c>
      <c r="Q47" s="2"/>
      <c r="R47" s="7">
        <f t="shared" si="24"/>
        <v>4.6340445113208527E-2</v>
      </c>
      <c r="S47" s="2"/>
      <c r="T47" s="6">
        <v>787.64</v>
      </c>
      <c r="U47" s="2"/>
      <c r="V47" s="7">
        <f t="shared" si="25"/>
        <v>3.9591199900273037E-3</v>
      </c>
      <c r="W47" s="2"/>
      <c r="X47" s="6">
        <f t="shared" si="26"/>
        <v>7903.2</v>
      </c>
      <c r="Y47" s="2"/>
      <c r="Z47" s="7">
        <f t="shared" si="27"/>
        <v>10.034025697018942</v>
      </c>
    </row>
    <row r="48" spans="1:26" s="24" customFormat="1" hidden="1" outlineLevel="2" x14ac:dyDescent="0.25">
      <c r="A48" s="27"/>
      <c r="B48" s="11" t="str">
        <f>CONCATENATE("          ", "6006", " - ", "TEMPORARY PART TIME")</f>
        <v xml:space="preserve">          6006 - TEMPORARY PART TIME</v>
      </c>
      <c r="C48" s="11"/>
      <c r="D48" s="6">
        <v>454.5</v>
      </c>
      <c r="E48" s="2"/>
      <c r="F48" s="7">
        <f t="shared" si="20"/>
        <v>3.5309648134112331E-3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454.5</v>
      </c>
      <c r="M48" s="2"/>
      <c r="N48" s="7">
        <f t="shared" si="23"/>
        <v>0</v>
      </c>
      <c r="O48" s="11"/>
      <c r="P48" s="6">
        <v>1181.25</v>
      </c>
      <c r="Q48" s="2"/>
      <c r="R48" s="7">
        <f t="shared" si="24"/>
        <v>6.2985454559027175E-3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1181.25</v>
      </c>
      <c r="Y48" s="2"/>
      <c r="Z48" s="7">
        <f t="shared" si="27"/>
        <v>0</v>
      </c>
    </row>
    <row r="49" spans="1:26" s="24" customFormat="1" hidden="1" outlineLevel="2" x14ac:dyDescent="0.25">
      <c r="A49" s="27"/>
      <c r="B49" s="11" t="str">
        <f>CONCATENATE("          ", "6007", " - ", "STUDENT HOURLY")</f>
        <v xml:space="preserve">          6007 - STUDENT HOURLY</v>
      </c>
      <c r="C49" s="11"/>
      <c r="D49" s="6">
        <v>18790.64</v>
      </c>
      <c r="E49" s="2"/>
      <c r="F49" s="7">
        <f t="shared" si="20"/>
        <v>0.1459825933145823</v>
      </c>
      <c r="G49" s="2"/>
      <c r="H49" s="6">
        <v>1824.20625</v>
      </c>
      <c r="I49" s="2"/>
      <c r="J49" s="7">
        <f t="shared" si="21"/>
        <v>1.3113502720887937E-2</v>
      </c>
      <c r="K49" s="2"/>
      <c r="L49" s="6">
        <f t="shared" si="22"/>
        <v>16966.43375</v>
      </c>
      <c r="M49" s="2"/>
      <c r="N49" s="7">
        <f t="shared" si="23"/>
        <v>9.3007212040853382</v>
      </c>
      <c r="O49" s="11"/>
      <c r="P49" s="6">
        <v>31298.390000000003</v>
      </c>
      <c r="Q49" s="2"/>
      <c r="R49" s="7">
        <f t="shared" si="24"/>
        <v>0.16688620707857868</v>
      </c>
      <c r="S49" s="2"/>
      <c r="T49" s="6">
        <v>14410.143749999999</v>
      </c>
      <c r="U49" s="2"/>
      <c r="V49" s="7">
        <f t="shared" si="25"/>
        <v>7.2433457137514617E-2</v>
      </c>
      <c r="W49" s="2"/>
      <c r="X49" s="6">
        <f t="shared" si="26"/>
        <v>16888.246250000004</v>
      </c>
      <c r="Y49" s="2"/>
      <c r="Z49" s="7">
        <f t="shared" si="27"/>
        <v>1.1719693115483323</v>
      </c>
    </row>
    <row r="50" spans="1:26" s="24" customFormat="1" hidden="1" outlineLevel="2" x14ac:dyDescent="0.25">
      <c r="A50" s="27"/>
      <c r="B50" s="11" t="str">
        <f>CONCATENATE("          ", "6008", " - ", "STUDENT HOURLY-FICA EXEMPT")</f>
        <v xml:space="preserve">          6008 - STUDENT HOURLY-FICA EXEMPT</v>
      </c>
      <c r="C50" s="11"/>
      <c r="D50" s="6">
        <v>1698.94</v>
      </c>
      <c r="E50" s="2"/>
      <c r="F50" s="7">
        <f t="shared" si="20"/>
        <v>1.3198894081621299E-2</v>
      </c>
      <c r="G50" s="2"/>
      <c r="H50" s="6">
        <v>20056.439999999999</v>
      </c>
      <c r="I50" s="2"/>
      <c r="J50" s="7">
        <f t="shared" si="21"/>
        <v>0.14417787490385237</v>
      </c>
      <c r="K50" s="2"/>
      <c r="L50" s="6">
        <f t="shared" si="22"/>
        <v>-18357.5</v>
      </c>
      <c r="M50" s="2"/>
      <c r="N50" s="7">
        <f t="shared" si="23"/>
        <v>-0.91529204584662094</v>
      </c>
      <c r="O50" s="11"/>
      <c r="P50" s="6">
        <v>3491.54</v>
      </c>
      <c r="Q50" s="2"/>
      <c r="R50" s="7">
        <f t="shared" si="24"/>
        <v>1.8617247323684718E-2</v>
      </c>
      <c r="S50" s="2"/>
      <c r="T50" s="6">
        <v>20056.439999999999</v>
      </c>
      <c r="U50" s="2"/>
      <c r="V50" s="7">
        <f t="shared" si="25"/>
        <v>0.10081490596310906</v>
      </c>
      <c r="W50" s="2"/>
      <c r="X50" s="6">
        <f t="shared" si="26"/>
        <v>-16564.899999999998</v>
      </c>
      <c r="Y50" s="2"/>
      <c r="Z50" s="7">
        <f t="shared" si="27"/>
        <v>-0.82591426993025674</v>
      </c>
    </row>
    <row r="51" spans="1:26" s="24" customFormat="1" hidden="1" outlineLevel="2" x14ac:dyDescent="0.25">
      <c r="A51" s="27"/>
      <c r="B51" s="11" t="str">
        <f>CONCATENATE("          ", "6009", " - ", "TEMPORARY-SEASONAL")</f>
        <v xml:space="preserve">          6009 - TEMPORARY-SEASONAL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25">
      <c r="A52" s="27"/>
      <c r="B52" s="11" t="str">
        <f>CONCATENATE("          ", "6010", " - ", "GRATUITY")</f>
        <v xml:space="preserve">          6010 - GRATUITY</v>
      </c>
      <c r="C52" s="11"/>
      <c r="D52" s="6"/>
      <c r="E52" s="2"/>
      <c r="F52" s="7">
        <f t="shared" si="20"/>
        <v>0</v>
      </c>
      <c r="G52" s="2"/>
      <c r="H52" s="6">
        <v>0</v>
      </c>
      <c r="I52" s="2"/>
      <c r="J52" s="7">
        <f t="shared" si="21"/>
        <v>0</v>
      </c>
      <c r="K52" s="2"/>
      <c r="L52" s="6">
        <f t="shared" si="22"/>
        <v>0</v>
      </c>
      <c r="M52" s="2"/>
      <c r="N52" s="7">
        <f t="shared" si="23"/>
        <v>0</v>
      </c>
      <c r="O52" s="11"/>
      <c r="P52" s="6"/>
      <c r="Q52" s="2"/>
      <c r="R52" s="7">
        <f t="shared" si="24"/>
        <v>0</v>
      </c>
      <c r="S52" s="2"/>
      <c r="T52" s="6">
        <v>0</v>
      </c>
      <c r="U52" s="2"/>
      <c r="V52" s="7">
        <f t="shared" si="25"/>
        <v>0</v>
      </c>
      <c r="W52" s="2"/>
      <c r="X52" s="6">
        <f t="shared" si="26"/>
        <v>0</v>
      </c>
      <c r="Y52" s="2"/>
      <c r="Z52" s="7">
        <f t="shared" si="27"/>
        <v>0</v>
      </c>
    </row>
    <row r="53" spans="1:26" s="26" customFormat="1" outlineLevel="1" collapsed="1" x14ac:dyDescent="0.25">
      <c r="A53" s="25"/>
      <c r="B53" s="13" t="str">
        <f>CONCATENATE("     ","Advertising/Promo                                 ")</f>
        <v xml:space="preserve">     Advertising/Promo                                 </v>
      </c>
      <c r="C53" s="13"/>
      <c r="D53" s="1">
        <f>SUM(OSRRefD22_2x_0)</f>
        <v>192.39</v>
      </c>
      <c r="E53" s="1"/>
      <c r="F53" s="5">
        <f t="shared" ref="F53:F61" si="28">IF(D$12=0,0,D53/D$12)</f>
        <v>1.4946585708518968E-3</v>
      </c>
      <c r="G53" s="1"/>
      <c r="H53" s="1">
        <f>SUM(OSRRefH22_2x_0)</f>
        <v>150</v>
      </c>
      <c r="I53" s="1"/>
      <c r="J53" s="5">
        <f t="shared" ref="J53:J61" si="29">IF(H$12=0,0,H53/H$12)</f>
        <v>1.0782911242263262E-3</v>
      </c>
      <c r="K53" s="1"/>
      <c r="L53" s="1">
        <f t="shared" ref="L53:L61" si="30">+D53-H53</f>
        <v>42.389999999999986</v>
      </c>
      <c r="M53" s="1"/>
      <c r="N53" s="5">
        <f t="shared" ref="N53:N61" si="31">IF(H53=0,0,L53/H53)</f>
        <v>0.28259999999999991</v>
      </c>
      <c r="O53" s="13"/>
      <c r="P53" s="1">
        <f>SUM(OSRRefP22_2x_0)</f>
        <v>592.01</v>
      </c>
      <c r="Q53" s="1"/>
      <c r="R53" s="5">
        <f t="shared" ref="R53:R61" si="32">IF(P$12=0,0,P53/P$12)</f>
        <v>3.1566576891843114E-3</v>
      </c>
      <c r="S53" s="1"/>
      <c r="T53" s="1">
        <f>SUM(OSRRefT22_2x_0)</f>
        <v>225</v>
      </c>
      <c r="U53" s="1"/>
      <c r="V53" s="5">
        <f t="shared" ref="V53:V61" si="33">IF(T$12=0,0,T53/T$12)</f>
        <v>1.1309760775940066E-3</v>
      </c>
      <c r="W53" s="1"/>
      <c r="X53" s="1">
        <f t="shared" ref="X53:X61" si="34">+P53-T53</f>
        <v>367.01</v>
      </c>
      <c r="Y53" s="1"/>
      <c r="Z53" s="5">
        <f t="shared" ref="Z53:Z61" si="35">IF(T53=0,0,X53/T53)</f>
        <v>1.6311555555555555</v>
      </c>
    </row>
    <row r="54" spans="1:26" s="24" customFormat="1" hidden="1" outlineLevel="2" x14ac:dyDescent="0.25">
      <c r="A54" s="27"/>
      <c r="B54" s="11" t="str">
        <f>CONCATENATE("          ", "6362", " - ", "ADVERTISING EXPENSE")</f>
        <v xml:space="preserve">          6362 - ADVERTISING EXPENSE</v>
      </c>
      <c r="C54" s="11"/>
      <c r="D54" s="6">
        <v>192.39</v>
      </c>
      <c r="E54" s="2"/>
      <c r="F54" s="7">
        <f t="shared" si="28"/>
        <v>1.4946585708518968E-3</v>
      </c>
      <c r="G54" s="2"/>
      <c r="H54" s="6">
        <v>150</v>
      </c>
      <c r="I54" s="2"/>
      <c r="J54" s="7">
        <f t="shared" si="29"/>
        <v>1.0782911242263262E-3</v>
      </c>
      <c r="K54" s="2"/>
      <c r="L54" s="6">
        <f t="shared" si="30"/>
        <v>42.389999999999986</v>
      </c>
      <c r="M54" s="2"/>
      <c r="N54" s="7">
        <f t="shared" si="31"/>
        <v>0.28259999999999991</v>
      </c>
      <c r="O54" s="11"/>
      <c r="P54" s="6">
        <v>592.01</v>
      </c>
      <c r="Q54" s="2"/>
      <c r="R54" s="7">
        <f t="shared" si="32"/>
        <v>3.1566576891843114E-3</v>
      </c>
      <c r="S54" s="2"/>
      <c r="T54" s="6">
        <v>225</v>
      </c>
      <c r="U54" s="2"/>
      <c r="V54" s="7">
        <f t="shared" si="33"/>
        <v>1.1309760775940066E-3</v>
      </c>
      <c r="W54" s="2"/>
      <c r="X54" s="6">
        <f t="shared" si="34"/>
        <v>367.01</v>
      </c>
      <c r="Y54" s="2"/>
      <c r="Z54" s="7">
        <f t="shared" si="35"/>
        <v>1.6311555555555555</v>
      </c>
    </row>
    <row r="55" spans="1:26" s="26" customFormat="1" outlineLevel="1" collapsed="1" x14ac:dyDescent="0.25">
      <c r="A55" s="25"/>
      <c r="B55" s="13" t="str">
        <f>CONCATENATE("     ","Bad Debts/Over/Short                              ")</f>
        <v xml:space="preserve">     Bad Debts/Over/Short                              </v>
      </c>
      <c r="C55" s="13"/>
      <c r="D55" s="1">
        <f>SUM(OSRRefD22_3x_0)</f>
        <v>-5.34</v>
      </c>
      <c r="E55" s="1"/>
      <c r="F55" s="5">
        <f t="shared" si="28"/>
        <v>-4.1485923220277198E-5</v>
      </c>
      <c r="G55" s="1"/>
      <c r="H55" s="1">
        <f>SUM(OSRRefH22_3x_0)</f>
        <v>10</v>
      </c>
      <c r="I55" s="1"/>
      <c r="J55" s="5">
        <f t="shared" si="29"/>
        <v>7.1886074948421746E-5</v>
      </c>
      <c r="K55" s="1"/>
      <c r="L55" s="1">
        <f t="shared" si="30"/>
        <v>-15.34</v>
      </c>
      <c r="M55" s="1"/>
      <c r="N55" s="5">
        <f t="shared" si="31"/>
        <v>-1.534</v>
      </c>
      <c r="O55" s="13"/>
      <c r="P55" s="1">
        <f>SUM(OSRRefP22_3x_0)</f>
        <v>-7.52</v>
      </c>
      <c r="Q55" s="1"/>
      <c r="R55" s="5">
        <f t="shared" si="32"/>
        <v>-4.0097406838847346E-5</v>
      </c>
      <c r="S55" s="1"/>
      <c r="T55" s="1">
        <f>SUM(OSRRefT22_3x_0)</f>
        <v>20</v>
      </c>
      <c r="U55" s="1"/>
      <c r="V55" s="5">
        <f t="shared" si="33"/>
        <v>1.0053120689724504E-4</v>
      </c>
      <c r="W55" s="1"/>
      <c r="X55" s="1">
        <f t="shared" si="34"/>
        <v>-27.52</v>
      </c>
      <c r="Y55" s="1"/>
      <c r="Z55" s="5">
        <f t="shared" si="35"/>
        <v>-1.3759999999999999</v>
      </c>
    </row>
    <row r="56" spans="1:26" s="24" customFormat="1" hidden="1" outlineLevel="2" x14ac:dyDescent="0.25">
      <c r="A56" s="27"/>
      <c r="B56" s="11" t="str">
        <f>CONCATENATE("          ", "6272", " - ", "CASH (OVER/SHORT)")</f>
        <v xml:space="preserve">          6272 - CASH (OVER/SHORT)</v>
      </c>
      <c r="C56" s="11"/>
      <c r="D56" s="6">
        <v>-5.34</v>
      </c>
      <c r="E56" s="2"/>
      <c r="F56" s="7">
        <f t="shared" si="28"/>
        <v>-4.1485923220277198E-5</v>
      </c>
      <c r="G56" s="2"/>
      <c r="H56" s="6">
        <v>10</v>
      </c>
      <c r="I56" s="2"/>
      <c r="J56" s="7">
        <f t="shared" si="29"/>
        <v>7.1886074948421746E-5</v>
      </c>
      <c r="K56" s="2"/>
      <c r="L56" s="6">
        <f t="shared" si="30"/>
        <v>-15.34</v>
      </c>
      <c r="M56" s="2"/>
      <c r="N56" s="7">
        <f t="shared" si="31"/>
        <v>-1.534</v>
      </c>
      <c r="O56" s="11"/>
      <c r="P56" s="6">
        <v>-7.52</v>
      </c>
      <c r="Q56" s="2"/>
      <c r="R56" s="7">
        <f t="shared" si="32"/>
        <v>-4.0097406838847346E-5</v>
      </c>
      <c r="S56" s="2"/>
      <c r="T56" s="6">
        <v>20</v>
      </c>
      <c r="U56" s="2"/>
      <c r="V56" s="7">
        <f t="shared" si="33"/>
        <v>1.0053120689724504E-4</v>
      </c>
      <c r="W56" s="2"/>
      <c r="X56" s="6">
        <f t="shared" si="34"/>
        <v>-27.52</v>
      </c>
      <c r="Y56" s="2"/>
      <c r="Z56" s="7">
        <f t="shared" si="35"/>
        <v>-1.3759999999999999</v>
      </c>
    </row>
    <row r="57" spans="1:26" s="26" customFormat="1" outlineLevel="1" collapsed="1" x14ac:dyDescent="0.25">
      <c r="A57" s="25"/>
      <c r="B57" s="13" t="str">
        <f>CONCATENATE("     ","Bank/card Fees                                    ")</f>
        <v xml:space="preserve">     Bank/card Fees                                    </v>
      </c>
      <c r="C57" s="13"/>
      <c r="D57" s="1">
        <f>SUM(OSRRefD22_4x_0)</f>
        <v>4417.66</v>
      </c>
      <c r="E57" s="1"/>
      <c r="F57" s="5">
        <f t="shared" si="28"/>
        <v>3.4320356474398829E-2</v>
      </c>
      <c r="G57" s="1"/>
      <c r="H57" s="1">
        <f>SUM(OSRRefH22_4x_0)</f>
        <v>4400</v>
      </c>
      <c r="I57" s="1"/>
      <c r="J57" s="5">
        <f t="shared" si="29"/>
        <v>3.1629872977305566E-2</v>
      </c>
      <c r="K57" s="1"/>
      <c r="L57" s="1">
        <f t="shared" si="30"/>
        <v>17.659999999999854</v>
      </c>
      <c r="M57" s="1"/>
      <c r="N57" s="5">
        <f t="shared" si="31"/>
        <v>4.0136363636363304E-3</v>
      </c>
      <c r="O57" s="13"/>
      <c r="P57" s="1">
        <f>SUM(OSRRefP22_4x_0)</f>
        <v>5967.12</v>
      </c>
      <c r="Q57" s="1"/>
      <c r="R57" s="5">
        <f t="shared" si="32"/>
        <v>3.181729232662537E-2</v>
      </c>
      <c r="S57" s="1"/>
      <c r="T57" s="1">
        <f>SUM(OSRRefT22_4x_0)</f>
        <v>6141</v>
      </c>
      <c r="U57" s="1"/>
      <c r="V57" s="5">
        <f t="shared" si="33"/>
        <v>3.0868107077799089E-2</v>
      </c>
      <c r="W57" s="1"/>
      <c r="X57" s="1">
        <f t="shared" si="34"/>
        <v>-173.88000000000011</v>
      </c>
      <c r="Y57" s="1"/>
      <c r="Z57" s="5">
        <f t="shared" si="35"/>
        <v>-2.8314606741573052E-2</v>
      </c>
    </row>
    <row r="58" spans="1:26" s="24" customFormat="1" hidden="1" outlineLevel="2" x14ac:dyDescent="0.25">
      <c r="A58" s="27"/>
      <c r="B58" s="11" t="str">
        <f>CONCATENATE("          ", "6381", " - ", "BANK/CREDIT CARD FEES")</f>
        <v xml:space="preserve">          6381 - BANK/CREDIT CARD FEES</v>
      </c>
      <c r="C58" s="11"/>
      <c r="D58" s="6">
        <v>4417.66</v>
      </c>
      <c r="E58" s="2"/>
      <c r="F58" s="7">
        <f t="shared" si="28"/>
        <v>3.4320356474398829E-2</v>
      </c>
      <c r="G58" s="2"/>
      <c r="H58" s="6">
        <v>4400</v>
      </c>
      <c r="I58" s="2"/>
      <c r="J58" s="7">
        <f t="shared" si="29"/>
        <v>3.1629872977305566E-2</v>
      </c>
      <c r="K58" s="2"/>
      <c r="L58" s="6">
        <f t="shared" si="30"/>
        <v>17.659999999999854</v>
      </c>
      <c r="M58" s="2"/>
      <c r="N58" s="7">
        <f t="shared" si="31"/>
        <v>4.0136363636363304E-3</v>
      </c>
      <c r="O58" s="11"/>
      <c r="P58" s="6">
        <v>5967.12</v>
      </c>
      <c r="Q58" s="2"/>
      <c r="R58" s="7">
        <f t="shared" si="32"/>
        <v>3.181729232662537E-2</v>
      </c>
      <c r="S58" s="2"/>
      <c r="T58" s="6">
        <v>6141</v>
      </c>
      <c r="U58" s="2"/>
      <c r="V58" s="7">
        <f t="shared" si="33"/>
        <v>3.0868107077799089E-2</v>
      </c>
      <c r="W58" s="2"/>
      <c r="X58" s="6">
        <f t="shared" si="34"/>
        <v>-173.88000000000011</v>
      </c>
      <c r="Y58" s="2"/>
      <c r="Z58" s="7">
        <f t="shared" si="35"/>
        <v>-2.8314606741573052E-2</v>
      </c>
    </row>
    <row r="59" spans="1:26" s="26" customFormat="1" outlineLevel="1" collapsed="1" x14ac:dyDescent="0.25">
      <c r="A59" s="25"/>
      <c r="B59" s="13" t="str">
        <f>CONCATENATE("     ","Depreciation                                      ")</f>
        <v xml:space="preserve">     Depreciation                                      </v>
      </c>
      <c r="C59" s="13"/>
      <c r="D59" s="1">
        <f>SUM(OSRRefD22_5x_0)</f>
        <v>8403.48</v>
      </c>
      <c r="E59" s="1"/>
      <c r="F59" s="5">
        <f t="shared" si="28"/>
        <v>6.5285791397590817E-2</v>
      </c>
      <c r="G59" s="1"/>
      <c r="H59" s="1">
        <f>SUM(OSRRefH22_5x_0)</f>
        <v>8256</v>
      </c>
      <c r="I59" s="1"/>
      <c r="J59" s="5">
        <f t="shared" si="29"/>
        <v>5.9349143477416988E-2</v>
      </c>
      <c r="K59" s="1"/>
      <c r="L59" s="1">
        <f t="shared" si="30"/>
        <v>147.47999999999956</v>
      </c>
      <c r="M59" s="1"/>
      <c r="N59" s="5">
        <f t="shared" si="31"/>
        <v>1.7863372093023203E-2</v>
      </c>
      <c r="O59" s="13"/>
      <c r="P59" s="1">
        <f>SUM(OSRRefP22_5x_0)</f>
        <v>16806.96</v>
      </c>
      <c r="Q59" s="1"/>
      <c r="R59" s="5">
        <f t="shared" si="32"/>
        <v>8.961642458035024E-2</v>
      </c>
      <c r="S59" s="1"/>
      <c r="T59" s="1">
        <f>SUM(OSRRefT22_5x_0)</f>
        <v>16512</v>
      </c>
      <c r="U59" s="1"/>
      <c r="V59" s="5">
        <f t="shared" si="33"/>
        <v>8.2998564414365497E-2</v>
      </c>
      <c r="W59" s="1"/>
      <c r="X59" s="1">
        <f t="shared" si="34"/>
        <v>294.95999999999913</v>
      </c>
      <c r="Y59" s="1"/>
      <c r="Z59" s="5">
        <f t="shared" si="35"/>
        <v>1.7863372093023203E-2</v>
      </c>
    </row>
    <row r="60" spans="1:26" s="24" customFormat="1" hidden="1" outlineLevel="2" x14ac:dyDescent="0.25">
      <c r="A60" s="27"/>
      <c r="B60" s="11" t="str">
        <f>CONCATENATE("          ", "6321", " - ", "BUILDING DEPRECIATION")</f>
        <v xml:space="preserve">          6321 - BUILDING DEPRECIATION</v>
      </c>
      <c r="C60" s="11"/>
      <c r="D60" s="6">
        <v>5080.51</v>
      </c>
      <c r="E60" s="2"/>
      <c r="F60" s="7">
        <f t="shared" si="28"/>
        <v>3.9469971494354029E-2</v>
      </c>
      <c r="G60" s="2"/>
      <c r="H60" s="6">
        <v>5081</v>
      </c>
      <c r="I60" s="2"/>
      <c r="J60" s="7">
        <f t="shared" si="29"/>
        <v>3.6525314681293088E-2</v>
      </c>
      <c r="K60" s="2"/>
      <c r="L60" s="6">
        <f t="shared" si="30"/>
        <v>-0.48999999999978172</v>
      </c>
      <c r="M60" s="2"/>
      <c r="N60" s="7">
        <f t="shared" si="31"/>
        <v>-9.6437709112336489E-5</v>
      </c>
      <c r="O60" s="11"/>
      <c r="P60" s="6">
        <v>10161.02</v>
      </c>
      <c r="Q60" s="2"/>
      <c r="R60" s="7">
        <f t="shared" si="32"/>
        <v>5.4179594792242651E-2</v>
      </c>
      <c r="S60" s="2"/>
      <c r="T60" s="6">
        <v>10162</v>
      </c>
      <c r="U60" s="2"/>
      <c r="V60" s="7">
        <f t="shared" si="33"/>
        <v>5.1079906224490206E-2</v>
      </c>
      <c r="W60" s="2"/>
      <c r="X60" s="6">
        <f t="shared" si="34"/>
        <v>-0.97999999999956344</v>
      </c>
      <c r="Y60" s="2"/>
      <c r="Z60" s="7">
        <f t="shared" si="35"/>
        <v>-9.6437709112336489E-5</v>
      </c>
    </row>
    <row r="61" spans="1:26" s="24" customFormat="1" hidden="1" outlineLevel="2" x14ac:dyDescent="0.25">
      <c r="A61" s="27"/>
      <c r="B61" s="11" t="str">
        <f>CONCATENATE("          ", "6322", " - ", "EQUIPMENT DEPRECIATION EXPENSE")</f>
        <v xml:space="preserve">          6322 - EQUIPMENT DEPRECIATION EXPENSE</v>
      </c>
      <c r="C61" s="11"/>
      <c r="D61" s="6">
        <v>3322.97</v>
      </c>
      <c r="E61" s="2"/>
      <c r="F61" s="7">
        <f t="shared" si="28"/>
        <v>2.5815819903236798E-2</v>
      </c>
      <c r="G61" s="2"/>
      <c r="H61" s="6">
        <v>3175</v>
      </c>
      <c r="I61" s="2"/>
      <c r="J61" s="7">
        <f t="shared" si="29"/>
        <v>2.2823828796123904E-2</v>
      </c>
      <c r="K61" s="2"/>
      <c r="L61" s="6">
        <f t="shared" si="30"/>
        <v>147.9699999999998</v>
      </c>
      <c r="M61" s="2"/>
      <c r="N61" s="7">
        <f t="shared" si="31"/>
        <v>4.6604724409448753E-2</v>
      </c>
      <c r="O61" s="11"/>
      <c r="P61" s="6">
        <v>6645.94</v>
      </c>
      <c r="Q61" s="2"/>
      <c r="R61" s="7">
        <f t="shared" si="32"/>
        <v>3.5436829788107603E-2</v>
      </c>
      <c r="S61" s="2"/>
      <c r="T61" s="6">
        <v>6350</v>
      </c>
      <c r="U61" s="2"/>
      <c r="V61" s="7">
        <f t="shared" si="33"/>
        <v>3.1918658189875299E-2</v>
      </c>
      <c r="W61" s="2"/>
      <c r="X61" s="6">
        <f t="shared" si="34"/>
        <v>295.9399999999996</v>
      </c>
      <c r="Y61" s="2"/>
      <c r="Z61" s="7">
        <f t="shared" si="35"/>
        <v>4.6604724409448753E-2</v>
      </c>
    </row>
    <row r="62" spans="1:26" s="26" customFormat="1" outlineLevel="1" collapsed="1" x14ac:dyDescent="0.25">
      <c r="A62" s="25"/>
      <c r="B62" s="13" t="str">
        <f>CONCATENATE("     ","Discounts and Markdowns                           ")</f>
        <v xml:space="preserve">     Discounts and Markdowns                           </v>
      </c>
      <c r="C62" s="13"/>
      <c r="D62" s="1">
        <f>SUM(OSRRefD22_6x_0)</f>
        <v>6.18</v>
      </c>
      <c r="E62" s="1"/>
      <c r="F62" s="5">
        <f t="shared" ref="F62:F82" si="36">IF(D$12=0,0,D62/D$12)</f>
        <v>4.8011798783017424E-5</v>
      </c>
      <c r="G62" s="1"/>
      <c r="H62" s="1">
        <f>SUM(OSRRefH22_6x_0)</f>
        <v>0</v>
      </c>
      <c r="I62" s="1"/>
      <c r="J62" s="5">
        <f t="shared" ref="J62:J82" si="37">IF(H$12=0,0,H62/H$12)</f>
        <v>0</v>
      </c>
      <c r="K62" s="1"/>
      <c r="L62" s="1">
        <f t="shared" ref="L62:L82" si="38">+D62-H62</f>
        <v>6.18</v>
      </c>
      <c r="M62" s="1"/>
      <c r="N62" s="5">
        <f t="shared" ref="N62:N82" si="39">IF(H62=0,0,L62/H62)</f>
        <v>0</v>
      </c>
      <c r="O62" s="13"/>
      <c r="P62" s="1">
        <f>SUM(OSRRefP22_6x_0)</f>
        <v>20.09</v>
      </c>
      <c r="Q62" s="1"/>
      <c r="R62" s="5">
        <f t="shared" ref="R62:R82" si="40">IF(P$12=0,0,P62/P$12)</f>
        <v>1.0712192864261214E-4</v>
      </c>
      <c r="S62" s="1"/>
      <c r="T62" s="1">
        <f>SUM(OSRRefT22_6x_0)</f>
        <v>0</v>
      </c>
      <c r="U62" s="1"/>
      <c r="V62" s="5">
        <f t="shared" ref="V62:V82" si="41">IF(T$12=0,0,T62/T$12)</f>
        <v>0</v>
      </c>
      <c r="W62" s="1"/>
      <c r="X62" s="1">
        <f t="shared" ref="X62:X82" si="42">+P62-T62</f>
        <v>20.09</v>
      </c>
      <c r="Y62" s="1"/>
      <c r="Z62" s="5">
        <f t="shared" ref="Z62:Z82" si="43">IF(T62=0,0,X62/T62)</f>
        <v>0</v>
      </c>
    </row>
    <row r="63" spans="1:26" s="24" customFormat="1" hidden="1" outlineLevel="2" x14ac:dyDescent="0.25">
      <c r="A63" s="27"/>
      <c r="B63" s="11" t="str">
        <f>CONCATENATE("          ", "6382", " - ", "DISCOUNTS/MARK DOWNS")</f>
        <v xml:space="preserve">          6382 - DISCOUNTS/MARK DOWNS</v>
      </c>
      <c r="C63" s="11"/>
      <c r="D63" s="6">
        <v>6.18</v>
      </c>
      <c r="E63" s="2"/>
      <c r="F63" s="7">
        <f t="shared" si="36"/>
        <v>4.8011798783017424E-5</v>
      </c>
      <c r="G63" s="2"/>
      <c r="H63" s="6"/>
      <c r="I63" s="2"/>
      <c r="J63" s="7">
        <f t="shared" si="37"/>
        <v>0</v>
      </c>
      <c r="K63" s="2"/>
      <c r="L63" s="6">
        <f t="shared" si="38"/>
        <v>6.18</v>
      </c>
      <c r="M63" s="2"/>
      <c r="N63" s="7">
        <f t="shared" si="39"/>
        <v>0</v>
      </c>
      <c r="O63" s="11"/>
      <c r="P63" s="6">
        <v>20.09</v>
      </c>
      <c r="Q63" s="2"/>
      <c r="R63" s="7">
        <f t="shared" si="40"/>
        <v>1.0712192864261214E-4</v>
      </c>
      <c r="S63" s="2"/>
      <c r="T63" s="6"/>
      <c r="U63" s="2"/>
      <c r="V63" s="7">
        <f t="shared" si="41"/>
        <v>0</v>
      </c>
      <c r="W63" s="2"/>
      <c r="X63" s="6">
        <f t="shared" si="42"/>
        <v>20.09</v>
      </c>
      <c r="Y63" s="2"/>
      <c r="Z63" s="7">
        <f t="shared" si="43"/>
        <v>0</v>
      </c>
    </row>
    <row r="64" spans="1:26" s="26" customFormat="1" outlineLevel="1" collapsed="1" x14ac:dyDescent="0.25">
      <c r="A64" s="25"/>
      <c r="B64" s="13" t="str">
        <f>CONCATENATE("     ","Employees' Appreciation                           ")</f>
        <v xml:space="preserve">     Employees' Appreciation                           </v>
      </c>
      <c r="C64" s="13"/>
      <c r="D64" s="1">
        <f>SUM(OSRRefD22_7x_0)</f>
        <v>0</v>
      </c>
      <c r="E64" s="1"/>
      <c r="F64" s="5">
        <f t="shared" si="36"/>
        <v>0</v>
      </c>
      <c r="G64" s="1"/>
      <c r="H64" s="1">
        <f>SUM(OSRRefH22_7x_0)</f>
        <v>25</v>
      </c>
      <c r="I64" s="1"/>
      <c r="J64" s="5">
        <f t="shared" si="37"/>
        <v>1.7971518737105435E-4</v>
      </c>
      <c r="K64" s="1"/>
      <c r="L64" s="1">
        <f t="shared" si="38"/>
        <v>-25</v>
      </c>
      <c r="M64" s="1"/>
      <c r="N64" s="5">
        <f t="shared" si="39"/>
        <v>-1</v>
      </c>
      <c r="O64" s="13"/>
      <c r="P64" s="1">
        <f>SUM(OSRRefP22_7x_0)</f>
        <v>0</v>
      </c>
      <c r="Q64" s="1"/>
      <c r="R64" s="5">
        <f t="shared" si="40"/>
        <v>0</v>
      </c>
      <c r="S64" s="1"/>
      <c r="T64" s="1">
        <f>SUM(OSRRefT22_7x_0)</f>
        <v>50</v>
      </c>
      <c r="U64" s="1"/>
      <c r="V64" s="5">
        <f t="shared" si="41"/>
        <v>2.5132801724311258E-4</v>
      </c>
      <c r="W64" s="1"/>
      <c r="X64" s="1">
        <f t="shared" si="42"/>
        <v>-50</v>
      </c>
      <c r="Y64" s="1"/>
      <c r="Z64" s="5">
        <f t="shared" si="43"/>
        <v>-1</v>
      </c>
    </row>
    <row r="65" spans="1:26" s="24" customFormat="1" hidden="1" outlineLevel="2" x14ac:dyDescent="0.25">
      <c r="A65" s="27"/>
      <c r="B65" s="11" t="str">
        <f>CONCATENATE("          ", "6277", " - ", "EMPLOYEE APPRECIATION")</f>
        <v xml:space="preserve">          6277 - EMPLOYEE APPRECIATION</v>
      </c>
      <c r="C65" s="11"/>
      <c r="D65" s="6"/>
      <c r="E65" s="2"/>
      <c r="F65" s="7">
        <f t="shared" si="36"/>
        <v>0</v>
      </c>
      <c r="G65" s="2"/>
      <c r="H65" s="6">
        <v>25</v>
      </c>
      <c r="I65" s="2"/>
      <c r="J65" s="7">
        <f t="shared" si="37"/>
        <v>1.7971518737105435E-4</v>
      </c>
      <c r="K65" s="2"/>
      <c r="L65" s="6">
        <f t="shared" si="38"/>
        <v>-25</v>
      </c>
      <c r="M65" s="2"/>
      <c r="N65" s="7">
        <f t="shared" si="39"/>
        <v>-1</v>
      </c>
      <c r="O65" s="11"/>
      <c r="P65" s="6"/>
      <c r="Q65" s="2"/>
      <c r="R65" s="7">
        <f t="shared" si="40"/>
        <v>0</v>
      </c>
      <c r="S65" s="2"/>
      <c r="T65" s="6">
        <v>50</v>
      </c>
      <c r="U65" s="2"/>
      <c r="V65" s="7">
        <f t="shared" si="41"/>
        <v>2.5132801724311258E-4</v>
      </c>
      <c r="W65" s="2"/>
      <c r="X65" s="6">
        <f t="shared" si="42"/>
        <v>-50</v>
      </c>
      <c r="Y65" s="2"/>
      <c r="Z65" s="7">
        <f t="shared" si="43"/>
        <v>-1</v>
      </c>
    </row>
    <row r="66" spans="1:26" s="26" customFormat="1" outlineLevel="1" collapsed="1" x14ac:dyDescent="0.25">
      <c r="A66" s="25"/>
      <c r="B66" s="13" t="str">
        <f>CONCATENATE("     ","Equipment Rental                                  ")</f>
        <v xml:space="preserve">     Equipment Rental                                  </v>
      </c>
      <c r="C66" s="13"/>
      <c r="D66" s="1">
        <f>SUM(OSRRefD22_8x_0)</f>
        <v>146.05000000000001</v>
      </c>
      <c r="E66" s="1"/>
      <c r="F66" s="5">
        <f t="shared" si="36"/>
        <v>1.1346477689740608E-3</v>
      </c>
      <c r="G66" s="1"/>
      <c r="H66" s="1">
        <f>SUM(OSRRefH22_8x_0)</f>
        <v>80</v>
      </c>
      <c r="I66" s="1"/>
      <c r="J66" s="5">
        <f t="shared" si="37"/>
        <v>5.7508859958737397E-4</v>
      </c>
      <c r="K66" s="1"/>
      <c r="L66" s="1">
        <f t="shared" si="38"/>
        <v>66.050000000000011</v>
      </c>
      <c r="M66" s="1"/>
      <c r="N66" s="5">
        <f t="shared" si="39"/>
        <v>0.82562500000000016</v>
      </c>
      <c r="O66" s="13"/>
      <c r="P66" s="1">
        <f>SUM(OSRRefP22_8x_0)</f>
        <v>292.52</v>
      </c>
      <c r="Q66" s="1"/>
      <c r="R66" s="5">
        <f t="shared" si="40"/>
        <v>1.5597464692153758E-3</v>
      </c>
      <c r="S66" s="1"/>
      <c r="T66" s="1">
        <f>SUM(OSRRefT22_8x_0)</f>
        <v>160</v>
      </c>
      <c r="U66" s="1"/>
      <c r="V66" s="5">
        <f t="shared" si="41"/>
        <v>8.0424965517796032E-4</v>
      </c>
      <c r="W66" s="1"/>
      <c r="X66" s="1">
        <f t="shared" si="42"/>
        <v>132.51999999999998</v>
      </c>
      <c r="Y66" s="1"/>
      <c r="Z66" s="5">
        <f t="shared" si="43"/>
        <v>0.82824999999999993</v>
      </c>
    </row>
    <row r="67" spans="1:26" s="24" customFormat="1" hidden="1" outlineLevel="2" x14ac:dyDescent="0.25">
      <c r="A67" s="27"/>
      <c r="B67" s="11" t="str">
        <f>CONCATENATE("          ", "6351", " - ", "EQUIPMENT RENTAL")</f>
        <v xml:space="preserve">          6351 - EQUIPMENT RENTAL</v>
      </c>
      <c r="C67" s="11"/>
      <c r="D67" s="6">
        <v>146.05000000000001</v>
      </c>
      <c r="E67" s="2"/>
      <c r="F67" s="7">
        <f t="shared" si="36"/>
        <v>1.1346477689740608E-3</v>
      </c>
      <c r="G67" s="2"/>
      <c r="H67" s="6">
        <v>80</v>
      </c>
      <c r="I67" s="2"/>
      <c r="J67" s="7">
        <f t="shared" si="37"/>
        <v>5.7508859958737397E-4</v>
      </c>
      <c r="K67" s="2"/>
      <c r="L67" s="6">
        <f t="shared" si="38"/>
        <v>66.050000000000011</v>
      </c>
      <c r="M67" s="2"/>
      <c r="N67" s="7">
        <f t="shared" si="39"/>
        <v>0.82562500000000016</v>
      </c>
      <c r="O67" s="11"/>
      <c r="P67" s="6">
        <v>292.52</v>
      </c>
      <c r="Q67" s="2"/>
      <c r="R67" s="7">
        <f t="shared" si="40"/>
        <v>1.5597464692153758E-3</v>
      </c>
      <c r="S67" s="2"/>
      <c r="T67" s="6">
        <v>160</v>
      </c>
      <c r="U67" s="2"/>
      <c r="V67" s="7">
        <f t="shared" si="41"/>
        <v>8.0424965517796032E-4</v>
      </c>
      <c r="W67" s="2"/>
      <c r="X67" s="6">
        <f t="shared" si="42"/>
        <v>132.51999999999998</v>
      </c>
      <c r="Y67" s="2"/>
      <c r="Z67" s="7">
        <f t="shared" si="43"/>
        <v>0.82824999999999993</v>
      </c>
    </row>
    <row r="68" spans="1:26" s="26" customFormat="1" outlineLevel="1" collapsed="1" x14ac:dyDescent="0.25">
      <c r="A68" s="25"/>
      <c r="B68" s="13" t="str">
        <f>CONCATENATE("     ","Freight out/Postage                               ")</f>
        <v xml:space="preserve">     Freight out/Postage                               </v>
      </c>
      <c r="C68" s="13"/>
      <c r="D68" s="1">
        <f>SUM(OSRRefD22_9x_0)</f>
        <v>44.96</v>
      </c>
      <c r="E68" s="1"/>
      <c r="F68" s="5">
        <f t="shared" si="36"/>
        <v>3.4928972059619152E-4</v>
      </c>
      <c r="G68" s="1"/>
      <c r="H68" s="1">
        <f>SUM(OSRRefH22_9x_0)</f>
        <v>0</v>
      </c>
      <c r="I68" s="1"/>
      <c r="J68" s="5">
        <f t="shared" si="37"/>
        <v>0</v>
      </c>
      <c r="K68" s="1"/>
      <c r="L68" s="1">
        <f t="shared" si="38"/>
        <v>44.96</v>
      </c>
      <c r="M68" s="1"/>
      <c r="N68" s="5">
        <f t="shared" si="39"/>
        <v>0</v>
      </c>
      <c r="O68" s="13"/>
      <c r="P68" s="1">
        <f>SUM(OSRRefP22_9x_0)</f>
        <v>116.65</v>
      </c>
      <c r="Q68" s="1"/>
      <c r="R68" s="5">
        <f t="shared" si="40"/>
        <v>6.2198969517972659E-4</v>
      </c>
      <c r="S68" s="1"/>
      <c r="T68" s="1">
        <f>SUM(OSRRefT22_9x_0)</f>
        <v>0</v>
      </c>
      <c r="U68" s="1"/>
      <c r="V68" s="5">
        <f t="shared" si="41"/>
        <v>0</v>
      </c>
      <c r="W68" s="1"/>
      <c r="X68" s="1">
        <f t="shared" si="42"/>
        <v>116.65</v>
      </c>
      <c r="Y68" s="1"/>
      <c r="Z68" s="5">
        <f t="shared" si="43"/>
        <v>0</v>
      </c>
    </row>
    <row r="69" spans="1:26" s="24" customFormat="1" hidden="1" outlineLevel="2" x14ac:dyDescent="0.25">
      <c r="A69" s="27"/>
      <c r="B69" s="11" t="str">
        <f>CONCATENATE("          ", "6305", " - ", "FREIGHT OUT")</f>
        <v xml:space="preserve">          6305 - FREIGHT OUT</v>
      </c>
      <c r="C69" s="11"/>
      <c r="D69" s="6">
        <v>44.96</v>
      </c>
      <c r="E69" s="2"/>
      <c r="F69" s="7">
        <f t="shared" si="36"/>
        <v>3.4928972059619152E-4</v>
      </c>
      <c r="G69" s="2"/>
      <c r="H69" s="6"/>
      <c r="I69" s="2"/>
      <c r="J69" s="7">
        <f t="shared" si="37"/>
        <v>0</v>
      </c>
      <c r="K69" s="2"/>
      <c r="L69" s="6">
        <f t="shared" si="38"/>
        <v>44.96</v>
      </c>
      <c r="M69" s="2"/>
      <c r="N69" s="7">
        <f t="shared" si="39"/>
        <v>0</v>
      </c>
      <c r="O69" s="11"/>
      <c r="P69" s="6">
        <v>116.65</v>
      </c>
      <c r="Q69" s="2"/>
      <c r="R69" s="7">
        <f t="shared" si="40"/>
        <v>6.2198969517972659E-4</v>
      </c>
      <c r="S69" s="2"/>
      <c r="T69" s="6"/>
      <c r="U69" s="2"/>
      <c r="V69" s="7">
        <f t="shared" si="41"/>
        <v>0</v>
      </c>
      <c r="W69" s="2"/>
      <c r="X69" s="6">
        <f t="shared" si="42"/>
        <v>116.65</v>
      </c>
      <c r="Y69" s="2"/>
      <c r="Z69" s="7">
        <f t="shared" si="43"/>
        <v>0</v>
      </c>
    </row>
    <row r="70" spans="1:26" s="26" customFormat="1" outlineLevel="1" collapsed="1" x14ac:dyDescent="0.25">
      <c r="A70" s="25"/>
      <c r="B70" s="13" t="str">
        <f>CONCATENATE("     ","General                                           ")</f>
        <v xml:space="preserve">     General                                           </v>
      </c>
      <c r="C70" s="13"/>
      <c r="D70" s="1">
        <f>SUM(OSRRefD22_10x_0)</f>
        <v>124.74</v>
      </c>
      <c r="E70" s="1"/>
      <c r="F70" s="5">
        <f t="shared" si="36"/>
        <v>9.6909252106692459E-4</v>
      </c>
      <c r="G70" s="1"/>
      <c r="H70" s="1">
        <f>SUM(OSRRefH22_10x_0)</f>
        <v>503</v>
      </c>
      <c r="I70" s="1"/>
      <c r="J70" s="5">
        <f t="shared" si="37"/>
        <v>3.6158695699056134E-3</v>
      </c>
      <c r="K70" s="1"/>
      <c r="L70" s="1">
        <f t="shared" si="38"/>
        <v>-378.26</v>
      </c>
      <c r="M70" s="1"/>
      <c r="N70" s="5">
        <f t="shared" si="39"/>
        <v>-0.75200795228628226</v>
      </c>
      <c r="O70" s="13"/>
      <c r="P70" s="1">
        <f>SUM(OSRRefP22_10x_0)</f>
        <v>4553.54</v>
      </c>
      <c r="Q70" s="1"/>
      <c r="R70" s="5">
        <f t="shared" si="40"/>
        <v>2.4279939619277255E-2</v>
      </c>
      <c r="S70" s="1"/>
      <c r="T70" s="1">
        <f>SUM(OSRRefT22_10x_0)</f>
        <v>1098</v>
      </c>
      <c r="U70" s="1"/>
      <c r="V70" s="5">
        <f t="shared" si="41"/>
        <v>5.5191632586587529E-3</v>
      </c>
      <c r="W70" s="1"/>
      <c r="X70" s="1">
        <f t="shared" si="42"/>
        <v>3455.54</v>
      </c>
      <c r="Y70" s="1"/>
      <c r="Z70" s="5">
        <f t="shared" si="43"/>
        <v>3.1471220400728597</v>
      </c>
    </row>
    <row r="71" spans="1:26" s="24" customFormat="1" hidden="1" outlineLevel="2" x14ac:dyDescent="0.25">
      <c r="A71" s="27"/>
      <c r="B71" s="11" t="str">
        <f>CONCATENATE("          ", "6279", " - ", "GENERAL EXPENSE")</f>
        <v xml:space="preserve">          6279 - GENERAL EXPENSE</v>
      </c>
      <c r="C71" s="11"/>
      <c r="D71" s="6">
        <v>124.74</v>
      </c>
      <c r="E71" s="2"/>
      <c r="F71" s="7">
        <f t="shared" si="36"/>
        <v>9.6909252106692459E-4</v>
      </c>
      <c r="G71" s="2"/>
      <c r="H71" s="6">
        <v>503</v>
      </c>
      <c r="I71" s="2"/>
      <c r="J71" s="7">
        <f t="shared" si="37"/>
        <v>3.6158695699056134E-3</v>
      </c>
      <c r="K71" s="2"/>
      <c r="L71" s="6">
        <f t="shared" si="38"/>
        <v>-378.26</v>
      </c>
      <c r="M71" s="2"/>
      <c r="N71" s="7">
        <f t="shared" si="39"/>
        <v>-0.75200795228628226</v>
      </c>
      <c r="O71" s="11"/>
      <c r="P71" s="6">
        <v>4553.54</v>
      </c>
      <c r="Q71" s="2"/>
      <c r="R71" s="7">
        <f t="shared" si="40"/>
        <v>2.4279939619277255E-2</v>
      </c>
      <c r="S71" s="2"/>
      <c r="T71" s="6">
        <v>1098</v>
      </c>
      <c r="U71" s="2"/>
      <c r="V71" s="7">
        <f t="shared" si="41"/>
        <v>5.5191632586587529E-3</v>
      </c>
      <c r="W71" s="2"/>
      <c r="X71" s="6">
        <f t="shared" si="42"/>
        <v>3455.54</v>
      </c>
      <c r="Y71" s="2"/>
      <c r="Z71" s="7">
        <f t="shared" si="43"/>
        <v>3.1471220400728597</v>
      </c>
    </row>
    <row r="72" spans="1:26" s="26" customFormat="1" outlineLevel="1" collapsed="1" x14ac:dyDescent="0.25">
      <c r="A72" s="25"/>
      <c r="B72" s="13" t="str">
        <f>CONCATENATE("     ","Insurance                                         ")</f>
        <v xml:space="preserve">     Insurance                                         </v>
      </c>
      <c r="C72" s="13"/>
      <c r="D72" s="1">
        <f>SUM(OSRRefD22_11x_0)</f>
        <v>243.54</v>
      </c>
      <c r="E72" s="1"/>
      <c r="F72" s="5">
        <f t="shared" si="36"/>
        <v>1.8920377792259004E-3</v>
      </c>
      <c r="G72" s="1"/>
      <c r="H72" s="1">
        <f>SUM(OSRRefH22_11x_0)</f>
        <v>230</v>
      </c>
      <c r="I72" s="1"/>
      <c r="J72" s="5">
        <f t="shared" si="37"/>
        <v>1.6533797238137001E-3</v>
      </c>
      <c r="K72" s="1"/>
      <c r="L72" s="1">
        <f t="shared" si="38"/>
        <v>13.539999999999992</v>
      </c>
      <c r="M72" s="1"/>
      <c r="N72" s="5">
        <f t="shared" si="39"/>
        <v>5.886956521739127E-2</v>
      </c>
      <c r="O72" s="13"/>
      <c r="P72" s="1">
        <f>SUM(OSRRefP22_11x_0)</f>
        <v>487.08</v>
      </c>
      <c r="Q72" s="1"/>
      <c r="R72" s="5">
        <f t="shared" si="40"/>
        <v>2.5971602291310859E-3</v>
      </c>
      <c r="S72" s="1"/>
      <c r="T72" s="1">
        <f>SUM(OSRRefT22_11x_0)</f>
        <v>460</v>
      </c>
      <c r="U72" s="1"/>
      <c r="V72" s="5">
        <f t="shared" si="41"/>
        <v>2.3122177586366358E-3</v>
      </c>
      <c r="W72" s="1"/>
      <c r="X72" s="1">
        <f t="shared" si="42"/>
        <v>27.079999999999984</v>
      </c>
      <c r="Y72" s="1"/>
      <c r="Z72" s="5">
        <f t="shared" si="43"/>
        <v>5.886956521739127E-2</v>
      </c>
    </row>
    <row r="73" spans="1:26" s="24" customFormat="1" hidden="1" outlineLevel="2" x14ac:dyDescent="0.25">
      <c r="A73" s="27"/>
      <c r="B73" s="11" t="str">
        <f>CONCATENATE("          ", "6314", " - ", "LIABILITY INSURANCE")</f>
        <v xml:space="preserve">          6314 - LIABILITY INSURANCE</v>
      </c>
      <c r="C73" s="11"/>
      <c r="D73" s="6">
        <v>243.54</v>
      </c>
      <c r="E73" s="2"/>
      <c r="F73" s="7">
        <f t="shared" si="36"/>
        <v>1.8920377792259004E-3</v>
      </c>
      <c r="G73" s="2"/>
      <c r="H73" s="6">
        <v>230</v>
      </c>
      <c r="I73" s="2"/>
      <c r="J73" s="7">
        <f t="shared" si="37"/>
        <v>1.6533797238137001E-3</v>
      </c>
      <c r="K73" s="2"/>
      <c r="L73" s="6">
        <f t="shared" si="38"/>
        <v>13.539999999999992</v>
      </c>
      <c r="M73" s="2"/>
      <c r="N73" s="7">
        <f t="shared" si="39"/>
        <v>5.886956521739127E-2</v>
      </c>
      <c r="O73" s="11"/>
      <c r="P73" s="6">
        <v>487.08</v>
      </c>
      <c r="Q73" s="2"/>
      <c r="R73" s="7">
        <f t="shared" si="40"/>
        <v>2.5971602291310859E-3</v>
      </c>
      <c r="S73" s="2"/>
      <c r="T73" s="6">
        <v>460</v>
      </c>
      <c r="U73" s="2"/>
      <c r="V73" s="7">
        <f t="shared" si="41"/>
        <v>2.3122177586366358E-3</v>
      </c>
      <c r="W73" s="2"/>
      <c r="X73" s="6">
        <f t="shared" si="42"/>
        <v>27.079999999999984</v>
      </c>
      <c r="Y73" s="2"/>
      <c r="Z73" s="7">
        <f t="shared" si="43"/>
        <v>5.886956521739127E-2</v>
      </c>
    </row>
    <row r="74" spans="1:26" s="26" customFormat="1" outlineLevel="1" collapsed="1" x14ac:dyDescent="0.25">
      <c r="A74" s="25"/>
      <c r="B74" s="13" t="str">
        <f>CONCATENATE("     ","Interest                                          ")</f>
        <v xml:space="preserve">     Interest                                          </v>
      </c>
      <c r="C74" s="13"/>
      <c r="D74" s="1">
        <f>SUM(OSRRefD22_12x_0)</f>
        <v>4110</v>
      </c>
      <c r="E74" s="1"/>
      <c r="F74" s="5">
        <f t="shared" si="36"/>
        <v>3.1930176860550427E-2</v>
      </c>
      <c r="G74" s="1"/>
      <c r="H74" s="1">
        <f>SUM(OSRRefH22_12x_0)</f>
        <v>4175</v>
      </c>
      <c r="I74" s="1"/>
      <c r="J74" s="5">
        <f t="shared" si="37"/>
        <v>3.0012436290966078E-2</v>
      </c>
      <c r="K74" s="1"/>
      <c r="L74" s="1">
        <f t="shared" si="38"/>
        <v>-65</v>
      </c>
      <c r="M74" s="1"/>
      <c r="N74" s="5">
        <f t="shared" si="39"/>
        <v>-1.5568862275449102E-2</v>
      </c>
      <c r="O74" s="13"/>
      <c r="P74" s="1">
        <f>SUM(OSRRefP22_12x_0)</f>
        <v>8220</v>
      </c>
      <c r="Q74" s="1"/>
      <c r="R74" s="5">
        <f t="shared" si="40"/>
        <v>4.3829878220123034E-2</v>
      </c>
      <c r="S74" s="1"/>
      <c r="T74" s="1">
        <f>SUM(OSRRefT22_12x_0)</f>
        <v>8350</v>
      </c>
      <c r="U74" s="1"/>
      <c r="V74" s="5">
        <f t="shared" si="41"/>
        <v>4.1971778879599804E-2</v>
      </c>
      <c r="W74" s="1"/>
      <c r="X74" s="1">
        <f t="shared" si="42"/>
        <v>-130</v>
      </c>
      <c r="Y74" s="1"/>
      <c r="Z74" s="5">
        <f t="shared" si="43"/>
        <v>-1.5568862275449102E-2</v>
      </c>
    </row>
    <row r="75" spans="1:26" s="24" customFormat="1" hidden="1" outlineLevel="2" x14ac:dyDescent="0.25">
      <c r="A75" s="27"/>
      <c r="B75" s="11" t="str">
        <f>CONCATENATE("          ", "6401", " - ", "INTEREST EXPENSE")</f>
        <v xml:space="preserve">          6401 - INTEREST EXPENSE</v>
      </c>
      <c r="C75" s="11"/>
      <c r="D75" s="6">
        <v>4110</v>
      </c>
      <c r="E75" s="2"/>
      <c r="F75" s="7">
        <f t="shared" si="36"/>
        <v>3.1930176860550427E-2</v>
      </c>
      <c r="G75" s="2"/>
      <c r="H75" s="6">
        <v>4175</v>
      </c>
      <c r="I75" s="2"/>
      <c r="J75" s="7">
        <f t="shared" si="37"/>
        <v>3.0012436290966078E-2</v>
      </c>
      <c r="K75" s="2"/>
      <c r="L75" s="6">
        <f t="shared" si="38"/>
        <v>-65</v>
      </c>
      <c r="M75" s="2"/>
      <c r="N75" s="7">
        <f t="shared" si="39"/>
        <v>-1.5568862275449102E-2</v>
      </c>
      <c r="O75" s="11"/>
      <c r="P75" s="6">
        <v>8220</v>
      </c>
      <c r="Q75" s="2"/>
      <c r="R75" s="7">
        <f t="shared" si="40"/>
        <v>4.3829878220123034E-2</v>
      </c>
      <c r="S75" s="2"/>
      <c r="T75" s="6">
        <v>8350</v>
      </c>
      <c r="U75" s="2"/>
      <c r="V75" s="7">
        <f t="shared" si="41"/>
        <v>4.1971778879599804E-2</v>
      </c>
      <c r="W75" s="2"/>
      <c r="X75" s="6">
        <f t="shared" si="42"/>
        <v>-130</v>
      </c>
      <c r="Y75" s="2"/>
      <c r="Z75" s="7">
        <f t="shared" si="43"/>
        <v>-1.5568862275449102E-2</v>
      </c>
    </row>
    <row r="76" spans="1:26" s="26" customFormat="1" outlineLevel="1" collapsed="1" x14ac:dyDescent="0.25">
      <c r="A76" s="25"/>
      <c r="B76" s="13" t="str">
        <f>CONCATENATE("     ","R/H Commissions                                   ")</f>
        <v xml:space="preserve">     R/H Commissions                                   </v>
      </c>
      <c r="C76" s="13"/>
      <c r="D76" s="1">
        <f>SUM(OSRRefD22_13x_0)</f>
        <v>0</v>
      </c>
      <c r="E76" s="1"/>
      <c r="F76" s="5">
        <f t="shared" si="36"/>
        <v>0</v>
      </c>
      <c r="G76" s="1"/>
      <c r="H76" s="1">
        <f>SUM(OSRRefH22_13x_0)</f>
        <v>0</v>
      </c>
      <c r="I76" s="1"/>
      <c r="J76" s="5">
        <f t="shared" si="37"/>
        <v>0</v>
      </c>
      <c r="K76" s="1"/>
      <c r="L76" s="1">
        <f t="shared" si="38"/>
        <v>0</v>
      </c>
      <c r="M76" s="1"/>
      <c r="N76" s="5">
        <f t="shared" si="39"/>
        <v>0</v>
      </c>
      <c r="O76" s="13"/>
      <c r="P76" s="1">
        <f>SUM(OSRRefP22_13x_0)</f>
        <v>0</v>
      </c>
      <c r="Q76" s="1"/>
      <c r="R76" s="5">
        <f t="shared" si="40"/>
        <v>0</v>
      </c>
      <c r="S76" s="1"/>
      <c r="T76" s="1">
        <f>SUM(OSRRefT22_13x_0)</f>
        <v>0</v>
      </c>
      <c r="U76" s="1"/>
      <c r="V76" s="5">
        <f t="shared" si="41"/>
        <v>0</v>
      </c>
      <c r="W76" s="1"/>
      <c r="X76" s="1">
        <f t="shared" si="42"/>
        <v>0</v>
      </c>
      <c r="Y76" s="1"/>
      <c r="Z76" s="5">
        <f t="shared" si="43"/>
        <v>0</v>
      </c>
    </row>
    <row r="77" spans="1:26" s="24" customFormat="1" hidden="1" outlineLevel="2" x14ac:dyDescent="0.25">
      <c r="A77" s="27"/>
      <c r="B77" s="11" t="str">
        <f>CONCATENATE("          ", "6387", " - ", "COMMISSION DUE HOUSING")</f>
        <v xml:space="preserve">          6387 - COMMISSION DUE HOUSING</v>
      </c>
      <c r="C77" s="11"/>
      <c r="D77" s="6"/>
      <c r="E77" s="2"/>
      <c r="F77" s="7">
        <f t="shared" si="36"/>
        <v>0</v>
      </c>
      <c r="G77" s="2"/>
      <c r="H77" s="6"/>
      <c r="I77" s="2"/>
      <c r="J77" s="7">
        <f t="shared" si="37"/>
        <v>0</v>
      </c>
      <c r="K77" s="2"/>
      <c r="L77" s="6">
        <f t="shared" si="38"/>
        <v>0</v>
      </c>
      <c r="M77" s="2"/>
      <c r="N77" s="7">
        <f t="shared" si="39"/>
        <v>0</v>
      </c>
      <c r="O77" s="11"/>
      <c r="P77" s="6"/>
      <c r="Q77" s="2"/>
      <c r="R77" s="7">
        <f t="shared" si="40"/>
        <v>0</v>
      </c>
      <c r="S77" s="2"/>
      <c r="T77" s="6">
        <v>0</v>
      </c>
      <c r="U77" s="2"/>
      <c r="V77" s="7">
        <f t="shared" si="41"/>
        <v>0</v>
      </c>
      <c r="W77" s="2"/>
      <c r="X77" s="6">
        <f t="shared" si="42"/>
        <v>0</v>
      </c>
      <c r="Y77" s="2"/>
      <c r="Z77" s="7">
        <f t="shared" si="43"/>
        <v>0</v>
      </c>
    </row>
    <row r="78" spans="1:26" s="26" customFormat="1" outlineLevel="1" collapsed="1" x14ac:dyDescent="0.25">
      <c r="A78" s="25"/>
      <c r="B78" s="13" t="str">
        <f>CONCATENATE("     ","Rent                                              ")</f>
        <v xml:space="preserve">     Rent                                              </v>
      </c>
      <c r="C78" s="13"/>
      <c r="D78" s="1">
        <f>SUM(OSRRefD22_14x_0)</f>
        <v>1150</v>
      </c>
      <c r="E78" s="1"/>
      <c r="F78" s="5">
        <f t="shared" si="36"/>
        <v>8.9342344013705575E-3</v>
      </c>
      <c r="G78" s="1"/>
      <c r="H78" s="1">
        <f>SUM(OSRRefH22_14x_0)</f>
        <v>1150</v>
      </c>
      <c r="I78" s="1"/>
      <c r="J78" s="5">
        <f t="shared" si="37"/>
        <v>8.2668986190684995E-3</v>
      </c>
      <c r="K78" s="1"/>
      <c r="L78" s="1">
        <f t="shared" si="38"/>
        <v>0</v>
      </c>
      <c r="M78" s="1"/>
      <c r="N78" s="5">
        <f t="shared" si="39"/>
        <v>0</v>
      </c>
      <c r="O78" s="13"/>
      <c r="P78" s="1">
        <f>SUM(OSRRefP22_14x_0)</f>
        <v>2300</v>
      </c>
      <c r="Q78" s="1"/>
      <c r="R78" s="5">
        <f t="shared" si="40"/>
        <v>1.2263834538477248E-2</v>
      </c>
      <c r="S78" s="1"/>
      <c r="T78" s="1">
        <f>SUM(OSRRefT22_14x_0)</f>
        <v>2300</v>
      </c>
      <c r="U78" s="1"/>
      <c r="V78" s="5">
        <f t="shared" si="41"/>
        <v>1.1561088793183179E-2</v>
      </c>
      <c r="W78" s="1"/>
      <c r="X78" s="1">
        <f t="shared" si="42"/>
        <v>0</v>
      </c>
      <c r="Y78" s="1"/>
      <c r="Z78" s="5">
        <f t="shared" si="43"/>
        <v>0</v>
      </c>
    </row>
    <row r="79" spans="1:26" s="24" customFormat="1" hidden="1" outlineLevel="2" x14ac:dyDescent="0.25">
      <c r="A79" s="27"/>
      <c r="B79" s="11" t="str">
        <f>CONCATENATE("          ", "6273", " - ", "RENT")</f>
        <v xml:space="preserve">          6273 - RENT</v>
      </c>
      <c r="C79" s="11"/>
      <c r="D79" s="6">
        <v>1150</v>
      </c>
      <c r="E79" s="2"/>
      <c r="F79" s="7">
        <f t="shared" si="36"/>
        <v>8.9342344013705575E-3</v>
      </c>
      <c r="G79" s="2"/>
      <c r="H79" s="6">
        <v>1150</v>
      </c>
      <c r="I79" s="2"/>
      <c r="J79" s="7">
        <f t="shared" si="37"/>
        <v>8.2668986190684995E-3</v>
      </c>
      <c r="K79" s="2"/>
      <c r="L79" s="6">
        <f t="shared" si="38"/>
        <v>0</v>
      </c>
      <c r="M79" s="2"/>
      <c r="N79" s="7">
        <f t="shared" si="39"/>
        <v>0</v>
      </c>
      <c r="O79" s="11"/>
      <c r="P79" s="6">
        <v>2300</v>
      </c>
      <c r="Q79" s="2"/>
      <c r="R79" s="7">
        <f t="shared" si="40"/>
        <v>1.2263834538477248E-2</v>
      </c>
      <c r="S79" s="2"/>
      <c r="T79" s="6">
        <v>2300</v>
      </c>
      <c r="U79" s="2"/>
      <c r="V79" s="7">
        <f t="shared" si="41"/>
        <v>1.1561088793183179E-2</v>
      </c>
      <c r="W79" s="2"/>
      <c r="X79" s="6">
        <f t="shared" si="42"/>
        <v>0</v>
      </c>
      <c r="Y79" s="2"/>
      <c r="Z79" s="7">
        <f t="shared" si="43"/>
        <v>0</v>
      </c>
    </row>
    <row r="80" spans="1:26" s="26" customFormat="1" outlineLevel="1" collapsed="1" x14ac:dyDescent="0.25">
      <c r="A80" s="25"/>
      <c r="B80" s="13" t="str">
        <f>CONCATENATE("     ","Repair and Maintenance                            ")</f>
        <v xml:space="preserve">     Repair and Maintenance                            </v>
      </c>
      <c r="C80" s="13"/>
      <c r="D80" s="1">
        <f>SUM(OSRRefD22_15x_0)</f>
        <v>1230.01</v>
      </c>
      <c r="E80" s="1"/>
      <c r="F80" s="5">
        <f t="shared" si="36"/>
        <v>9.5558240487215642E-3</v>
      </c>
      <c r="G80" s="1"/>
      <c r="H80" s="1">
        <f>SUM(OSRRefH22_15x_0)</f>
        <v>585</v>
      </c>
      <c r="I80" s="1"/>
      <c r="J80" s="5">
        <f t="shared" si="37"/>
        <v>4.2053353844826715E-3</v>
      </c>
      <c r="K80" s="1"/>
      <c r="L80" s="1">
        <f t="shared" si="38"/>
        <v>645.01</v>
      </c>
      <c r="M80" s="1"/>
      <c r="N80" s="5">
        <f t="shared" si="39"/>
        <v>1.1025811965811965</v>
      </c>
      <c r="O80" s="13"/>
      <c r="P80" s="1">
        <f>SUM(OSRRefP22_15x_0)</f>
        <v>2992.8</v>
      </c>
      <c r="Q80" s="1"/>
      <c r="R80" s="5">
        <f t="shared" si="40"/>
        <v>1.5957914785545528E-2</v>
      </c>
      <c r="S80" s="1"/>
      <c r="T80" s="1">
        <f>SUM(OSRRefT22_15x_0)</f>
        <v>3740</v>
      </c>
      <c r="U80" s="1"/>
      <c r="V80" s="5">
        <f t="shared" si="41"/>
        <v>1.8799335689784823E-2</v>
      </c>
      <c r="W80" s="1"/>
      <c r="X80" s="1">
        <f t="shared" si="42"/>
        <v>-747.19999999999982</v>
      </c>
      <c r="Y80" s="1"/>
      <c r="Z80" s="5">
        <f t="shared" si="43"/>
        <v>-0.19978609625668445</v>
      </c>
    </row>
    <row r="81" spans="1:26" s="24" customFormat="1" hidden="1" outlineLevel="2" x14ac:dyDescent="0.25">
      <c r="A81" s="27"/>
      <c r="B81" s="11" t="str">
        <f>CONCATENATE("          ", "6371", " - ", "COMPUTER SOFTWARE MAINTENANCE")</f>
        <v xml:space="preserve">          6371 - COMPUTER SOFTWARE MAINTENANCE</v>
      </c>
      <c r="C81" s="11"/>
      <c r="D81" s="6"/>
      <c r="E81" s="2"/>
      <c r="F81" s="7">
        <f t="shared" si="36"/>
        <v>0</v>
      </c>
      <c r="G81" s="2"/>
      <c r="H81" s="6">
        <v>0</v>
      </c>
      <c r="I81" s="2"/>
      <c r="J81" s="7">
        <f t="shared" si="37"/>
        <v>0</v>
      </c>
      <c r="K81" s="2"/>
      <c r="L81" s="6">
        <f t="shared" si="38"/>
        <v>0</v>
      </c>
      <c r="M81" s="2"/>
      <c r="N81" s="7">
        <f t="shared" si="39"/>
        <v>0</v>
      </c>
      <c r="O81" s="11"/>
      <c r="P81" s="6"/>
      <c r="Q81" s="2"/>
      <c r="R81" s="7">
        <f t="shared" si="40"/>
        <v>0</v>
      </c>
      <c r="S81" s="2"/>
      <c r="T81" s="6">
        <v>0</v>
      </c>
      <c r="U81" s="2"/>
      <c r="V81" s="7">
        <f t="shared" si="41"/>
        <v>0</v>
      </c>
      <c r="W81" s="2"/>
      <c r="X81" s="6">
        <f t="shared" si="42"/>
        <v>0</v>
      </c>
      <c r="Y81" s="2"/>
      <c r="Z81" s="7">
        <f t="shared" si="43"/>
        <v>0</v>
      </c>
    </row>
    <row r="82" spans="1:26" s="24" customFormat="1" hidden="1" outlineLevel="2" x14ac:dyDescent="0.25">
      <c r="A82" s="27"/>
      <c r="B82" s="11" t="str">
        <f>CONCATENATE("          ", "6375", " - ", "OUTSIDE REPAIRS &amp; MAINTENANCE")</f>
        <v xml:space="preserve">          6375 - OUTSIDE REPAIRS &amp; MAINTENANCE</v>
      </c>
      <c r="C82" s="11"/>
      <c r="D82" s="6">
        <v>1230.01</v>
      </c>
      <c r="E82" s="2"/>
      <c r="F82" s="7">
        <f t="shared" si="36"/>
        <v>9.5558240487215642E-3</v>
      </c>
      <c r="G82" s="2"/>
      <c r="H82" s="6">
        <v>585</v>
      </c>
      <c r="I82" s="2"/>
      <c r="J82" s="7">
        <f t="shared" si="37"/>
        <v>4.2053353844826715E-3</v>
      </c>
      <c r="K82" s="2"/>
      <c r="L82" s="6">
        <f t="shared" si="38"/>
        <v>645.01</v>
      </c>
      <c r="M82" s="2"/>
      <c r="N82" s="7">
        <f t="shared" si="39"/>
        <v>1.1025811965811965</v>
      </c>
      <c r="O82" s="11"/>
      <c r="P82" s="6">
        <v>2992.8</v>
      </c>
      <c r="Q82" s="2"/>
      <c r="R82" s="7">
        <f t="shared" si="40"/>
        <v>1.5957914785545528E-2</v>
      </c>
      <c r="S82" s="2"/>
      <c r="T82" s="6">
        <v>3740</v>
      </c>
      <c r="U82" s="2"/>
      <c r="V82" s="7">
        <f t="shared" si="41"/>
        <v>1.8799335689784823E-2</v>
      </c>
      <c r="W82" s="2"/>
      <c r="X82" s="6">
        <f t="shared" si="42"/>
        <v>-747.19999999999982</v>
      </c>
      <c r="Y82" s="2"/>
      <c r="Z82" s="7">
        <f t="shared" si="43"/>
        <v>-0.19978609625668445</v>
      </c>
    </row>
    <row r="83" spans="1:26" s="26" customFormat="1" outlineLevel="1" collapsed="1" x14ac:dyDescent="0.25">
      <c r="A83" s="25"/>
      <c r="B83" s="13" t="str">
        <f>CONCATENATE("     ","Royalty &amp; Commissions                             ")</f>
        <v xml:space="preserve">     Royalty &amp; Commissions                             </v>
      </c>
      <c r="C83" s="13"/>
      <c r="D83" s="1">
        <f>SUM(OSRRefD22_16x_0)</f>
        <v>0</v>
      </c>
      <c r="E83" s="1"/>
      <c r="F83" s="5">
        <f t="shared" ref="F83:F90" si="44">IF(D$12=0,0,D83/D$12)</f>
        <v>0</v>
      </c>
      <c r="G83" s="1"/>
      <c r="H83" s="1">
        <f>SUM(OSRRefH22_16x_0)</f>
        <v>1530</v>
      </c>
      <c r="I83" s="1"/>
      <c r="J83" s="5">
        <f t="shared" ref="J83:J90" si="45">IF(H$12=0,0,H83/H$12)</f>
        <v>1.0998569467108527E-2</v>
      </c>
      <c r="K83" s="1"/>
      <c r="L83" s="1">
        <f t="shared" ref="L83:L90" si="46">+D83-H83</f>
        <v>-1530</v>
      </c>
      <c r="M83" s="1"/>
      <c r="N83" s="5">
        <f t="shared" ref="N83:N90" si="47">IF(H83=0,0,L83/H83)</f>
        <v>-1</v>
      </c>
      <c r="O83" s="13"/>
      <c r="P83" s="1">
        <f>SUM(OSRRefP22_16x_0)</f>
        <v>0</v>
      </c>
      <c r="Q83" s="1"/>
      <c r="R83" s="5">
        <f t="shared" ref="R83:R90" si="48">IF(P$12=0,0,P83/P$12)</f>
        <v>0</v>
      </c>
      <c r="S83" s="1"/>
      <c r="T83" s="1">
        <f>SUM(OSRRefT22_16x_0)</f>
        <v>2063</v>
      </c>
      <c r="U83" s="1"/>
      <c r="V83" s="5">
        <f t="shared" ref="V83:V90" si="49">IF(T$12=0,0,T83/T$12)</f>
        <v>1.0369793991450826E-2</v>
      </c>
      <c r="W83" s="1"/>
      <c r="X83" s="1">
        <f t="shared" ref="X83:X90" si="50">+P83-T83</f>
        <v>-2063</v>
      </c>
      <c r="Y83" s="1"/>
      <c r="Z83" s="5">
        <f t="shared" ref="Z83:Z90" si="51">IF(T83=0,0,X83/T83)</f>
        <v>-1</v>
      </c>
    </row>
    <row r="84" spans="1:26" s="24" customFormat="1" hidden="1" outlineLevel="2" x14ac:dyDescent="0.25">
      <c r="A84" s="27"/>
      <c r="B84" s="11" t="str">
        <f>CONCATENATE("          ", "6259", " - ", "ROYALTY &amp; COMMISSIONS")</f>
        <v xml:space="preserve">          6259 - ROYALTY &amp; COMMISSIONS</v>
      </c>
      <c r="C84" s="11"/>
      <c r="D84" s="6"/>
      <c r="E84" s="2"/>
      <c r="F84" s="7">
        <f t="shared" si="44"/>
        <v>0</v>
      </c>
      <c r="G84" s="2"/>
      <c r="H84" s="6">
        <v>1530</v>
      </c>
      <c r="I84" s="2"/>
      <c r="J84" s="7">
        <f t="shared" si="45"/>
        <v>1.0998569467108527E-2</v>
      </c>
      <c r="K84" s="2"/>
      <c r="L84" s="6">
        <f t="shared" si="46"/>
        <v>-1530</v>
      </c>
      <c r="M84" s="2"/>
      <c r="N84" s="7">
        <f t="shared" si="47"/>
        <v>-1</v>
      </c>
      <c r="O84" s="11"/>
      <c r="P84" s="6"/>
      <c r="Q84" s="2"/>
      <c r="R84" s="7">
        <f t="shared" si="48"/>
        <v>0</v>
      </c>
      <c r="S84" s="2"/>
      <c r="T84" s="6">
        <v>2063</v>
      </c>
      <c r="U84" s="2"/>
      <c r="V84" s="7">
        <f t="shared" si="49"/>
        <v>1.0369793991450826E-2</v>
      </c>
      <c r="W84" s="2"/>
      <c r="X84" s="6">
        <f t="shared" si="50"/>
        <v>-2063</v>
      </c>
      <c r="Y84" s="2"/>
      <c r="Z84" s="7">
        <f t="shared" si="51"/>
        <v>-1</v>
      </c>
    </row>
    <row r="85" spans="1:26" s="26" customFormat="1" outlineLevel="1" collapsed="1" x14ac:dyDescent="0.25">
      <c r="A85" s="25"/>
      <c r="B85" s="13" t="str">
        <f>CONCATENATE("     ","Services                                          ")</f>
        <v xml:space="preserve">     Services                                          </v>
      </c>
      <c r="C85" s="13"/>
      <c r="D85" s="1">
        <f>SUM(OSRRefD22_17x_0)</f>
        <v>2000.58</v>
      </c>
      <c r="E85" s="1"/>
      <c r="F85" s="5">
        <f t="shared" si="44"/>
        <v>1.5542304920603399E-2</v>
      </c>
      <c r="G85" s="1"/>
      <c r="H85" s="1">
        <f>SUM(OSRRefH22_17x_0)</f>
        <v>600</v>
      </c>
      <c r="I85" s="1"/>
      <c r="J85" s="5">
        <f t="shared" si="45"/>
        <v>4.3131644969053046E-3</v>
      </c>
      <c r="K85" s="1"/>
      <c r="L85" s="1">
        <f t="shared" si="46"/>
        <v>1400.58</v>
      </c>
      <c r="M85" s="1"/>
      <c r="N85" s="5">
        <f t="shared" si="47"/>
        <v>2.3342999999999998</v>
      </c>
      <c r="O85" s="13"/>
      <c r="P85" s="1">
        <f>SUM(OSRRefP22_17x_0)</f>
        <v>3453.02</v>
      </c>
      <c r="Q85" s="1"/>
      <c r="R85" s="5">
        <f t="shared" si="48"/>
        <v>1.841185475567509E-2</v>
      </c>
      <c r="S85" s="1"/>
      <c r="T85" s="1">
        <f>SUM(OSRRefT22_17x_0)</f>
        <v>1036</v>
      </c>
      <c r="U85" s="1"/>
      <c r="V85" s="5">
        <f t="shared" si="49"/>
        <v>5.2075165172772928E-3</v>
      </c>
      <c r="W85" s="1"/>
      <c r="X85" s="1">
        <f t="shared" si="50"/>
        <v>2417.02</v>
      </c>
      <c r="Y85" s="1"/>
      <c r="Z85" s="5">
        <f t="shared" si="51"/>
        <v>2.3330308880308879</v>
      </c>
    </row>
    <row r="86" spans="1:26" s="24" customFormat="1" hidden="1" outlineLevel="2" x14ac:dyDescent="0.25">
      <c r="A86" s="27"/>
      <c r="B86" s="11" t="str">
        <f>CONCATENATE("          ", "6281", " - ", "STORAGE FEE")</f>
        <v xml:space="preserve">          6281 - STORAGE FEE</v>
      </c>
      <c r="C86" s="11"/>
      <c r="D86" s="6"/>
      <c r="E86" s="2"/>
      <c r="F86" s="7">
        <f t="shared" si="44"/>
        <v>0</v>
      </c>
      <c r="G86" s="2"/>
      <c r="H86" s="6"/>
      <c r="I86" s="2"/>
      <c r="J86" s="7">
        <f t="shared" si="45"/>
        <v>0</v>
      </c>
      <c r="K86" s="2"/>
      <c r="L86" s="6">
        <f t="shared" si="46"/>
        <v>0</v>
      </c>
      <c r="M86" s="2"/>
      <c r="N86" s="7">
        <f t="shared" si="47"/>
        <v>0</v>
      </c>
      <c r="O86" s="11"/>
      <c r="P86" s="6"/>
      <c r="Q86" s="2"/>
      <c r="R86" s="7">
        <f t="shared" si="48"/>
        <v>0</v>
      </c>
      <c r="S86" s="2"/>
      <c r="T86" s="6">
        <v>0</v>
      </c>
      <c r="U86" s="2"/>
      <c r="V86" s="7">
        <f t="shared" si="49"/>
        <v>0</v>
      </c>
      <c r="W86" s="2"/>
      <c r="X86" s="6">
        <f t="shared" si="50"/>
        <v>0</v>
      </c>
      <c r="Y86" s="2"/>
      <c r="Z86" s="7">
        <f t="shared" si="51"/>
        <v>0</v>
      </c>
    </row>
    <row r="87" spans="1:26" s="24" customFormat="1" hidden="1" outlineLevel="2" x14ac:dyDescent="0.25">
      <c r="A87" s="27"/>
      <c r="B87" s="11" t="str">
        <f>CONCATENATE("          ", "6282", " - ", "JANITORIAL/EXTERMINATOR EXPENS")</f>
        <v xml:space="preserve">          6282 - JANITORIAL/EXTERMINATOR EXPENS</v>
      </c>
      <c r="C87" s="11"/>
      <c r="D87" s="6">
        <v>1046.83</v>
      </c>
      <c r="E87" s="2"/>
      <c r="F87" s="7">
        <f t="shared" si="44"/>
        <v>8.1327170420754259E-3</v>
      </c>
      <c r="G87" s="2"/>
      <c r="H87" s="6">
        <v>303</v>
      </c>
      <c r="I87" s="2"/>
      <c r="J87" s="7">
        <f t="shared" si="45"/>
        <v>2.1781480709371789E-3</v>
      </c>
      <c r="K87" s="2"/>
      <c r="L87" s="6">
        <f t="shared" si="46"/>
        <v>743.82999999999993</v>
      </c>
      <c r="M87" s="2"/>
      <c r="N87" s="7">
        <f t="shared" si="47"/>
        <v>2.4548844884488448</v>
      </c>
      <c r="O87" s="11"/>
      <c r="P87" s="6">
        <v>1648.92</v>
      </c>
      <c r="Q87" s="2"/>
      <c r="R87" s="7">
        <f t="shared" si="48"/>
        <v>8.7922095857330025E-3</v>
      </c>
      <c r="S87" s="2"/>
      <c r="T87" s="6">
        <v>508</v>
      </c>
      <c r="U87" s="2"/>
      <c r="V87" s="7">
        <f t="shared" si="49"/>
        <v>2.5534926551900239E-3</v>
      </c>
      <c r="W87" s="2"/>
      <c r="X87" s="6">
        <f t="shared" si="50"/>
        <v>1140.92</v>
      </c>
      <c r="Y87" s="2"/>
      <c r="Z87" s="7">
        <f t="shared" si="51"/>
        <v>2.2459055118110238</v>
      </c>
    </row>
    <row r="88" spans="1:26" s="24" customFormat="1" hidden="1" outlineLevel="2" x14ac:dyDescent="0.25">
      <c r="A88" s="27"/>
      <c r="B88" s="11" t="str">
        <f>CONCATENATE("          ", "6284", " - ", "TRASH REMOVAL EXPENSE")</f>
        <v xml:space="preserve">          6284 - TRASH REMOVAL EXPENSE</v>
      </c>
      <c r="C88" s="11"/>
      <c r="D88" s="6"/>
      <c r="E88" s="2"/>
      <c r="F88" s="7">
        <f t="shared" si="44"/>
        <v>0</v>
      </c>
      <c r="G88" s="2"/>
      <c r="H88" s="6">
        <v>150</v>
      </c>
      <c r="I88" s="2"/>
      <c r="J88" s="7">
        <f t="shared" si="45"/>
        <v>1.0782911242263262E-3</v>
      </c>
      <c r="K88" s="2"/>
      <c r="L88" s="6">
        <f t="shared" si="46"/>
        <v>-150</v>
      </c>
      <c r="M88" s="2"/>
      <c r="N88" s="7">
        <f t="shared" si="47"/>
        <v>-1</v>
      </c>
      <c r="O88" s="11"/>
      <c r="P88" s="6">
        <v>237</v>
      </c>
      <c r="Q88" s="2"/>
      <c r="R88" s="7">
        <f t="shared" si="48"/>
        <v>1.2637081676604817E-3</v>
      </c>
      <c r="S88" s="2"/>
      <c r="T88" s="6">
        <v>300</v>
      </c>
      <c r="U88" s="2"/>
      <c r="V88" s="7">
        <f t="shared" si="49"/>
        <v>1.5079681034586756E-3</v>
      </c>
      <c r="W88" s="2"/>
      <c r="X88" s="6">
        <f t="shared" si="50"/>
        <v>-63</v>
      </c>
      <c r="Y88" s="2"/>
      <c r="Z88" s="7">
        <f t="shared" si="51"/>
        <v>-0.21</v>
      </c>
    </row>
    <row r="89" spans="1:26" s="24" customFormat="1" hidden="1" outlineLevel="2" x14ac:dyDescent="0.25">
      <c r="A89" s="27"/>
      <c r="B89" s="11" t="str">
        <f>CONCATENATE("          ", "6285", " - ", "JANITORIAL SERVICES")</f>
        <v xml:space="preserve">          6285 - JANITORIAL SERVICES</v>
      </c>
      <c r="C89" s="11"/>
      <c r="D89" s="6">
        <v>125.23</v>
      </c>
      <c r="E89" s="2"/>
      <c r="F89" s="7">
        <f t="shared" si="44"/>
        <v>9.7289928181185645E-4</v>
      </c>
      <c r="G89" s="2"/>
      <c r="H89" s="6">
        <v>102</v>
      </c>
      <c r="I89" s="2"/>
      <c r="J89" s="7">
        <f t="shared" si="45"/>
        <v>7.3323796447390176E-4</v>
      </c>
      <c r="K89" s="2"/>
      <c r="L89" s="6">
        <f t="shared" si="46"/>
        <v>23.230000000000004</v>
      </c>
      <c r="M89" s="2"/>
      <c r="N89" s="7">
        <f t="shared" si="47"/>
        <v>0.22774509803921572</v>
      </c>
      <c r="O89" s="11"/>
      <c r="P89" s="6">
        <v>147.85</v>
      </c>
      <c r="Q89" s="2"/>
      <c r="R89" s="7">
        <f t="shared" si="48"/>
        <v>7.8835127674515702E-4</v>
      </c>
      <c r="S89" s="2"/>
      <c r="T89" s="6">
        <v>138</v>
      </c>
      <c r="U89" s="2"/>
      <c r="V89" s="7">
        <f t="shared" si="49"/>
        <v>6.9366532759099079E-4</v>
      </c>
      <c r="W89" s="2"/>
      <c r="X89" s="6">
        <f t="shared" si="50"/>
        <v>9.8499999999999943</v>
      </c>
      <c r="Y89" s="2"/>
      <c r="Z89" s="7">
        <f t="shared" si="51"/>
        <v>7.1376811594202852E-2</v>
      </c>
    </row>
    <row r="90" spans="1:26" s="24" customFormat="1" hidden="1" outlineLevel="2" x14ac:dyDescent="0.25">
      <c r="A90" s="27"/>
      <c r="B90" s="11" t="str">
        <f>CONCATENATE("          ", "6286", " - ", "LAUNDRY EXPENSE")</f>
        <v xml:space="preserve">          6286 - LAUNDRY EXPENSE</v>
      </c>
      <c r="C90" s="11"/>
      <c r="D90" s="6">
        <v>828.52</v>
      </c>
      <c r="E90" s="2"/>
      <c r="F90" s="7">
        <f t="shared" si="44"/>
        <v>6.4366885967161161E-3</v>
      </c>
      <c r="G90" s="2"/>
      <c r="H90" s="6">
        <v>45</v>
      </c>
      <c r="I90" s="2"/>
      <c r="J90" s="7">
        <f t="shared" si="45"/>
        <v>3.2348733726789782E-4</v>
      </c>
      <c r="K90" s="2"/>
      <c r="L90" s="6">
        <f t="shared" si="46"/>
        <v>783.52</v>
      </c>
      <c r="M90" s="2"/>
      <c r="N90" s="7">
        <f t="shared" si="47"/>
        <v>17.411555555555555</v>
      </c>
      <c r="O90" s="11"/>
      <c r="P90" s="6">
        <v>1419.25</v>
      </c>
      <c r="Q90" s="2"/>
      <c r="R90" s="7">
        <f t="shared" si="48"/>
        <v>7.5675857255364503E-3</v>
      </c>
      <c r="S90" s="2"/>
      <c r="T90" s="6">
        <v>90</v>
      </c>
      <c r="U90" s="2"/>
      <c r="V90" s="7">
        <f t="shared" si="49"/>
        <v>4.5239043103760269E-4</v>
      </c>
      <c r="W90" s="2"/>
      <c r="X90" s="6">
        <f t="shared" si="50"/>
        <v>1329.25</v>
      </c>
      <c r="Y90" s="2"/>
      <c r="Z90" s="7">
        <f t="shared" si="51"/>
        <v>14.769444444444444</v>
      </c>
    </row>
    <row r="91" spans="1:26" s="26" customFormat="1" outlineLevel="1" collapsed="1" x14ac:dyDescent="0.25">
      <c r="A91" s="25"/>
      <c r="B91" s="13" t="str">
        <f>CONCATENATE("     ","Subscriptions &amp; Dues                              ")</f>
        <v xml:space="preserve">     Subscriptions &amp; Dues                              </v>
      </c>
      <c r="C91" s="13"/>
      <c r="D91" s="1">
        <f>SUM(OSRRefD22_18x_0)</f>
        <v>176.4</v>
      </c>
      <c r="E91" s="1"/>
      <c r="F91" s="5">
        <f t="shared" ref="F91:F100" si="52">IF(D$12=0,0,D91/D$12)</f>
        <v>1.370433868175449E-3</v>
      </c>
      <c r="G91" s="1"/>
      <c r="H91" s="1">
        <f>SUM(OSRRefH22_18x_0)</f>
        <v>180</v>
      </c>
      <c r="I91" s="1"/>
      <c r="J91" s="5">
        <f t="shared" ref="J91:J100" si="53">IF(H$12=0,0,H91/H$12)</f>
        <v>1.2939493490715913E-3</v>
      </c>
      <c r="K91" s="1"/>
      <c r="L91" s="1">
        <f t="shared" ref="L91:L100" si="54">+D91-H91</f>
        <v>-3.5999999999999943</v>
      </c>
      <c r="M91" s="1"/>
      <c r="N91" s="5">
        <f t="shared" ref="N91:N100" si="55">IF(H91=0,0,L91/H91)</f>
        <v>-1.9999999999999969E-2</v>
      </c>
      <c r="O91" s="13"/>
      <c r="P91" s="1">
        <f>SUM(OSRRefP22_18x_0)</f>
        <v>352.8</v>
      </c>
      <c r="Q91" s="1"/>
      <c r="R91" s="5">
        <f t="shared" ref="R91:R100" si="56">IF(P$12=0,0,P91/P$12)</f>
        <v>1.881165576162945E-3</v>
      </c>
      <c r="S91" s="1"/>
      <c r="T91" s="1">
        <f>SUM(OSRRefT22_18x_0)</f>
        <v>360</v>
      </c>
      <c r="U91" s="1"/>
      <c r="V91" s="5">
        <f t="shared" ref="V91:V100" si="57">IF(T$12=0,0,T91/T$12)</f>
        <v>1.8095617241504108E-3</v>
      </c>
      <c r="W91" s="1"/>
      <c r="X91" s="1">
        <f t="shared" ref="X91:X100" si="58">+P91-T91</f>
        <v>-7.1999999999999886</v>
      </c>
      <c r="Y91" s="1"/>
      <c r="Z91" s="5">
        <f t="shared" ref="Z91:Z100" si="59">IF(T91=0,0,X91/T91)</f>
        <v>-1.9999999999999969E-2</v>
      </c>
    </row>
    <row r="92" spans="1:26" s="24" customFormat="1" hidden="1" outlineLevel="2" x14ac:dyDescent="0.25">
      <c r="A92" s="27"/>
      <c r="B92" s="11" t="str">
        <f>CONCATENATE("          ", "6275", " - ", "SUBSCRIPTIONS")</f>
        <v xml:space="preserve">          6275 - SUBSCRIPTIONS</v>
      </c>
      <c r="C92" s="11"/>
      <c r="D92" s="6">
        <v>176.4</v>
      </c>
      <c r="E92" s="2"/>
      <c r="F92" s="7">
        <f t="shared" si="52"/>
        <v>1.370433868175449E-3</v>
      </c>
      <c r="G92" s="2"/>
      <c r="H92" s="6">
        <v>180</v>
      </c>
      <c r="I92" s="2"/>
      <c r="J92" s="7">
        <f t="shared" si="53"/>
        <v>1.2939493490715913E-3</v>
      </c>
      <c r="K92" s="2"/>
      <c r="L92" s="6">
        <f t="shared" si="54"/>
        <v>-3.5999999999999943</v>
      </c>
      <c r="M92" s="2"/>
      <c r="N92" s="7">
        <f t="shared" si="55"/>
        <v>-1.9999999999999969E-2</v>
      </c>
      <c r="O92" s="11"/>
      <c r="P92" s="6">
        <v>352.8</v>
      </c>
      <c r="Q92" s="2"/>
      <c r="R92" s="7">
        <f t="shared" si="56"/>
        <v>1.881165576162945E-3</v>
      </c>
      <c r="S92" s="2"/>
      <c r="T92" s="6">
        <v>360</v>
      </c>
      <c r="U92" s="2"/>
      <c r="V92" s="7">
        <f t="shared" si="57"/>
        <v>1.8095617241504108E-3</v>
      </c>
      <c r="W92" s="2"/>
      <c r="X92" s="6">
        <f t="shared" si="58"/>
        <v>-7.1999999999999886</v>
      </c>
      <c r="Y92" s="2"/>
      <c r="Z92" s="7">
        <f t="shared" si="59"/>
        <v>-1.9999999999999969E-2</v>
      </c>
    </row>
    <row r="93" spans="1:26" s="26" customFormat="1" outlineLevel="1" collapsed="1" x14ac:dyDescent="0.25">
      <c r="A93" s="25"/>
      <c r="B93" s="13" t="str">
        <f>CONCATENATE("     ","Supplies                                          ")</f>
        <v xml:space="preserve">     Supplies                                          </v>
      </c>
      <c r="C93" s="13"/>
      <c r="D93" s="1">
        <f>SUM(OSRRefD22_19x_0)</f>
        <v>10151.1</v>
      </c>
      <c r="E93" s="1"/>
      <c r="F93" s="5">
        <f t="shared" si="52"/>
        <v>7.8862875505871885E-2</v>
      </c>
      <c r="G93" s="1"/>
      <c r="H93" s="1">
        <f>SUM(OSRRefH22_19x_0)</f>
        <v>1644</v>
      </c>
      <c r="I93" s="1"/>
      <c r="J93" s="5">
        <f t="shared" si="53"/>
        <v>1.1818070721520534E-2</v>
      </c>
      <c r="K93" s="1"/>
      <c r="L93" s="1">
        <f t="shared" si="54"/>
        <v>8507.1</v>
      </c>
      <c r="M93" s="1"/>
      <c r="N93" s="5">
        <f t="shared" si="55"/>
        <v>5.1746350364963503</v>
      </c>
      <c r="O93" s="13"/>
      <c r="P93" s="1">
        <f>SUM(OSRRefP22_19x_0)</f>
        <v>17553.25</v>
      </c>
      <c r="Q93" s="1"/>
      <c r="R93" s="5">
        <f t="shared" si="56"/>
        <v>9.3595718961967722E-2</v>
      </c>
      <c r="S93" s="1"/>
      <c r="T93" s="1">
        <f>SUM(OSRRefT22_19x_0)</f>
        <v>5879</v>
      </c>
      <c r="U93" s="1"/>
      <c r="V93" s="5">
        <f t="shared" si="57"/>
        <v>2.955114826744518E-2</v>
      </c>
      <c r="W93" s="1"/>
      <c r="X93" s="1">
        <f t="shared" si="58"/>
        <v>11674.25</v>
      </c>
      <c r="Y93" s="1"/>
      <c r="Z93" s="5">
        <f t="shared" si="59"/>
        <v>1.985754379996598</v>
      </c>
    </row>
    <row r="94" spans="1:26" s="24" customFormat="1" hidden="1" outlineLevel="2" x14ac:dyDescent="0.25">
      <c r="A94" s="27"/>
      <c r="B94" s="11" t="str">
        <f>CONCATENATE("          ", "6234", " - ", "EXPENDABLE SUPPLIES &amp; EQUIPMEN")</f>
        <v xml:space="preserve">          6234 - EXPENDABLE SUPPLIES &amp; EQUIPMEN</v>
      </c>
      <c r="C94" s="11"/>
      <c r="D94" s="6">
        <v>1064.24</v>
      </c>
      <c r="E94" s="2"/>
      <c r="F94" s="7">
        <f t="shared" si="52"/>
        <v>8.2679735820126964E-3</v>
      </c>
      <c r="G94" s="2"/>
      <c r="H94" s="6"/>
      <c r="I94" s="2"/>
      <c r="J94" s="7">
        <f t="shared" si="53"/>
        <v>0</v>
      </c>
      <c r="K94" s="2"/>
      <c r="L94" s="6">
        <f t="shared" si="54"/>
        <v>1064.24</v>
      </c>
      <c r="M94" s="2"/>
      <c r="N94" s="7">
        <f t="shared" si="55"/>
        <v>0</v>
      </c>
      <c r="O94" s="11"/>
      <c r="P94" s="6">
        <v>1064.24</v>
      </c>
      <c r="Q94" s="2"/>
      <c r="R94" s="7">
        <f t="shared" si="56"/>
        <v>5.6746362040126204E-3</v>
      </c>
      <c r="S94" s="2"/>
      <c r="T94" s="6">
        <v>3000</v>
      </c>
      <c r="U94" s="2"/>
      <c r="V94" s="7">
        <f t="shared" si="57"/>
        <v>1.5079681034586756E-2</v>
      </c>
      <c r="W94" s="2"/>
      <c r="X94" s="6">
        <f t="shared" si="58"/>
        <v>-1935.76</v>
      </c>
      <c r="Y94" s="2"/>
      <c r="Z94" s="7">
        <f t="shared" si="59"/>
        <v>-0.64525333333333335</v>
      </c>
    </row>
    <row r="95" spans="1:26" s="24" customFormat="1" hidden="1" outlineLevel="2" x14ac:dyDescent="0.25">
      <c r="A95" s="27"/>
      <c r="B95" s="11" t="str">
        <f>CONCATENATE("          ", "6237", " - ", "JANITORIAL SUPPLIES")</f>
        <v xml:space="preserve">          6237 - JANITORIAL SUPPLIES</v>
      </c>
      <c r="C95" s="11"/>
      <c r="D95" s="6">
        <v>636.62</v>
      </c>
      <c r="E95" s="2"/>
      <c r="F95" s="7">
        <f t="shared" si="52"/>
        <v>4.9458367866091514E-3</v>
      </c>
      <c r="G95" s="2"/>
      <c r="H95" s="6">
        <v>100</v>
      </c>
      <c r="I95" s="2"/>
      <c r="J95" s="7">
        <f t="shared" si="53"/>
        <v>7.188607494842174E-4</v>
      </c>
      <c r="K95" s="2"/>
      <c r="L95" s="6">
        <f t="shared" si="54"/>
        <v>536.62</v>
      </c>
      <c r="M95" s="2"/>
      <c r="N95" s="7">
        <f t="shared" si="55"/>
        <v>5.3662000000000001</v>
      </c>
      <c r="O95" s="11"/>
      <c r="P95" s="6">
        <v>1013.94</v>
      </c>
      <c r="Q95" s="2"/>
      <c r="R95" s="7">
        <f t="shared" si="56"/>
        <v>5.4064314747580963E-3</v>
      </c>
      <c r="S95" s="2"/>
      <c r="T95" s="6">
        <v>400</v>
      </c>
      <c r="U95" s="2"/>
      <c r="V95" s="7">
        <f t="shared" si="57"/>
        <v>2.0106241379449006E-3</v>
      </c>
      <c r="W95" s="2"/>
      <c r="X95" s="6">
        <f t="shared" si="58"/>
        <v>613.94000000000005</v>
      </c>
      <c r="Y95" s="2"/>
      <c r="Z95" s="7">
        <f t="shared" si="59"/>
        <v>1.53485</v>
      </c>
    </row>
    <row r="96" spans="1:26" s="24" customFormat="1" hidden="1" outlineLevel="2" x14ac:dyDescent="0.25">
      <c r="A96" s="27"/>
      <c r="B96" s="11" t="str">
        <f>CONCATENATE("          ", "6241", " - ", "OFFICE EXPENSE")</f>
        <v xml:space="preserve">          6241 - OFFICE EXPENSE</v>
      </c>
      <c r="C96" s="11"/>
      <c r="D96" s="6">
        <v>456.83</v>
      </c>
      <c r="E96" s="2"/>
      <c r="F96" s="7">
        <f t="shared" si="52"/>
        <v>3.5490663491983578E-3</v>
      </c>
      <c r="G96" s="2"/>
      <c r="H96" s="6">
        <v>120</v>
      </c>
      <c r="I96" s="2"/>
      <c r="J96" s="7">
        <f t="shared" si="53"/>
        <v>8.6263289938106084E-4</v>
      </c>
      <c r="K96" s="2"/>
      <c r="L96" s="6">
        <f t="shared" si="54"/>
        <v>336.83</v>
      </c>
      <c r="M96" s="2"/>
      <c r="N96" s="7">
        <f t="shared" si="55"/>
        <v>2.8069166666666665</v>
      </c>
      <c r="O96" s="11"/>
      <c r="P96" s="6">
        <v>730.57</v>
      </c>
      <c r="Q96" s="2"/>
      <c r="R96" s="7">
        <f t="shared" si="56"/>
        <v>3.8954737385979671E-3</v>
      </c>
      <c r="S96" s="2"/>
      <c r="T96" s="6">
        <v>120</v>
      </c>
      <c r="U96" s="2"/>
      <c r="V96" s="7">
        <f t="shared" si="57"/>
        <v>6.0318724138347022E-4</v>
      </c>
      <c r="W96" s="2"/>
      <c r="X96" s="6">
        <f t="shared" si="58"/>
        <v>610.57000000000005</v>
      </c>
      <c r="Y96" s="2"/>
      <c r="Z96" s="7">
        <f t="shared" si="59"/>
        <v>5.0880833333333335</v>
      </c>
    </row>
    <row r="97" spans="1:26" s="24" customFormat="1" hidden="1" outlineLevel="2" x14ac:dyDescent="0.25">
      <c r="A97" s="27"/>
      <c r="B97" s="11" t="str">
        <f>CONCATENATE("          ", "6243", " - ", "PAPER SUPPLIES")</f>
        <v xml:space="preserve">          6243 - PAPER SUPPLIES</v>
      </c>
      <c r="C97" s="11"/>
      <c r="D97" s="6">
        <v>601.66999999999996</v>
      </c>
      <c r="E97" s="2"/>
      <c r="F97" s="7">
        <f t="shared" si="52"/>
        <v>4.6743137498022804E-3</v>
      </c>
      <c r="G97" s="2"/>
      <c r="H97" s="6"/>
      <c r="I97" s="2"/>
      <c r="J97" s="7">
        <f t="shared" si="53"/>
        <v>0</v>
      </c>
      <c r="K97" s="2"/>
      <c r="L97" s="6">
        <f t="shared" si="54"/>
        <v>601.66999999999996</v>
      </c>
      <c r="M97" s="2"/>
      <c r="N97" s="7">
        <f t="shared" si="55"/>
        <v>0</v>
      </c>
      <c r="O97" s="11"/>
      <c r="P97" s="6">
        <v>601.66999999999996</v>
      </c>
      <c r="Q97" s="2"/>
      <c r="R97" s="7">
        <f t="shared" si="56"/>
        <v>3.2081657942459154E-3</v>
      </c>
      <c r="S97" s="2"/>
      <c r="T97" s="6"/>
      <c r="U97" s="2"/>
      <c r="V97" s="7">
        <f t="shared" si="57"/>
        <v>0</v>
      </c>
      <c r="W97" s="2"/>
      <c r="X97" s="6">
        <f t="shared" si="58"/>
        <v>601.66999999999996</v>
      </c>
      <c r="Y97" s="2"/>
      <c r="Z97" s="7">
        <f t="shared" si="59"/>
        <v>0</v>
      </c>
    </row>
    <row r="98" spans="1:26" s="24" customFormat="1" hidden="1" outlineLevel="2" x14ac:dyDescent="0.25">
      <c r="A98" s="27"/>
      <c r="B98" s="11" t="str">
        <f>CONCATENATE("          ", "6244", " - ", "SAFETY SUPPLY EXPENSE")</f>
        <v xml:space="preserve">          6244 - SAFETY SUPPLY EXPENSE</v>
      </c>
      <c r="C98" s="11"/>
      <c r="D98" s="6"/>
      <c r="E98" s="2"/>
      <c r="F98" s="7">
        <f t="shared" si="52"/>
        <v>0</v>
      </c>
      <c r="G98" s="2"/>
      <c r="H98" s="6"/>
      <c r="I98" s="2"/>
      <c r="J98" s="7">
        <f t="shared" si="53"/>
        <v>0</v>
      </c>
      <c r="K98" s="2"/>
      <c r="L98" s="6">
        <f t="shared" si="54"/>
        <v>0</v>
      </c>
      <c r="M98" s="2"/>
      <c r="N98" s="7">
        <f t="shared" si="55"/>
        <v>0</v>
      </c>
      <c r="O98" s="11"/>
      <c r="P98" s="6"/>
      <c r="Q98" s="2"/>
      <c r="R98" s="7">
        <f t="shared" si="56"/>
        <v>0</v>
      </c>
      <c r="S98" s="2"/>
      <c r="T98" s="6">
        <v>30</v>
      </c>
      <c r="U98" s="2"/>
      <c r="V98" s="7">
        <f t="shared" si="57"/>
        <v>1.5079681034586755E-4</v>
      </c>
      <c r="W98" s="2"/>
      <c r="X98" s="6">
        <f t="shared" si="58"/>
        <v>-30</v>
      </c>
      <c r="Y98" s="2"/>
      <c r="Z98" s="7">
        <f t="shared" si="59"/>
        <v>-1</v>
      </c>
    </row>
    <row r="99" spans="1:26" s="24" customFormat="1" hidden="1" outlineLevel="2" x14ac:dyDescent="0.25">
      <c r="A99" s="27"/>
      <c r="B99" s="11" t="str">
        <f>CONCATENATE("          ", "6247", " - ", "STORE SUPPLIES")</f>
        <v xml:space="preserve">          6247 - STORE SUPPLIES</v>
      </c>
      <c r="C99" s="11"/>
      <c r="D99" s="6">
        <v>7391.74</v>
      </c>
      <c r="E99" s="2"/>
      <c r="F99" s="7">
        <f t="shared" si="52"/>
        <v>5.7425685038249394E-2</v>
      </c>
      <c r="G99" s="2"/>
      <c r="H99" s="6">
        <v>1424</v>
      </c>
      <c r="I99" s="2"/>
      <c r="J99" s="7">
        <f t="shared" si="53"/>
        <v>1.0236577072655255E-2</v>
      </c>
      <c r="K99" s="2"/>
      <c r="L99" s="6">
        <f t="shared" si="54"/>
        <v>5967.74</v>
      </c>
      <c r="M99" s="2"/>
      <c r="N99" s="7">
        <f t="shared" si="55"/>
        <v>4.1908286516853934</v>
      </c>
      <c r="O99" s="11"/>
      <c r="P99" s="6">
        <v>14142.83</v>
      </c>
      <c r="Q99" s="2"/>
      <c r="R99" s="7">
        <f t="shared" si="56"/>
        <v>7.5411011750353127E-2</v>
      </c>
      <c r="S99" s="2"/>
      <c r="T99" s="6">
        <v>2029</v>
      </c>
      <c r="U99" s="2"/>
      <c r="V99" s="7">
        <f t="shared" si="57"/>
        <v>1.019889093972551E-2</v>
      </c>
      <c r="W99" s="2"/>
      <c r="X99" s="6">
        <f t="shared" si="58"/>
        <v>12113.83</v>
      </c>
      <c r="Y99" s="2"/>
      <c r="Z99" s="7">
        <f t="shared" si="59"/>
        <v>5.9703449975357321</v>
      </c>
    </row>
    <row r="100" spans="1:26" s="24" customFormat="1" hidden="1" outlineLevel="2" x14ac:dyDescent="0.25">
      <c r="A100" s="27"/>
      <c r="B100" s="11" t="str">
        <f>CONCATENATE("          ", "6248", " - ", "UNIFORMS")</f>
        <v xml:space="preserve">          6248 - UNIFORMS</v>
      </c>
      <c r="C100" s="11"/>
      <c r="D100" s="6"/>
      <c r="E100" s="2"/>
      <c r="F100" s="7">
        <f t="shared" si="52"/>
        <v>0</v>
      </c>
      <c r="G100" s="2"/>
      <c r="H100" s="6"/>
      <c r="I100" s="2"/>
      <c r="J100" s="7">
        <f t="shared" si="53"/>
        <v>0</v>
      </c>
      <c r="K100" s="2"/>
      <c r="L100" s="6">
        <f t="shared" si="54"/>
        <v>0</v>
      </c>
      <c r="M100" s="2"/>
      <c r="N100" s="7">
        <f t="shared" si="55"/>
        <v>0</v>
      </c>
      <c r="O100" s="11"/>
      <c r="P100" s="6"/>
      <c r="Q100" s="2"/>
      <c r="R100" s="7">
        <f t="shared" si="56"/>
        <v>0</v>
      </c>
      <c r="S100" s="2"/>
      <c r="T100" s="6">
        <v>300</v>
      </c>
      <c r="U100" s="2"/>
      <c r="V100" s="7">
        <f t="shared" si="57"/>
        <v>1.5079681034586756E-3</v>
      </c>
      <c r="W100" s="2"/>
      <c r="X100" s="6">
        <f t="shared" si="58"/>
        <v>-300</v>
      </c>
      <c r="Y100" s="2"/>
      <c r="Z100" s="7">
        <f t="shared" si="59"/>
        <v>-1</v>
      </c>
    </row>
    <row r="101" spans="1:26" s="26" customFormat="1" outlineLevel="1" collapsed="1" x14ac:dyDescent="0.25">
      <c r="A101" s="25"/>
      <c r="B101" s="13" t="str">
        <f>CONCATENATE("     ","Telephone/Data Lines                              ")</f>
        <v xml:space="preserve">     Telephone/Data Lines                              </v>
      </c>
      <c r="C101" s="13"/>
      <c r="D101" s="1">
        <f>SUM(OSRRefD22_20x_0)</f>
        <v>344.76</v>
      </c>
      <c r="E101" s="1"/>
      <c r="F101" s="5">
        <f t="shared" ref="F101:F106" si="60">IF(D$12=0,0,D101/D$12)</f>
        <v>2.6784057845360984E-3</v>
      </c>
      <c r="G101" s="1"/>
      <c r="H101" s="1">
        <f>SUM(OSRRefH22_20x_0)</f>
        <v>340</v>
      </c>
      <c r="I101" s="1"/>
      <c r="J101" s="5">
        <f t="shared" ref="J101:J106" si="61">IF(H$12=0,0,H101/H$12)</f>
        <v>2.4441265482463394E-3</v>
      </c>
      <c r="K101" s="1"/>
      <c r="L101" s="1">
        <f t="shared" ref="L101:L106" si="62">+D101-H101</f>
        <v>4.7599999999999909</v>
      </c>
      <c r="M101" s="1"/>
      <c r="N101" s="5">
        <f t="shared" ref="N101:N106" si="63">IF(H101=0,0,L101/H101)</f>
        <v>1.3999999999999973E-2</v>
      </c>
      <c r="O101" s="13"/>
      <c r="P101" s="1">
        <f>SUM(OSRRefP22_20x_0)</f>
        <v>581.57000000000005</v>
      </c>
      <c r="Q101" s="1"/>
      <c r="R101" s="5">
        <f t="shared" ref="R101:R106" si="64">IF(P$12=0,0,P101/P$12)</f>
        <v>3.1009905445835715E-3</v>
      </c>
      <c r="S101" s="1"/>
      <c r="T101" s="1">
        <f>SUM(OSRRefT22_20x_0)</f>
        <v>680</v>
      </c>
      <c r="U101" s="1"/>
      <c r="V101" s="5">
        <f t="shared" ref="V101:V106" si="65">IF(T$12=0,0,T101/T$12)</f>
        <v>3.4180610345063314E-3</v>
      </c>
      <c r="W101" s="1"/>
      <c r="X101" s="1">
        <f t="shared" ref="X101:X106" si="66">+P101-T101</f>
        <v>-98.42999999999995</v>
      </c>
      <c r="Y101" s="1"/>
      <c r="Z101" s="5">
        <f t="shared" ref="Z101:Z106" si="67">IF(T101=0,0,X101/T101)</f>
        <v>-0.14474999999999993</v>
      </c>
    </row>
    <row r="102" spans="1:26" s="24" customFormat="1" hidden="1" outlineLevel="2" x14ac:dyDescent="0.25">
      <c r="A102" s="27"/>
      <c r="B102" s="11" t="str">
        <f>CONCATENATE("          ", "6309", " - ", "TELEPHONE")</f>
        <v xml:space="preserve">          6309 - TELEPHONE</v>
      </c>
      <c r="C102" s="11"/>
      <c r="D102" s="6">
        <v>344.76</v>
      </c>
      <c r="E102" s="2"/>
      <c r="F102" s="7">
        <f t="shared" si="60"/>
        <v>2.6784057845360984E-3</v>
      </c>
      <c r="G102" s="2"/>
      <c r="H102" s="6">
        <v>340</v>
      </c>
      <c r="I102" s="2"/>
      <c r="J102" s="7">
        <f t="shared" si="61"/>
        <v>2.4441265482463394E-3</v>
      </c>
      <c r="K102" s="2"/>
      <c r="L102" s="6">
        <f t="shared" si="62"/>
        <v>4.7599999999999909</v>
      </c>
      <c r="M102" s="2"/>
      <c r="N102" s="7">
        <f t="shared" si="63"/>
        <v>1.3999999999999973E-2</v>
      </c>
      <c r="O102" s="11"/>
      <c r="P102" s="6">
        <v>581.57000000000005</v>
      </c>
      <c r="Q102" s="2"/>
      <c r="R102" s="7">
        <f t="shared" si="64"/>
        <v>3.1009905445835715E-3</v>
      </c>
      <c r="S102" s="2"/>
      <c r="T102" s="6">
        <v>680</v>
      </c>
      <c r="U102" s="2"/>
      <c r="V102" s="7">
        <f t="shared" si="65"/>
        <v>3.4180610345063314E-3</v>
      </c>
      <c r="W102" s="2"/>
      <c r="X102" s="6">
        <f t="shared" si="66"/>
        <v>-98.42999999999995</v>
      </c>
      <c r="Y102" s="2"/>
      <c r="Z102" s="7">
        <f t="shared" si="67"/>
        <v>-0.14474999999999993</v>
      </c>
    </row>
    <row r="103" spans="1:26" s="26" customFormat="1" outlineLevel="1" collapsed="1" x14ac:dyDescent="0.25">
      <c r="A103" s="25"/>
      <c r="B103" s="13" t="str">
        <f>CONCATENATE("     ","Training                                          ")</f>
        <v xml:space="preserve">     Training                                          </v>
      </c>
      <c r="C103" s="13"/>
      <c r="D103" s="1">
        <f>SUM(OSRRefD22_21x_0)</f>
        <v>0</v>
      </c>
      <c r="E103" s="1"/>
      <c r="F103" s="5">
        <f t="shared" si="60"/>
        <v>0</v>
      </c>
      <c r="G103" s="1"/>
      <c r="H103" s="1">
        <f>SUM(OSRRefH22_21x_0)</f>
        <v>1100</v>
      </c>
      <c r="I103" s="1"/>
      <c r="J103" s="5">
        <f t="shared" si="61"/>
        <v>7.9074682443263915E-3</v>
      </c>
      <c r="K103" s="1"/>
      <c r="L103" s="1">
        <f t="shared" si="62"/>
        <v>-1100</v>
      </c>
      <c r="M103" s="1"/>
      <c r="N103" s="5">
        <f t="shared" si="63"/>
        <v>-1</v>
      </c>
      <c r="O103" s="13"/>
      <c r="P103" s="1">
        <f>SUM(OSRRefP22_21x_0)</f>
        <v>0</v>
      </c>
      <c r="Q103" s="1"/>
      <c r="R103" s="5">
        <f t="shared" si="64"/>
        <v>0</v>
      </c>
      <c r="S103" s="1"/>
      <c r="T103" s="1">
        <f>SUM(OSRRefT22_21x_0)</f>
        <v>1100</v>
      </c>
      <c r="U103" s="1"/>
      <c r="V103" s="5">
        <f t="shared" si="65"/>
        <v>5.5292163793484771E-3</v>
      </c>
      <c r="W103" s="1"/>
      <c r="X103" s="1">
        <f t="shared" si="66"/>
        <v>-1100</v>
      </c>
      <c r="Y103" s="1"/>
      <c r="Z103" s="5">
        <f t="shared" si="67"/>
        <v>-1</v>
      </c>
    </row>
    <row r="104" spans="1:26" s="24" customFormat="1" hidden="1" outlineLevel="2" x14ac:dyDescent="0.25">
      <c r="A104" s="27"/>
      <c r="B104" s="11" t="str">
        <f>CONCATENATE("          ", "6376", " - ", "TRAINING")</f>
        <v xml:space="preserve">          6376 - TRAINING</v>
      </c>
      <c r="C104" s="11"/>
      <c r="D104" s="6"/>
      <c r="E104" s="2"/>
      <c r="F104" s="7">
        <f t="shared" si="60"/>
        <v>0</v>
      </c>
      <c r="G104" s="2"/>
      <c r="H104" s="6">
        <v>1100</v>
      </c>
      <c r="I104" s="2"/>
      <c r="J104" s="7">
        <f t="shared" si="61"/>
        <v>7.9074682443263915E-3</v>
      </c>
      <c r="K104" s="2"/>
      <c r="L104" s="6">
        <f t="shared" si="62"/>
        <v>-1100</v>
      </c>
      <c r="M104" s="2"/>
      <c r="N104" s="7">
        <f t="shared" si="63"/>
        <v>-1</v>
      </c>
      <c r="O104" s="11"/>
      <c r="P104" s="6"/>
      <c r="Q104" s="2"/>
      <c r="R104" s="7">
        <f t="shared" si="64"/>
        <v>0</v>
      </c>
      <c r="S104" s="2"/>
      <c r="T104" s="6">
        <v>1100</v>
      </c>
      <c r="U104" s="2"/>
      <c r="V104" s="7">
        <f t="shared" si="65"/>
        <v>5.5292163793484771E-3</v>
      </c>
      <c r="W104" s="2"/>
      <c r="X104" s="6">
        <f t="shared" si="66"/>
        <v>-1100</v>
      </c>
      <c r="Y104" s="2"/>
      <c r="Z104" s="7">
        <f t="shared" si="67"/>
        <v>-1</v>
      </c>
    </row>
    <row r="105" spans="1:26" s="26" customFormat="1" outlineLevel="1" collapsed="1" x14ac:dyDescent="0.25">
      <c r="A105" s="25"/>
      <c r="B105" s="13" t="str">
        <f>CONCATENATE("     ","Utilities                                         ")</f>
        <v xml:space="preserve">     Utilities                                         </v>
      </c>
      <c r="C105" s="13"/>
      <c r="D105" s="1">
        <f>SUM(OSRRefD22_22x_0)</f>
        <v>-902.88</v>
      </c>
      <c r="E105" s="1"/>
      <c r="F105" s="5">
        <f t="shared" si="60"/>
        <v>-7.014383962008216E-3</v>
      </c>
      <c r="G105" s="1"/>
      <c r="H105" s="1">
        <f>SUM(OSRRefH22_22x_0)</f>
        <v>1117</v>
      </c>
      <c r="I105" s="1"/>
      <c r="J105" s="5">
        <f t="shared" si="61"/>
        <v>8.029674571738709E-3</v>
      </c>
      <c r="K105" s="1"/>
      <c r="L105" s="1">
        <f t="shared" si="62"/>
        <v>-2019.88</v>
      </c>
      <c r="M105" s="1"/>
      <c r="N105" s="5">
        <f t="shared" si="63"/>
        <v>-1.8083079677708147</v>
      </c>
      <c r="O105" s="13"/>
      <c r="P105" s="1">
        <f>SUM(OSRRefP22_22x_0)</f>
        <v>56.12</v>
      </c>
      <c r="Q105" s="1"/>
      <c r="R105" s="5">
        <f t="shared" si="64"/>
        <v>2.9923756273884483E-4</v>
      </c>
      <c r="S105" s="1"/>
      <c r="T105" s="1">
        <f>SUM(OSRRefT22_22x_0)</f>
        <v>2223</v>
      </c>
      <c r="U105" s="1"/>
      <c r="V105" s="5">
        <f t="shared" si="65"/>
        <v>1.1174043646628785E-2</v>
      </c>
      <c r="W105" s="1"/>
      <c r="X105" s="1">
        <f t="shared" si="66"/>
        <v>-2166.88</v>
      </c>
      <c r="Y105" s="1"/>
      <c r="Z105" s="5">
        <f t="shared" si="67"/>
        <v>-0.97475483580746747</v>
      </c>
    </row>
    <row r="106" spans="1:26" s="24" customFormat="1" hidden="1" outlineLevel="2" x14ac:dyDescent="0.25">
      <c r="A106" s="27"/>
      <c r="B106" s="11" t="str">
        <f>CONCATENATE("          ", "6274", " - ", "UTILITIES")</f>
        <v xml:space="preserve">          6274 - UTILITIES</v>
      </c>
      <c r="C106" s="11"/>
      <c r="D106" s="6">
        <v>-902.88</v>
      </c>
      <c r="E106" s="2"/>
      <c r="F106" s="7">
        <f t="shared" si="60"/>
        <v>-7.014383962008216E-3</v>
      </c>
      <c r="G106" s="2"/>
      <c r="H106" s="6">
        <v>1117</v>
      </c>
      <c r="I106" s="2"/>
      <c r="J106" s="7">
        <f t="shared" si="61"/>
        <v>8.029674571738709E-3</v>
      </c>
      <c r="K106" s="2"/>
      <c r="L106" s="6">
        <f t="shared" si="62"/>
        <v>-2019.88</v>
      </c>
      <c r="M106" s="2"/>
      <c r="N106" s="7">
        <f t="shared" si="63"/>
        <v>-1.8083079677708147</v>
      </c>
      <c r="O106" s="11"/>
      <c r="P106" s="6">
        <v>56.12</v>
      </c>
      <c r="Q106" s="2"/>
      <c r="R106" s="7">
        <f t="shared" si="64"/>
        <v>2.9923756273884483E-4</v>
      </c>
      <c r="S106" s="2"/>
      <c r="T106" s="6">
        <v>2223</v>
      </c>
      <c r="U106" s="2"/>
      <c r="V106" s="7">
        <f t="shared" si="65"/>
        <v>1.1174043646628785E-2</v>
      </c>
      <c r="W106" s="2"/>
      <c r="X106" s="6">
        <f t="shared" si="66"/>
        <v>-2166.88</v>
      </c>
      <c r="Y106" s="2"/>
      <c r="Z106" s="7">
        <f t="shared" si="67"/>
        <v>-0.97475483580746747</v>
      </c>
    </row>
    <row r="107" spans="1:26" s="63" customFormat="1" x14ac:dyDescent="0.25">
      <c r="A107" s="36"/>
      <c r="B107" s="36"/>
      <c r="C107" s="36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6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x14ac:dyDescent="0.25">
      <c r="A108" s="10"/>
      <c r="B108" s="28" t="s">
        <v>0</v>
      </c>
      <c r="C108" s="10"/>
      <c r="D108" s="4">
        <f>SUM(0)</f>
        <v>0</v>
      </c>
      <c r="E108" s="4"/>
      <c r="F108" s="12">
        <f>IF(D$12=0,0,D108/D$12)</f>
        <v>0</v>
      </c>
      <c r="G108" s="4"/>
      <c r="H108" s="4">
        <f>SUM(0)</f>
        <v>0</v>
      </c>
      <c r="I108" s="4"/>
      <c r="J108" s="12">
        <f>IF(H$12=0,0,H108/H$12)</f>
        <v>0</v>
      </c>
      <c r="K108" s="4"/>
      <c r="L108" s="4">
        <f>+D108-H108</f>
        <v>0</v>
      </c>
      <c r="M108" s="4"/>
      <c r="N108" s="12">
        <f>IF(H108=0,0,L108/H108)</f>
        <v>0</v>
      </c>
      <c r="O108" s="10"/>
      <c r="P108" s="4">
        <f>SUM(0)</f>
        <v>0</v>
      </c>
      <c r="Q108" s="4"/>
      <c r="R108" s="12">
        <f>IF(P$12=0,0,P108/P$12)</f>
        <v>0</v>
      </c>
      <c r="S108" s="4"/>
      <c r="T108" s="4">
        <f>SUM(0)</f>
        <v>0</v>
      </c>
      <c r="U108" s="4"/>
      <c r="V108" s="12">
        <f>IF(T$12=0,0,T108/T$12)</f>
        <v>0</v>
      </c>
      <c r="W108" s="4"/>
      <c r="X108" s="4">
        <f>+P108-T108</f>
        <v>0</v>
      </c>
      <c r="Y108" s="4"/>
      <c r="Z108" s="12">
        <f>IF(T108=0,0,X108/T108)</f>
        <v>0</v>
      </c>
    </row>
    <row r="109" spans="1:26" x14ac:dyDescent="0.25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10"/>
      <c r="B110" s="29" t="s">
        <v>3</v>
      </c>
      <c r="C110" s="29"/>
      <c r="D110" s="22">
        <f>+D29-D31+D108</f>
        <v>-25225.909999999974</v>
      </c>
      <c r="E110" s="14"/>
      <c r="F110" s="20">
        <f>IF(D$12=0,0,D110/D$12)</f>
        <v>-0.19597755906771941</v>
      </c>
      <c r="G110" s="14"/>
      <c r="H110" s="22">
        <f>+H29-H31+H108</f>
        <v>-6390.4846883884602</v>
      </c>
      <c r="I110" s="14"/>
      <c r="J110" s="20">
        <f>IF(H$12=0,0,H110/H$12)</f>
        <v>-4.593868612662344E-2</v>
      </c>
      <c r="K110" s="15"/>
      <c r="L110" s="22">
        <f>+D110-H110</f>
        <v>-18835.425311611514</v>
      </c>
      <c r="M110" s="15"/>
      <c r="N110" s="20">
        <f>IF(H110=0,0,L110/H110)</f>
        <v>2.9474173290541748</v>
      </c>
      <c r="O110" s="28"/>
      <c r="P110" s="22">
        <f>+P29-P31+P108</f>
        <v>-76390.969999999972</v>
      </c>
      <c r="Q110" s="14"/>
      <c r="R110" s="20">
        <f>IF(P$12=0,0,P110/P$12)</f>
        <v>-0.40732444187555605</v>
      </c>
      <c r="S110" s="14"/>
      <c r="T110" s="22">
        <f>+T29-T31+T108</f>
        <v>-49974.554979811539</v>
      </c>
      <c r="U110" s="14"/>
      <c r="V110" s="20">
        <f>IF(T$12=0,0,T110/T$12)</f>
        <v>-0.25120011631365907</v>
      </c>
      <c r="W110" s="15"/>
      <c r="X110" s="22">
        <f>+P110-T110</f>
        <v>-26416.415020188433</v>
      </c>
      <c r="Y110" s="15"/>
      <c r="Z110" s="20">
        <f>IF(T110=0,0,X110/T110)</f>
        <v>0.52859730378509617</v>
      </c>
    </row>
    <row r="111" spans="1:26" x14ac:dyDescent="0.25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52"/>
      <c r="B112" s="10" t="s">
        <v>14</v>
      </c>
      <c r="C112" s="10"/>
      <c r="D112" s="4">
        <v>11151.8</v>
      </c>
      <c r="E112" s="4"/>
      <c r="F112" s="12">
        <f>IF(D$12=0,0,D112/D$12)</f>
        <v>8.6637213214960151E-2</v>
      </c>
      <c r="G112" s="4"/>
      <c r="H112" s="4">
        <v>17726</v>
      </c>
      <c r="I112" s="4"/>
      <c r="J112" s="12">
        <f>IF(H$12=0,0,H112/H$12)</f>
        <v>0.12742525645357239</v>
      </c>
      <c r="K112" s="4"/>
      <c r="L112" s="4">
        <f>+D112-H112</f>
        <v>-6574.2000000000007</v>
      </c>
      <c r="M112" s="4"/>
      <c r="N112" s="12">
        <f>IF(H112=0,0,L112/H112)</f>
        <v>-0.37087893489789014</v>
      </c>
      <c r="O112" s="10"/>
      <c r="P112" s="4">
        <v>23383.230000000003</v>
      </c>
      <c r="Q112" s="4"/>
      <c r="R112" s="12">
        <f>IF(P$12=0,0,P112/P$12)</f>
        <v>0.12468176682398148</v>
      </c>
      <c r="S112" s="4"/>
      <c r="T112" s="4">
        <v>32308</v>
      </c>
      <c r="U112" s="4"/>
      <c r="V112" s="12">
        <f>IF(T$12=0,0,T112/T$12)</f>
        <v>0.16239811162180964</v>
      </c>
      <c r="W112" s="4"/>
      <c r="X112" s="4">
        <f>+P112-T112</f>
        <v>-8924.7699999999968</v>
      </c>
      <c r="Y112" s="4"/>
      <c r="Z112" s="12">
        <f>IF(T112=0,0,X112/T112)</f>
        <v>-0.27624025009285613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9" t="s">
        <v>4</v>
      </c>
      <c r="C114" s="29"/>
      <c r="D114" s="31">
        <f>+D110-D112</f>
        <v>-36377.709999999977</v>
      </c>
      <c r="E114" s="14"/>
      <c r="F114" s="32">
        <f>IF(D$12=0,0,D114/D$12)</f>
        <v>-0.28261477228267962</v>
      </c>
      <c r="G114" s="14"/>
      <c r="H114" s="31">
        <f>+H110-H112</f>
        <v>-24116.48468838846</v>
      </c>
      <c r="I114" s="14"/>
      <c r="J114" s="32">
        <f>IF(H$12=0,0,H114/H$12)</f>
        <v>-0.17336394258019583</v>
      </c>
      <c r="K114" s="15"/>
      <c r="L114" s="31">
        <f>D114-H114</f>
        <v>-12261.225311611517</v>
      </c>
      <c r="M114" s="15"/>
      <c r="N114" s="32">
        <f>IF(H114=0,0,L114/H114)</f>
        <v>0.50841677259517926</v>
      </c>
      <c r="O114" s="28"/>
      <c r="P114" s="31">
        <f>+P110-P112</f>
        <v>-99774.199999999983</v>
      </c>
      <c r="Q114" s="14"/>
      <c r="R114" s="32">
        <f>IF(P$12=0,0,P114/P$12)</f>
        <v>-0.53200620869953763</v>
      </c>
      <c r="S114" s="14"/>
      <c r="T114" s="31">
        <f>+T110-T112</f>
        <v>-82282.554979811539</v>
      </c>
      <c r="U114" s="14"/>
      <c r="V114" s="32">
        <f>IF(T$12=0,0,T114/T$12)</f>
        <v>-0.41359822793546869</v>
      </c>
      <c r="W114" s="15"/>
      <c r="X114" s="31">
        <f>P114-T114</f>
        <v>-17491.645020188444</v>
      </c>
      <c r="Y114" s="15"/>
      <c r="Z114" s="32">
        <f>IF(T114=0,0,X114/T114)</f>
        <v>0.21258023677655746</v>
      </c>
    </row>
    <row r="115" spans="1:26" ht="15.75" thickTop="1" x14ac:dyDescent="0.25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25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9" t="s">
        <v>5</v>
      </c>
      <c r="C117" s="29"/>
      <c r="D117" s="33">
        <f>SUM(D114:D116)</f>
        <v>-36377.709999999977</v>
      </c>
      <c r="E117" s="14"/>
      <c r="F117" s="35">
        <f>IF(D$12=0,0,D117/D$12)</f>
        <v>-0.28261477228267962</v>
      </c>
      <c r="G117" s="14"/>
      <c r="H117" s="33">
        <f>SUM(H114:H116)</f>
        <v>-24116.48468838846</v>
      </c>
      <c r="I117" s="14"/>
      <c r="J117" s="35">
        <f>IF(H$12=0,0,H117/H$12)</f>
        <v>-0.17336394258019583</v>
      </c>
      <c r="K117" s="15"/>
      <c r="L117" s="33">
        <f>+D117-H117</f>
        <v>-12261.225311611517</v>
      </c>
      <c r="M117" s="15"/>
      <c r="N117" s="35">
        <f>IF(H117=0,0,L117/H117)</f>
        <v>0.50841677259517926</v>
      </c>
      <c r="O117" s="28"/>
      <c r="P117" s="33">
        <f>SUM(P114:P116)</f>
        <v>-99774.199999999983</v>
      </c>
      <c r="Q117" s="14"/>
      <c r="R117" s="35">
        <f>IF(P$12=0,0,P117/P$12)</f>
        <v>-0.53200620869953763</v>
      </c>
      <c r="S117" s="14"/>
      <c r="T117" s="33">
        <f>SUM(T114:T116)</f>
        <v>-82282.554979811539</v>
      </c>
      <c r="U117" s="14"/>
      <c r="V117" s="35">
        <f>IF(T$12=0,0,T117/T$12)</f>
        <v>-0.41359822793546869</v>
      </c>
      <c r="W117" s="15"/>
      <c r="X117" s="33">
        <f>+P117-T117</f>
        <v>-17491.645020188444</v>
      </c>
      <c r="Y117" s="15"/>
      <c r="Z117" s="35">
        <f>IF(T117=0,0,X117/T117)</f>
        <v>0.21258023677655746</v>
      </c>
    </row>
    <row r="118" spans="1:26" ht="15.75" thickTop="1" x14ac:dyDescent="0.25">
      <c r="A118" s="9"/>
      <c r="C118" s="9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25">
      <c r="A119" s="9"/>
      <c r="B119" s="61">
        <v>43732.705469479166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25">
      <c r="A120" s="9"/>
      <c r="B120" s="62" t="s">
        <v>314</v>
      </c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25">
      <c r="A121" s="9"/>
      <c r="B121" s="58"/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25"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","309", " - ", "Carts")</f>
        <v>Department 309 - Carts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15125.08</v>
      </c>
      <c r="E12" s="4"/>
      <c r="F12" s="12"/>
      <c r="G12" s="4"/>
      <c r="H12" s="4">
        <f>SUM(OSRRefH13x_0)</f>
        <v>16068</v>
      </c>
      <c r="I12" s="4"/>
      <c r="J12" s="12"/>
      <c r="K12" s="4"/>
      <c r="L12" s="4">
        <f t="shared" ref="L12:L15" si="0">+D12-H12</f>
        <v>-942.92000000000007</v>
      </c>
      <c r="M12" s="4"/>
      <c r="N12" s="12">
        <f t="shared" ref="N12:N15" si="1">IF(H12=0,0,L12/H12)</f>
        <v>-5.8683096838436651E-2</v>
      </c>
      <c r="O12" s="10"/>
      <c r="P12" s="4">
        <f>SUM(OSRRefP13x_0)</f>
        <v>19888.060000000001</v>
      </c>
      <c r="Q12" s="4"/>
      <c r="R12" s="12"/>
      <c r="S12" s="4"/>
      <c r="T12" s="4">
        <f>SUM(OSRRefT13x_0)</f>
        <v>21136</v>
      </c>
      <c r="U12" s="4"/>
      <c r="V12" s="12"/>
      <c r="W12" s="4"/>
      <c r="X12" s="4">
        <f t="shared" ref="X12:X15" si="2">+P12-T12</f>
        <v>-1247.9399999999987</v>
      </c>
      <c r="Y12" s="4"/>
      <c r="Z12" s="12">
        <f t="shared" ref="Z12:Z15" si="3">IF(T12=0,0,X12/T12)</f>
        <v>-5.9043338380015076E-2</v>
      </c>
    </row>
    <row r="13" spans="1:26" s="24" customFormat="1" hidden="1" outlineLevel="1" x14ac:dyDescent="0.25">
      <c r="A13" s="46"/>
      <c r="B13" s="11" t="str">
        <f>CONCATENATE("          ", "4051", " - ", "TAXABLE SALES-FOOD")</f>
        <v xml:space="preserve">          4051 - TAXABLE SALES-FOOD</v>
      </c>
      <c r="C13" s="11"/>
      <c r="D13" s="2">
        <f>--2793.27</f>
        <v>2793.27</v>
      </c>
      <c r="E13" s="2"/>
      <c r="F13" s="21"/>
      <c r="G13" s="2"/>
      <c r="H13" s="2"/>
      <c r="I13" s="2"/>
      <c r="J13" s="21"/>
      <c r="K13" s="2"/>
      <c r="L13" s="2">
        <f t="shared" si="0"/>
        <v>2793.27</v>
      </c>
      <c r="M13" s="2"/>
      <c r="N13" s="21">
        <f t="shared" si="1"/>
        <v>0</v>
      </c>
      <c r="O13" s="11"/>
      <c r="P13" s="2">
        <f>--3687.3</f>
        <v>3687.3</v>
      </c>
      <c r="Q13" s="2"/>
      <c r="R13" s="21"/>
      <c r="S13" s="2"/>
      <c r="T13" s="2"/>
      <c r="U13" s="2"/>
      <c r="V13" s="21"/>
      <c r="W13" s="2"/>
      <c r="X13" s="2">
        <f t="shared" si="2"/>
        <v>3687.3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1"/>
      <c r="G14" s="2"/>
      <c r="H14" s="2">
        <v>16068</v>
      </c>
      <c r="I14" s="2"/>
      <c r="J14" s="21"/>
      <c r="K14" s="2"/>
      <c r="L14" s="2">
        <f t="shared" si="0"/>
        <v>-16068</v>
      </c>
      <c r="M14" s="2"/>
      <c r="N14" s="21">
        <f t="shared" si="1"/>
        <v>-1</v>
      </c>
      <c r="O14" s="11"/>
      <c r="P14" s="2">
        <f>0</f>
        <v>0</v>
      </c>
      <c r="Q14" s="2"/>
      <c r="R14" s="21"/>
      <c r="S14" s="2"/>
      <c r="T14" s="2">
        <v>21136</v>
      </c>
      <c r="U14" s="2"/>
      <c r="V14" s="21"/>
      <c r="W14" s="2"/>
      <c r="X14" s="2">
        <f t="shared" si="2"/>
        <v>-21136</v>
      </c>
      <c r="Y14" s="2"/>
      <c r="Z14" s="21">
        <f t="shared" si="3"/>
        <v>-1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--12331.81</f>
        <v>12331.81</v>
      </c>
      <c r="E15" s="2"/>
      <c r="F15" s="21"/>
      <c r="G15" s="2"/>
      <c r="H15" s="2"/>
      <c r="I15" s="2"/>
      <c r="J15" s="21"/>
      <c r="K15" s="2"/>
      <c r="L15" s="2">
        <f t="shared" si="0"/>
        <v>12331.81</v>
      </c>
      <c r="M15" s="2"/>
      <c r="N15" s="21">
        <f t="shared" si="1"/>
        <v>0</v>
      </c>
      <c r="O15" s="11"/>
      <c r="P15" s="2">
        <f>--16200.76</f>
        <v>16200.76</v>
      </c>
      <c r="Q15" s="2"/>
      <c r="R15" s="21"/>
      <c r="S15" s="2"/>
      <c r="T15" s="2"/>
      <c r="U15" s="2"/>
      <c r="V15" s="21"/>
      <c r="W15" s="2"/>
      <c r="X15" s="2">
        <f t="shared" si="2"/>
        <v>16200.76</v>
      </c>
      <c r="Y15" s="2"/>
      <c r="Z15" s="21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7225.58</v>
      </c>
      <c r="E17" s="4"/>
      <c r="F17" s="12">
        <f t="shared" ref="F17:F20" si="4">IF(D$12=0,0,D17/D$12)</f>
        <v>0.47772177072782424</v>
      </c>
      <c r="G17" s="4"/>
      <c r="H17" s="4">
        <f>SUM(OSRRefH16x_0)</f>
        <v>7954</v>
      </c>
      <c r="I17" s="4"/>
      <c r="J17" s="12">
        <f t="shared" ref="J17:J20" si="5">IF(H$12=0,0,H17/H$12)</f>
        <v>0.49502116006970376</v>
      </c>
      <c r="K17" s="4"/>
      <c r="L17" s="4">
        <f t="shared" ref="L17:L20" si="6">+D17-H17</f>
        <v>-728.42000000000007</v>
      </c>
      <c r="M17" s="4"/>
      <c r="N17" s="12">
        <f t="shared" ref="N17:N20" si="7">IF(H17=0,0,L17/H17)</f>
        <v>-9.1579079708322866E-2</v>
      </c>
      <c r="O17" s="10"/>
      <c r="P17" s="4">
        <f>SUM(OSRRefP16x_0)</f>
        <v>9557.1899999999987</v>
      </c>
      <c r="Q17" s="4"/>
      <c r="R17" s="12">
        <f t="shared" ref="R17:R20" si="8">IF(P$12=0,0,P17/P$12)</f>
        <v>0.48054913350020051</v>
      </c>
      <c r="S17" s="4"/>
      <c r="T17" s="4">
        <f>SUM(OSRRefT16x_0)</f>
        <v>10462</v>
      </c>
      <c r="U17" s="4"/>
      <c r="V17" s="12">
        <f t="shared" ref="V17:V20" si="9">IF(T$12=0,0,T17/T$12)</f>
        <v>0.49498485995457986</v>
      </c>
      <c r="W17" s="4"/>
      <c r="X17" s="4">
        <f t="shared" ref="X17:X20" si="10">+P17-T17</f>
        <v>-904.81000000000131</v>
      </c>
      <c r="Y17" s="4"/>
      <c r="Z17" s="12">
        <f t="shared" ref="Z17:Z20" si="11">IF(T17=0,0,X17/T17)</f>
        <v>-8.648537564519225E-2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1">
        <f t="shared" si="4"/>
        <v>0</v>
      </c>
      <c r="G18" s="2"/>
      <c r="H18" s="2">
        <v>7954</v>
      </c>
      <c r="I18" s="2"/>
      <c r="J18" s="21">
        <f t="shared" si="5"/>
        <v>0.49502116006970376</v>
      </c>
      <c r="K18" s="2"/>
      <c r="L18" s="2">
        <f t="shared" si="6"/>
        <v>-7954</v>
      </c>
      <c r="M18" s="2"/>
      <c r="N18" s="21">
        <f t="shared" si="7"/>
        <v>-1</v>
      </c>
      <c r="O18" s="11"/>
      <c r="P18" s="2"/>
      <c r="Q18" s="2"/>
      <c r="R18" s="21">
        <f t="shared" si="8"/>
        <v>0</v>
      </c>
      <c r="S18" s="2"/>
      <c r="T18" s="2">
        <v>10462</v>
      </c>
      <c r="U18" s="2"/>
      <c r="V18" s="21">
        <f t="shared" si="9"/>
        <v>0.49498485995457986</v>
      </c>
      <c r="W18" s="2"/>
      <c r="X18" s="2">
        <f t="shared" si="10"/>
        <v>-10462</v>
      </c>
      <c r="Y18" s="2"/>
      <c r="Z18" s="21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12359.01</v>
      </c>
      <c r="E19" s="2"/>
      <c r="F19" s="21">
        <f t="shared" si="4"/>
        <v>0.81712030614052955</v>
      </c>
      <c r="G19" s="2"/>
      <c r="H19" s="2"/>
      <c r="I19" s="2"/>
      <c r="J19" s="21">
        <f t="shared" si="5"/>
        <v>0</v>
      </c>
      <c r="K19" s="2"/>
      <c r="L19" s="2">
        <f t="shared" si="6"/>
        <v>12359.01</v>
      </c>
      <c r="M19" s="2"/>
      <c r="N19" s="21">
        <f t="shared" si="7"/>
        <v>0</v>
      </c>
      <c r="O19" s="11"/>
      <c r="P19" s="2">
        <v>15442.48</v>
      </c>
      <c r="Q19" s="2"/>
      <c r="R19" s="21">
        <f t="shared" si="8"/>
        <v>0.7764699020417275</v>
      </c>
      <c r="S19" s="2"/>
      <c r="T19" s="2"/>
      <c r="U19" s="2"/>
      <c r="V19" s="21">
        <f t="shared" si="9"/>
        <v>0</v>
      </c>
      <c r="W19" s="2"/>
      <c r="X19" s="2">
        <f t="shared" si="10"/>
        <v>15442.48</v>
      </c>
      <c r="Y19" s="2"/>
      <c r="Z19" s="21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-5133.43</v>
      </c>
      <c r="E20" s="2"/>
      <c r="F20" s="21">
        <f t="shared" si="4"/>
        <v>-0.33939853541270526</v>
      </c>
      <c r="G20" s="2"/>
      <c r="H20" s="2"/>
      <c r="I20" s="2"/>
      <c r="J20" s="21">
        <f t="shared" si="5"/>
        <v>0</v>
      </c>
      <c r="K20" s="2"/>
      <c r="L20" s="2">
        <f t="shared" si="6"/>
        <v>-5133.43</v>
      </c>
      <c r="M20" s="2"/>
      <c r="N20" s="21">
        <f t="shared" si="7"/>
        <v>0</v>
      </c>
      <c r="O20" s="11"/>
      <c r="P20" s="2">
        <v>-5885.29</v>
      </c>
      <c r="Q20" s="2"/>
      <c r="R20" s="21">
        <f t="shared" si="8"/>
        <v>-0.29592076854152688</v>
      </c>
      <c r="S20" s="2"/>
      <c r="T20" s="2"/>
      <c r="U20" s="2"/>
      <c r="V20" s="21">
        <f t="shared" si="9"/>
        <v>0</v>
      </c>
      <c r="W20" s="2"/>
      <c r="X20" s="2">
        <f t="shared" si="10"/>
        <v>-5885.29</v>
      </c>
      <c r="Y20" s="2"/>
      <c r="Z20" s="21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7899.5</v>
      </c>
      <c r="E22" s="14"/>
      <c r="F22" s="20">
        <f>IF(D$12=0,0,D22/D$12)</f>
        <v>0.52227822927217571</v>
      </c>
      <c r="G22" s="14"/>
      <c r="H22" s="22">
        <f>H12-H17</f>
        <v>8114</v>
      </c>
      <c r="I22" s="14"/>
      <c r="J22" s="20">
        <f>IF(H$12=0,0,H22/H$12)</f>
        <v>0.50497883993029624</v>
      </c>
      <c r="K22" s="15"/>
      <c r="L22" s="22">
        <f>+D22-H22</f>
        <v>-214.5</v>
      </c>
      <c r="M22" s="15"/>
      <c r="N22" s="20">
        <f>IF(H22=0,0,L22/H22)</f>
        <v>-2.6435789992605374E-2</v>
      </c>
      <c r="O22" s="28"/>
      <c r="P22" s="22">
        <f>P12-P17</f>
        <v>10330.870000000003</v>
      </c>
      <c r="Q22" s="14"/>
      <c r="R22" s="20">
        <f>IF(P$12=0,0,P22/P$12)</f>
        <v>0.51945086649979944</v>
      </c>
      <c r="S22" s="14"/>
      <c r="T22" s="22">
        <f>T12-T17</f>
        <v>10674</v>
      </c>
      <c r="U22" s="14"/>
      <c r="V22" s="20">
        <f>IF(T$12=0,0,T22/T$12)</f>
        <v>0.50501514004542014</v>
      </c>
      <c r="W22" s="15"/>
      <c r="X22" s="22">
        <f>+P22-T22</f>
        <v>-343.12999999999738</v>
      </c>
      <c r="Y22" s="15"/>
      <c r="Z22" s="20">
        <f>IF(T22=0,0,X22/T22)</f>
        <v>-3.2146336893385551E-2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19">
        <f>SUM(OSRRefD22x_0)</f>
        <v>11711.130000000003</v>
      </c>
      <c r="E24" s="19"/>
      <c r="F24" s="34">
        <f t="shared" ref="F24:F34" si="12">IF(D$12=0,0,D24/D$12)</f>
        <v>0.77428549138252512</v>
      </c>
      <c r="G24" s="19"/>
      <c r="H24" s="19">
        <f>SUM(OSRRefH22x_0)</f>
        <v>8164.37110538462</v>
      </c>
      <c r="I24" s="19"/>
      <c r="J24" s="34">
        <f t="shared" ref="J24:J34" si="13">IF(H$12=0,0,H24/H$12)</f>
        <v>0.50811371081557255</v>
      </c>
      <c r="K24" s="4"/>
      <c r="L24" s="19">
        <f t="shared" ref="L24:L34" si="14">+D24-H24</f>
        <v>3546.7588946153828</v>
      </c>
      <c r="M24" s="4"/>
      <c r="N24" s="34">
        <f t="shared" ref="N24:N34" si="15">IF(H24=0,0,L24/H24)</f>
        <v>0.4344191179987153</v>
      </c>
      <c r="O24" s="10"/>
      <c r="P24" s="19">
        <f>SUM(OSRRefP22x_0)</f>
        <v>25945.360000000004</v>
      </c>
      <c r="Q24" s="19"/>
      <c r="R24" s="34">
        <f t="shared" ref="R24:R34" si="16">IF(P$12=0,0,P24/P$12)</f>
        <v>1.3045696764792545</v>
      </c>
      <c r="S24" s="19"/>
      <c r="T24" s="19">
        <f>SUM(OSRRefT22x_0)</f>
        <v>14262.77528711539</v>
      </c>
      <c r="U24" s="19"/>
      <c r="V24" s="34">
        <f t="shared" ref="V24:V34" si="17">IF(T$12=0,0,T24/T$12)</f>
        <v>0.6748095802003875</v>
      </c>
      <c r="W24" s="4"/>
      <c r="X24" s="19">
        <f t="shared" ref="X24:X34" si="18">+P24-T24</f>
        <v>11682.584712884614</v>
      </c>
      <c r="Y24" s="4"/>
      <c r="Z24" s="34">
        <f t="shared" ref="Z24:Z34" si="19">IF(T24=0,0,X24/T24)</f>
        <v>0.81909617712608496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1941.0900000000001</v>
      </c>
      <c r="E25" s="1"/>
      <c r="F25" s="5">
        <f t="shared" si="12"/>
        <v>0.12833585012442911</v>
      </c>
      <c r="G25" s="1"/>
      <c r="H25" s="1">
        <f>SUM(OSRRefH22_0x_0)</f>
        <v>1316.1364899999996</v>
      </c>
      <c r="I25" s="1"/>
      <c r="J25" s="5">
        <f t="shared" si="13"/>
        <v>8.1910411376649214E-2</v>
      </c>
      <c r="K25" s="1"/>
      <c r="L25" s="1">
        <f t="shared" si="14"/>
        <v>624.95351000000051</v>
      </c>
      <c r="M25" s="1"/>
      <c r="N25" s="5">
        <f t="shared" si="15"/>
        <v>0.47483943705565118</v>
      </c>
      <c r="O25" s="13"/>
      <c r="P25" s="1">
        <f>SUM(OSRRefP22_0x_0)</f>
        <v>4003.17</v>
      </c>
      <c r="Q25" s="1"/>
      <c r="R25" s="5">
        <f t="shared" si="16"/>
        <v>0.20128509266363837</v>
      </c>
      <c r="S25" s="1"/>
      <c r="T25" s="1">
        <f>SUM(OSRRefT22_0x_0)</f>
        <v>2814.1224025000001</v>
      </c>
      <c r="U25" s="1"/>
      <c r="V25" s="5">
        <f t="shared" si="17"/>
        <v>0.13314356559897805</v>
      </c>
      <c r="W25" s="1"/>
      <c r="X25" s="1">
        <f t="shared" si="18"/>
        <v>1189.0475974999999</v>
      </c>
      <c r="Y25" s="1"/>
      <c r="Z25" s="5">
        <f t="shared" si="19"/>
        <v>0.42252874162249587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398.55</v>
      </c>
      <c r="E26" s="2"/>
      <c r="F26" s="7">
        <f t="shared" si="12"/>
        <v>2.635027384979121E-2</v>
      </c>
      <c r="G26" s="2"/>
      <c r="H26" s="6">
        <v>151.34690538461498</v>
      </c>
      <c r="I26" s="2"/>
      <c r="J26" s="7">
        <f t="shared" si="13"/>
        <v>9.419150198196103E-3</v>
      </c>
      <c r="K26" s="2"/>
      <c r="L26" s="6">
        <f t="shared" si="14"/>
        <v>247.20309461538503</v>
      </c>
      <c r="M26" s="2"/>
      <c r="N26" s="7">
        <f t="shared" si="15"/>
        <v>1.6333541408539047</v>
      </c>
      <c r="O26" s="11"/>
      <c r="P26" s="6">
        <v>703.63</v>
      </c>
      <c r="Q26" s="2"/>
      <c r="R26" s="7">
        <f t="shared" si="16"/>
        <v>3.5379519168787704E-2</v>
      </c>
      <c r="S26" s="2"/>
      <c r="T26" s="6">
        <v>477.13658711538403</v>
      </c>
      <c r="U26" s="2"/>
      <c r="V26" s="7">
        <f t="shared" si="17"/>
        <v>2.2574592501674113E-2</v>
      </c>
      <c r="W26" s="2"/>
      <c r="X26" s="6">
        <f t="shared" si="18"/>
        <v>226.49341288461596</v>
      </c>
      <c r="Y26" s="2"/>
      <c r="Z26" s="7">
        <f t="shared" si="19"/>
        <v>0.47469303130561225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119.03</v>
      </c>
      <c r="E27" s="2"/>
      <c r="F27" s="7">
        <f t="shared" si="12"/>
        <v>7.8697104412009718E-3</v>
      </c>
      <c r="G27" s="2"/>
      <c r="H27" s="6">
        <v>97.453192307692305</v>
      </c>
      <c r="I27" s="2"/>
      <c r="J27" s="7">
        <f t="shared" si="13"/>
        <v>6.0650480649547117E-3</v>
      </c>
      <c r="K27" s="2"/>
      <c r="L27" s="6">
        <f t="shared" si="14"/>
        <v>21.576807692307696</v>
      </c>
      <c r="M27" s="2"/>
      <c r="N27" s="7">
        <f t="shared" si="15"/>
        <v>0.22140688448852966</v>
      </c>
      <c r="O27" s="11"/>
      <c r="P27" s="6">
        <v>286.77999999999997</v>
      </c>
      <c r="Q27" s="2"/>
      <c r="R27" s="7">
        <f t="shared" si="16"/>
        <v>1.4419707100642293E-2</v>
      </c>
      <c r="S27" s="2"/>
      <c r="T27" s="6">
        <v>178.33655769230771</v>
      </c>
      <c r="U27" s="2"/>
      <c r="V27" s="7">
        <f t="shared" si="17"/>
        <v>8.4375736985384045E-3</v>
      </c>
      <c r="W27" s="2"/>
      <c r="X27" s="6">
        <f t="shared" si="18"/>
        <v>108.44344230769227</v>
      </c>
      <c r="Y27" s="2"/>
      <c r="Z27" s="7">
        <f t="shared" si="19"/>
        <v>0.60808307455835686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965.94</v>
      </c>
      <c r="E28" s="2"/>
      <c r="F28" s="7">
        <f t="shared" si="12"/>
        <v>6.3863463862670486E-2</v>
      </c>
      <c r="G28" s="2"/>
      <c r="H28" s="6">
        <v>690.5</v>
      </c>
      <c r="I28" s="2"/>
      <c r="J28" s="7">
        <f t="shared" si="13"/>
        <v>4.2973612148369429E-2</v>
      </c>
      <c r="K28" s="2"/>
      <c r="L28" s="6">
        <f t="shared" si="14"/>
        <v>275.44000000000005</v>
      </c>
      <c r="M28" s="2"/>
      <c r="N28" s="7">
        <f t="shared" si="15"/>
        <v>0.39889934829833462</v>
      </c>
      <c r="O28" s="11"/>
      <c r="P28" s="6">
        <v>1931.88</v>
      </c>
      <c r="Q28" s="2"/>
      <c r="R28" s="7">
        <f t="shared" si="16"/>
        <v>9.7137679592680229E-2</v>
      </c>
      <c r="S28" s="2"/>
      <c r="T28" s="6">
        <v>1381</v>
      </c>
      <c r="U28" s="2"/>
      <c r="V28" s="7">
        <f t="shared" si="17"/>
        <v>6.5338758516275547E-2</v>
      </c>
      <c r="W28" s="2"/>
      <c r="X28" s="6">
        <f t="shared" si="18"/>
        <v>550.88000000000011</v>
      </c>
      <c r="Y28" s="2"/>
      <c r="Z28" s="7">
        <f t="shared" si="19"/>
        <v>0.39889934829833462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10.98</v>
      </c>
      <c r="E29" s="2"/>
      <c r="F29" s="7">
        <f t="shared" si="12"/>
        <v>7.2594657350572695E-4</v>
      </c>
      <c r="G29" s="2"/>
      <c r="H29" s="6">
        <v>13.335699999999999</v>
      </c>
      <c r="I29" s="2"/>
      <c r="J29" s="7">
        <f t="shared" si="13"/>
        <v>8.2995394573064476E-4</v>
      </c>
      <c r="K29" s="2"/>
      <c r="L29" s="6">
        <f t="shared" si="14"/>
        <v>-2.3556999999999988</v>
      </c>
      <c r="M29" s="2"/>
      <c r="N29" s="7">
        <f t="shared" si="15"/>
        <v>-0.17664614530920753</v>
      </c>
      <c r="O29" s="11"/>
      <c r="P29" s="6">
        <v>27.32</v>
      </c>
      <c r="Q29" s="2"/>
      <c r="R29" s="7">
        <f t="shared" si="16"/>
        <v>1.3736885347288774E-3</v>
      </c>
      <c r="S29" s="2"/>
      <c r="T29" s="6">
        <v>24.403949999999998</v>
      </c>
      <c r="U29" s="2"/>
      <c r="V29" s="7">
        <f t="shared" si="17"/>
        <v>1.1546153482210446E-3</v>
      </c>
      <c r="W29" s="2"/>
      <c r="X29" s="6">
        <f t="shared" si="18"/>
        <v>2.916050000000002</v>
      </c>
      <c r="Y29" s="2"/>
      <c r="Z29" s="7">
        <f t="shared" si="19"/>
        <v>0.11949090208757199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134.11000000000001</v>
      </c>
      <c r="E30" s="2"/>
      <c r="F30" s="7">
        <f t="shared" si="12"/>
        <v>8.8667299610977277E-3</v>
      </c>
      <c r="G30" s="2"/>
      <c r="H30" s="6">
        <v>170.074923076923</v>
      </c>
      <c r="I30" s="2"/>
      <c r="J30" s="7">
        <f t="shared" si="13"/>
        <v>1.0584697726968073E-2</v>
      </c>
      <c r="K30" s="2"/>
      <c r="L30" s="6">
        <f t="shared" si="14"/>
        <v>-35.964923076922986</v>
      </c>
      <c r="M30" s="2"/>
      <c r="N30" s="7">
        <f t="shared" si="15"/>
        <v>-0.21146517326752781</v>
      </c>
      <c r="O30" s="11"/>
      <c r="P30" s="6">
        <v>268.22000000000003</v>
      </c>
      <c r="Q30" s="2"/>
      <c r="R30" s="7">
        <f t="shared" si="16"/>
        <v>1.348648385010906E-2</v>
      </c>
      <c r="S30" s="2"/>
      <c r="T30" s="6">
        <v>382.66857692307701</v>
      </c>
      <c r="U30" s="2"/>
      <c r="V30" s="7">
        <f t="shared" si="17"/>
        <v>1.8105061360857162E-2</v>
      </c>
      <c r="W30" s="2"/>
      <c r="X30" s="6">
        <f t="shared" si="18"/>
        <v>-114.44857692307698</v>
      </c>
      <c r="Y30" s="2"/>
      <c r="Z30" s="7">
        <f t="shared" si="19"/>
        <v>-0.29908015401558075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73.92</v>
      </c>
      <c r="E32" s="2"/>
      <c r="F32" s="7">
        <f t="shared" si="12"/>
        <v>4.8872468773718883E-3</v>
      </c>
      <c r="G32" s="2"/>
      <c r="H32" s="6">
        <v>59.328461538461504</v>
      </c>
      <c r="I32" s="2"/>
      <c r="J32" s="7">
        <f t="shared" si="13"/>
        <v>3.692336416384211E-3</v>
      </c>
      <c r="K32" s="2"/>
      <c r="L32" s="6">
        <f t="shared" si="14"/>
        <v>14.591538461538498</v>
      </c>
      <c r="M32" s="2"/>
      <c r="N32" s="7">
        <f t="shared" si="15"/>
        <v>0.24594499980551635</v>
      </c>
      <c r="O32" s="11"/>
      <c r="P32" s="6">
        <v>221.76</v>
      </c>
      <c r="Q32" s="2"/>
      <c r="R32" s="7">
        <f t="shared" si="16"/>
        <v>1.1150408838267784E-2</v>
      </c>
      <c r="S32" s="2"/>
      <c r="T32" s="6">
        <v>133.4890384615384</v>
      </c>
      <c r="U32" s="2"/>
      <c r="V32" s="7">
        <f t="shared" si="17"/>
        <v>6.3157190793687737E-3</v>
      </c>
      <c r="W32" s="2"/>
      <c r="X32" s="6">
        <f t="shared" si="18"/>
        <v>88.270961538461592</v>
      </c>
      <c r="Y32" s="2"/>
      <c r="Z32" s="7">
        <f t="shared" si="19"/>
        <v>0.66125999974068816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88.56</v>
      </c>
      <c r="E33" s="2"/>
      <c r="F33" s="7">
        <f t="shared" si="12"/>
        <v>5.8551756420461912E-3</v>
      </c>
      <c r="G33" s="2"/>
      <c r="H33" s="6">
        <v>134.09730769230799</v>
      </c>
      <c r="I33" s="2"/>
      <c r="J33" s="7">
        <f t="shared" si="13"/>
        <v>8.3456128760460539E-3</v>
      </c>
      <c r="K33" s="2"/>
      <c r="L33" s="6">
        <f t="shared" si="14"/>
        <v>-45.537307692307991</v>
      </c>
      <c r="M33" s="2"/>
      <c r="N33" s="7">
        <f t="shared" si="15"/>
        <v>-0.33958405635402683</v>
      </c>
      <c r="O33" s="11"/>
      <c r="P33" s="6">
        <v>265.68</v>
      </c>
      <c r="Q33" s="2"/>
      <c r="R33" s="7">
        <f t="shared" si="16"/>
        <v>1.3358769030262377E-2</v>
      </c>
      <c r="S33" s="2"/>
      <c r="T33" s="6">
        <v>237.087692307693</v>
      </c>
      <c r="U33" s="2"/>
      <c r="V33" s="7">
        <f t="shared" si="17"/>
        <v>1.1217245094043007E-2</v>
      </c>
      <c r="W33" s="2"/>
      <c r="X33" s="6">
        <f t="shared" si="18"/>
        <v>28.592307692307003</v>
      </c>
      <c r="Y33" s="2"/>
      <c r="Z33" s="7">
        <f t="shared" si="19"/>
        <v>0.12059802604683433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150</v>
      </c>
      <c r="E34" s="2"/>
      <c r="F34" s="7">
        <f t="shared" si="12"/>
        <v>9.9173029167449033E-3</v>
      </c>
      <c r="G34" s="2"/>
      <c r="H34" s="6"/>
      <c r="I34" s="2"/>
      <c r="J34" s="7">
        <f t="shared" si="13"/>
        <v>0</v>
      </c>
      <c r="K34" s="2"/>
      <c r="L34" s="6">
        <f t="shared" si="14"/>
        <v>150</v>
      </c>
      <c r="M34" s="2"/>
      <c r="N34" s="7">
        <f t="shared" si="15"/>
        <v>0</v>
      </c>
      <c r="O34" s="11"/>
      <c r="P34" s="6">
        <v>297.89999999999998</v>
      </c>
      <c r="Q34" s="2"/>
      <c r="R34" s="7">
        <f t="shared" si="16"/>
        <v>1.4978836548160049E-2</v>
      </c>
      <c r="S34" s="2"/>
      <c r="T34" s="6"/>
      <c r="U34" s="2"/>
      <c r="V34" s="7">
        <f t="shared" si="17"/>
        <v>0</v>
      </c>
      <c r="W34" s="2"/>
      <c r="X34" s="6">
        <f t="shared" si="18"/>
        <v>297.89999999999998</v>
      </c>
      <c r="Y34" s="2"/>
      <c r="Z34" s="7">
        <f t="shared" si="19"/>
        <v>0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6481.43</v>
      </c>
      <c r="E35" s="1"/>
      <c r="F35" s="5">
        <f t="shared" ref="F35:F45" si="20">IF(D$12=0,0,D35/D$12)</f>
        <v>0.4285220309578528</v>
      </c>
      <c r="G35" s="1"/>
      <c r="H35" s="1">
        <f>SUM(OSRRefH22_1x_0)</f>
        <v>5030.2346153846202</v>
      </c>
      <c r="I35" s="1"/>
      <c r="J35" s="5">
        <f t="shared" ref="J35:J45" si="21">IF(H$12=0,0,H35/H$12)</f>
        <v>0.31305916202294126</v>
      </c>
      <c r="K35" s="1"/>
      <c r="L35" s="1">
        <f t="shared" ref="L35:L45" si="22">+D35-H35</f>
        <v>1451.1953846153801</v>
      </c>
      <c r="M35" s="1"/>
      <c r="N35" s="5">
        <f t="shared" ref="N35:N45" si="23">IF(H35=0,0,L35/H35)</f>
        <v>0.28849457243544879</v>
      </c>
      <c r="O35" s="13"/>
      <c r="P35" s="1">
        <f>SUM(OSRRefP22_1x_0)</f>
        <v>11590.119999999999</v>
      </c>
      <c r="Q35" s="1"/>
      <c r="R35" s="5">
        <f t="shared" ref="R35:R45" si="24">IF(P$12=0,0,P35/P$12)</f>
        <v>0.582767751102923</v>
      </c>
      <c r="S35" s="1"/>
      <c r="T35" s="1">
        <f>SUM(OSRRefT22_1x_0)</f>
        <v>9163.6528846153888</v>
      </c>
      <c r="U35" s="1"/>
      <c r="V35" s="5">
        <f t="shared" ref="V35:V45" si="25">IF(T$12=0,0,T35/T$12)</f>
        <v>0.43355662777324888</v>
      </c>
      <c r="W35" s="1"/>
      <c r="X35" s="1">
        <f t="shared" ref="X35:X45" si="26">+P35-T35</f>
        <v>2426.4671153846102</v>
      </c>
      <c r="Y35" s="1"/>
      <c r="Z35" s="5">
        <f t="shared" ref="Z35:Z45" si="27">IF(T35=0,0,X35/T35)</f>
        <v>0.2647925609947907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1878.7346153846199</v>
      </c>
      <c r="I36" s="2"/>
      <c r="J36" s="7">
        <f t="shared" si="21"/>
        <v>0.11692398651883371</v>
      </c>
      <c r="K36" s="2"/>
      <c r="L36" s="6">
        <f t="shared" si="22"/>
        <v>-1878.7346153846199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4227.1528846153897</v>
      </c>
      <c r="U36" s="2"/>
      <c r="V36" s="7">
        <f t="shared" si="25"/>
        <v>0.19999777084667816</v>
      </c>
      <c r="W36" s="2"/>
      <c r="X36" s="6">
        <f t="shared" si="26"/>
        <v>-4227.1528846153897</v>
      </c>
      <c r="Y36" s="2"/>
      <c r="Z36" s="7">
        <f t="shared" si="27"/>
        <v>-1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1728</v>
      </c>
      <c r="E37" s="2"/>
      <c r="F37" s="7">
        <f t="shared" si="20"/>
        <v>0.11424732960090128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1728</v>
      </c>
      <c r="M37" s="2"/>
      <c r="N37" s="7">
        <f t="shared" si="23"/>
        <v>0</v>
      </c>
      <c r="O37" s="11"/>
      <c r="P37" s="6">
        <v>3936</v>
      </c>
      <c r="Q37" s="2"/>
      <c r="R37" s="7">
        <f t="shared" si="24"/>
        <v>0.19790768933722042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3936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1862</v>
      </c>
      <c r="E40" s="2"/>
      <c r="F40" s="7">
        <f t="shared" si="20"/>
        <v>0.1231067868731934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1862</v>
      </c>
      <c r="M40" s="2"/>
      <c r="N40" s="7">
        <f t="shared" si="23"/>
        <v>0</v>
      </c>
      <c r="O40" s="11"/>
      <c r="P40" s="6">
        <v>3493</v>
      </c>
      <c r="Q40" s="2"/>
      <c r="R40" s="7">
        <f t="shared" si="24"/>
        <v>0.17563301800175582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3493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>
        <v>72</v>
      </c>
      <c r="E41" s="2"/>
      <c r="F41" s="7">
        <f t="shared" si="20"/>
        <v>4.7603054000375537E-3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72</v>
      </c>
      <c r="M41" s="2"/>
      <c r="N41" s="7">
        <f t="shared" si="23"/>
        <v>0</v>
      </c>
      <c r="O41" s="11"/>
      <c r="P41" s="6">
        <v>116.63</v>
      </c>
      <c r="Q41" s="2"/>
      <c r="R41" s="7">
        <f t="shared" si="24"/>
        <v>5.8643226136687035E-3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116.63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2819.43</v>
      </c>
      <c r="E42" s="2"/>
      <c r="F42" s="7">
        <f t="shared" si="20"/>
        <v>0.18640760908372053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2819.43</v>
      </c>
      <c r="M42" s="2"/>
      <c r="N42" s="7">
        <f t="shared" si="23"/>
        <v>0</v>
      </c>
      <c r="O42" s="11"/>
      <c r="P42" s="6">
        <v>4044.49</v>
      </c>
      <c r="Q42" s="2"/>
      <c r="R42" s="7">
        <f t="shared" si="24"/>
        <v>0.20336272115027809</v>
      </c>
      <c r="S42" s="2"/>
      <c r="T42" s="6">
        <v>1785</v>
      </c>
      <c r="U42" s="2"/>
      <c r="V42" s="7">
        <f t="shared" si="25"/>
        <v>8.4453065859197582E-2</v>
      </c>
      <c r="W42" s="2"/>
      <c r="X42" s="6">
        <f t="shared" si="26"/>
        <v>2259.4899999999998</v>
      </c>
      <c r="Y42" s="2"/>
      <c r="Z42" s="7">
        <f t="shared" si="27"/>
        <v>1.2658207282913163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3151.5</v>
      </c>
      <c r="I43" s="2"/>
      <c r="J43" s="7">
        <f t="shared" si="21"/>
        <v>0.19613517550410756</v>
      </c>
      <c r="K43" s="2"/>
      <c r="L43" s="6">
        <f t="shared" si="22"/>
        <v>-3151.5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3151.5</v>
      </c>
      <c r="U43" s="2"/>
      <c r="V43" s="7">
        <f t="shared" si="25"/>
        <v>0.14910579106737321</v>
      </c>
      <c r="W43" s="2"/>
      <c r="X43" s="6">
        <f t="shared" si="26"/>
        <v>-3151.5</v>
      </c>
      <c r="Y43" s="2"/>
      <c r="Z43" s="7">
        <f t="shared" si="27"/>
        <v>-1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62" si="28">IF(D$12=0,0,D46/D$12)</f>
        <v>0</v>
      </c>
      <c r="G46" s="1"/>
      <c r="H46" s="1">
        <f>SUM(OSRRefH22_2x_0)</f>
        <v>0</v>
      </c>
      <c r="I46" s="1"/>
      <c r="J46" s="5">
        <f t="shared" ref="J46:J62" si="29">IF(H$12=0,0,H46/H$12)</f>
        <v>0</v>
      </c>
      <c r="K46" s="1"/>
      <c r="L46" s="1">
        <f t="shared" ref="L46:L62" si="30">+D46-H46</f>
        <v>0</v>
      </c>
      <c r="M46" s="1"/>
      <c r="N46" s="5">
        <f t="shared" ref="N46:N62" si="31">IF(H46=0,0,L46/H46)</f>
        <v>0</v>
      </c>
      <c r="O46" s="13"/>
      <c r="P46" s="1">
        <f>SUM(OSRRefP22_2x_0)</f>
        <v>305</v>
      </c>
      <c r="Q46" s="1"/>
      <c r="R46" s="5">
        <f t="shared" ref="R46:R62" si="32">IF(P$12=0,0,P46/P$12)</f>
        <v>1.5335834666629123E-2</v>
      </c>
      <c r="S46" s="1"/>
      <c r="T46" s="1">
        <f>SUM(OSRRefT22_2x_0)</f>
        <v>0</v>
      </c>
      <c r="U46" s="1"/>
      <c r="V46" s="5">
        <f t="shared" ref="V46:V62" si="33">IF(T$12=0,0,T46/T$12)</f>
        <v>0</v>
      </c>
      <c r="W46" s="1"/>
      <c r="X46" s="1">
        <f t="shared" ref="X46:X62" si="34">+P46-T46</f>
        <v>305</v>
      </c>
      <c r="Y46" s="1"/>
      <c r="Z46" s="5">
        <f t="shared" ref="Z46:Z62" si="35">IF(T46=0,0,X46/T46)</f>
        <v>0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8"/>
        <v>0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305</v>
      </c>
      <c r="Q47" s="2"/>
      <c r="R47" s="7">
        <f t="shared" si="32"/>
        <v>1.5335834666629123E-2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305</v>
      </c>
      <c r="Y47" s="2"/>
      <c r="Z47" s="7">
        <f t="shared" si="35"/>
        <v>0</v>
      </c>
    </row>
    <row r="48" spans="1:26" s="26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27.5</v>
      </c>
      <c r="E48" s="1"/>
      <c r="F48" s="5">
        <f t="shared" si="28"/>
        <v>1.8181722014032323E-3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27.5</v>
      </c>
      <c r="M48" s="1"/>
      <c r="N48" s="5">
        <f t="shared" si="31"/>
        <v>0</v>
      </c>
      <c r="O48" s="13"/>
      <c r="P48" s="1">
        <f>SUM(OSRRefP22_3x_0)</f>
        <v>24.89</v>
      </c>
      <c r="Q48" s="1"/>
      <c r="R48" s="5">
        <f t="shared" si="32"/>
        <v>1.2515046716472093E-3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24.89</v>
      </c>
      <c r="Y48" s="1"/>
      <c r="Z48" s="5">
        <f t="shared" si="35"/>
        <v>0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27.5</v>
      </c>
      <c r="E49" s="2"/>
      <c r="F49" s="7">
        <f t="shared" si="28"/>
        <v>1.8181722014032323E-3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27.5</v>
      </c>
      <c r="M49" s="2"/>
      <c r="N49" s="7">
        <f t="shared" si="31"/>
        <v>0</v>
      </c>
      <c r="O49" s="11"/>
      <c r="P49" s="6">
        <v>24.89</v>
      </c>
      <c r="Q49" s="2"/>
      <c r="R49" s="7">
        <f t="shared" si="32"/>
        <v>1.2515046716472093E-3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24.89</v>
      </c>
      <c r="Y49" s="2"/>
      <c r="Z49" s="7">
        <f t="shared" si="35"/>
        <v>0</v>
      </c>
    </row>
    <row r="50" spans="1:26" s="26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471.1</v>
      </c>
      <c r="E50" s="1"/>
      <c r="F50" s="5">
        <f t="shared" si="28"/>
        <v>3.1146942693856827E-2</v>
      </c>
      <c r="G50" s="1"/>
      <c r="H50" s="1">
        <f>SUM(OSRRefH22_4x_0)</f>
        <v>509</v>
      </c>
      <c r="I50" s="1"/>
      <c r="J50" s="5">
        <f t="shared" si="29"/>
        <v>3.1677869056509836E-2</v>
      </c>
      <c r="K50" s="1"/>
      <c r="L50" s="1">
        <f t="shared" si="30"/>
        <v>-37.899999999999977</v>
      </c>
      <c r="M50" s="1"/>
      <c r="N50" s="5">
        <f t="shared" si="31"/>
        <v>-7.4459724950884043E-2</v>
      </c>
      <c r="O50" s="13"/>
      <c r="P50" s="1">
        <f>SUM(OSRRefP22_4x_0)</f>
        <v>598.74</v>
      </c>
      <c r="Q50" s="1"/>
      <c r="R50" s="5">
        <f t="shared" si="32"/>
        <v>3.0105500486221379E-2</v>
      </c>
      <c r="S50" s="1"/>
      <c r="T50" s="1">
        <f>SUM(OSRRefT22_4x_0)</f>
        <v>670</v>
      </c>
      <c r="U50" s="1"/>
      <c r="V50" s="5">
        <f t="shared" si="33"/>
        <v>3.1699470098410294E-2</v>
      </c>
      <c r="W50" s="1"/>
      <c r="X50" s="1">
        <f t="shared" si="34"/>
        <v>-71.259999999999991</v>
      </c>
      <c r="Y50" s="1"/>
      <c r="Z50" s="5">
        <f t="shared" si="35"/>
        <v>-0.10635820895522387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471.1</v>
      </c>
      <c r="E51" s="2"/>
      <c r="F51" s="7">
        <f t="shared" si="28"/>
        <v>3.1146942693856827E-2</v>
      </c>
      <c r="G51" s="2"/>
      <c r="H51" s="6">
        <v>509</v>
      </c>
      <c r="I51" s="2"/>
      <c r="J51" s="7">
        <f t="shared" si="29"/>
        <v>3.1677869056509836E-2</v>
      </c>
      <c r="K51" s="2"/>
      <c r="L51" s="6">
        <f t="shared" si="30"/>
        <v>-37.899999999999977</v>
      </c>
      <c r="M51" s="2"/>
      <c r="N51" s="7">
        <f t="shared" si="31"/>
        <v>-7.4459724950884043E-2</v>
      </c>
      <c r="O51" s="11"/>
      <c r="P51" s="6">
        <v>598.74</v>
      </c>
      <c r="Q51" s="2"/>
      <c r="R51" s="7">
        <f t="shared" si="32"/>
        <v>3.0105500486221379E-2</v>
      </c>
      <c r="S51" s="2"/>
      <c r="T51" s="6">
        <v>670</v>
      </c>
      <c r="U51" s="2"/>
      <c r="V51" s="7">
        <f t="shared" si="33"/>
        <v>3.1699470098410294E-2</v>
      </c>
      <c r="W51" s="2"/>
      <c r="X51" s="6">
        <f t="shared" si="34"/>
        <v>-71.259999999999991</v>
      </c>
      <c r="Y51" s="2"/>
      <c r="Z51" s="7">
        <f t="shared" si="35"/>
        <v>-0.10635820895522387</v>
      </c>
    </row>
    <row r="52" spans="1:26" s="26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155.66999999999999</v>
      </c>
      <c r="E52" s="1"/>
      <c r="F52" s="5">
        <f t="shared" si="28"/>
        <v>1.029217696699786E-2</v>
      </c>
      <c r="G52" s="1"/>
      <c r="H52" s="1">
        <f>SUM(OSRRefH22_5x_0)</f>
        <v>0</v>
      </c>
      <c r="I52" s="1"/>
      <c r="J52" s="5">
        <f t="shared" si="29"/>
        <v>0</v>
      </c>
      <c r="K52" s="1"/>
      <c r="L52" s="1">
        <f t="shared" si="30"/>
        <v>155.66999999999999</v>
      </c>
      <c r="M52" s="1"/>
      <c r="N52" s="5">
        <f t="shared" si="31"/>
        <v>0</v>
      </c>
      <c r="O52" s="13"/>
      <c r="P52" s="1">
        <f>SUM(OSRRefP22_5x_0)</f>
        <v>311.33999999999997</v>
      </c>
      <c r="Q52" s="1"/>
      <c r="R52" s="5">
        <f t="shared" si="32"/>
        <v>1.565461890199446E-2</v>
      </c>
      <c r="S52" s="1"/>
      <c r="T52" s="1">
        <f>SUM(OSRRefT22_5x_0)</f>
        <v>0</v>
      </c>
      <c r="U52" s="1"/>
      <c r="V52" s="5">
        <f t="shared" si="33"/>
        <v>0</v>
      </c>
      <c r="W52" s="1"/>
      <c r="X52" s="1">
        <f t="shared" si="34"/>
        <v>311.33999999999997</v>
      </c>
      <c r="Y52" s="1"/>
      <c r="Z52" s="5">
        <f t="shared" si="35"/>
        <v>0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155.66999999999999</v>
      </c>
      <c r="E53" s="2"/>
      <c r="F53" s="7">
        <f t="shared" si="28"/>
        <v>1.029217696699786E-2</v>
      </c>
      <c r="G53" s="2"/>
      <c r="H53" s="6"/>
      <c r="I53" s="2"/>
      <c r="J53" s="7">
        <f t="shared" si="29"/>
        <v>0</v>
      </c>
      <c r="K53" s="2"/>
      <c r="L53" s="6">
        <f t="shared" si="30"/>
        <v>155.66999999999999</v>
      </c>
      <c r="M53" s="2"/>
      <c r="N53" s="7">
        <f t="shared" si="31"/>
        <v>0</v>
      </c>
      <c r="O53" s="11"/>
      <c r="P53" s="6">
        <v>311.33999999999997</v>
      </c>
      <c r="Q53" s="2"/>
      <c r="R53" s="7">
        <f t="shared" si="32"/>
        <v>1.565461890199446E-2</v>
      </c>
      <c r="S53" s="2"/>
      <c r="T53" s="6"/>
      <c r="U53" s="2"/>
      <c r="V53" s="7">
        <f t="shared" si="33"/>
        <v>0</v>
      </c>
      <c r="W53" s="2"/>
      <c r="X53" s="6">
        <f t="shared" si="34"/>
        <v>311.33999999999997</v>
      </c>
      <c r="Y53" s="2"/>
      <c r="Z53" s="7">
        <f t="shared" si="35"/>
        <v>0</v>
      </c>
    </row>
    <row r="54" spans="1:26" s="26" customFormat="1" outlineLevel="1" collapsed="1" x14ac:dyDescent="0.25">
      <c r="A54" s="25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SUM(OSRRefD22_6x_0)</f>
        <v>0</v>
      </c>
      <c r="E54" s="1"/>
      <c r="F54" s="5">
        <f t="shared" si="28"/>
        <v>0</v>
      </c>
      <c r="G54" s="1"/>
      <c r="H54" s="1">
        <f>SUM(OSRRefH22_6x_0)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3"/>
      <c r="P54" s="1">
        <f>SUM(OSRRefP22_6x_0)</f>
        <v>0</v>
      </c>
      <c r="Q54" s="1"/>
      <c r="R54" s="5">
        <f t="shared" si="32"/>
        <v>0</v>
      </c>
      <c r="S54" s="1"/>
      <c r="T54" s="1">
        <f>SUM(OSRRefT22_6x_0)</f>
        <v>0</v>
      </c>
      <c r="U54" s="1"/>
      <c r="V54" s="5">
        <f t="shared" si="33"/>
        <v>0</v>
      </c>
      <c r="W54" s="1"/>
      <c r="X54" s="1">
        <f t="shared" si="34"/>
        <v>0</v>
      </c>
      <c r="Y54" s="1"/>
      <c r="Z54" s="5">
        <f t="shared" si="35"/>
        <v>0</v>
      </c>
    </row>
    <row r="55" spans="1:26" s="24" customFormat="1" hidden="1" outlineLevel="2" x14ac:dyDescent="0.25">
      <c r="A55" s="27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8"/>
        <v>0</v>
      </c>
      <c r="G55" s="2"/>
      <c r="H55" s="6">
        <v>0</v>
      </c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/>
      <c r="Q55" s="2"/>
      <c r="R55" s="7">
        <f t="shared" si="32"/>
        <v>0</v>
      </c>
      <c r="S55" s="2"/>
      <c r="T55" s="6">
        <v>0</v>
      </c>
      <c r="U55" s="2"/>
      <c r="V55" s="7">
        <f t="shared" si="33"/>
        <v>0</v>
      </c>
      <c r="W55" s="2"/>
      <c r="X55" s="6">
        <f t="shared" si="34"/>
        <v>0</v>
      </c>
      <c r="Y55" s="2"/>
      <c r="Z55" s="7">
        <f t="shared" si="35"/>
        <v>0</v>
      </c>
    </row>
    <row r="56" spans="1:26" s="26" customFormat="1" outlineLevel="1" collapsed="1" x14ac:dyDescent="0.25">
      <c r="A56" s="25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SUM(OSRRefD22_7x_0)</f>
        <v>18.940000000000001</v>
      </c>
      <c r="E56" s="1"/>
      <c r="F56" s="5">
        <f t="shared" si="28"/>
        <v>1.2522247816209899E-3</v>
      </c>
      <c r="G56" s="1"/>
      <c r="H56" s="1">
        <f>SUM(OSRRefH22_7x_0)</f>
        <v>175</v>
      </c>
      <c r="I56" s="1"/>
      <c r="J56" s="5">
        <f t="shared" si="29"/>
        <v>1.0891212347523027E-2</v>
      </c>
      <c r="K56" s="1"/>
      <c r="L56" s="1">
        <f t="shared" si="30"/>
        <v>-156.06</v>
      </c>
      <c r="M56" s="1"/>
      <c r="N56" s="5">
        <f t="shared" si="31"/>
        <v>-0.89177142857142855</v>
      </c>
      <c r="O56" s="13"/>
      <c r="P56" s="1">
        <f>SUM(OSRRefP22_7x_0)</f>
        <v>1477.84</v>
      </c>
      <c r="Q56" s="1"/>
      <c r="R56" s="5">
        <f t="shared" si="32"/>
        <v>7.4307901323708792E-2</v>
      </c>
      <c r="S56" s="1"/>
      <c r="T56" s="1">
        <f>SUM(OSRRefT22_7x_0)</f>
        <v>230</v>
      </c>
      <c r="U56" s="1"/>
      <c r="V56" s="5">
        <f t="shared" si="33"/>
        <v>1.0881907645722937E-2</v>
      </c>
      <c r="W56" s="1"/>
      <c r="X56" s="1">
        <f t="shared" si="34"/>
        <v>1247.8399999999999</v>
      </c>
      <c r="Y56" s="1"/>
      <c r="Z56" s="5">
        <f t="shared" si="35"/>
        <v>5.4253913043478255</v>
      </c>
    </row>
    <row r="57" spans="1:26" s="24" customFormat="1" hidden="1" outlineLevel="2" x14ac:dyDescent="0.25">
      <c r="A57" s="27"/>
      <c r="B57" s="11" t="str">
        <f>CONCATENATE("          ", "6279", " - ", "GENERAL EXPENSE")</f>
        <v xml:space="preserve">          6279 - GENERAL EXPENSE</v>
      </c>
      <c r="C57" s="11"/>
      <c r="D57" s="6">
        <v>18.940000000000001</v>
      </c>
      <c r="E57" s="2"/>
      <c r="F57" s="7">
        <f t="shared" si="28"/>
        <v>1.2522247816209899E-3</v>
      </c>
      <c r="G57" s="2"/>
      <c r="H57" s="6">
        <v>175</v>
      </c>
      <c r="I57" s="2"/>
      <c r="J57" s="7">
        <f t="shared" si="29"/>
        <v>1.0891212347523027E-2</v>
      </c>
      <c r="K57" s="2"/>
      <c r="L57" s="6">
        <f t="shared" si="30"/>
        <v>-156.06</v>
      </c>
      <c r="M57" s="2"/>
      <c r="N57" s="7">
        <f t="shared" si="31"/>
        <v>-0.89177142857142855</v>
      </c>
      <c r="O57" s="11"/>
      <c r="P57" s="6">
        <v>1477.84</v>
      </c>
      <c r="Q57" s="2"/>
      <c r="R57" s="7">
        <f t="shared" si="32"/>
        <v>7.4307901323708792E-2</v>
      </c>
      <c r="S57" s="2"/>
      <c r="T57" s="6">
        <v>230</v>
      </c>
      <c r="U57" s="2"/>
      <c r="V57" s="7">
        <f t="shared" si="33"/>
        <v>1.0881907645722937E-2</v>
      </c>
      <c r="W57" s="2"/>
      <c r="X57" s="6">
        <f t="shared" si="34"/>
        <v>1247.8399999999999</v>
      </c>
      <c r="Y57" s="2"/>
      <c r="Z57" s="7">
        <f t="shared" si="35"/>
        <v>5.4253913043478255</v>
      </c>
    </row>
    <row r="58" spans="1:26" s="26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SUM(OSRRefD22_8x_0)</f>
        <v>817.24</v>
      </c>
      <c r="E58" s="1"/>
      <c r="F58" s="5">
        <f t="shared" si="28"/>
        <v>5.4032110904537363E-2</v>
      </c>
      <c r="G58" s="1"/>
      <c r="H58" s="1">
        <f>SUM(OSRRefH22_8x_0)</f>
        <v>175</v>
      </c>
      <c r="I58" s="1"/>
      <c r="J58" s="5">
        <f t="shared" si="29"/>
        <v>1.0891212347523027E-2</v>
      </c>
      <c r="K58" s="1"/>
      <c r="L58" s="1">
        <f t="shared" si="30"/>
        <v>642.24</v>
      </c>
      <c r="M58" s="1"/>
      <c r="N58" s="5">
        <f t="shared" si="31"/>
        <v>3.6699428571428574</v>
      </c>
      <c r="O58" s="13"/>
      <c r="P58" s="1">
        <f>SUM(OSRRefP22_8x_0)</f>
        <v>1660.4</v>
      </c>
      <c r="Q58" s="1"/>
      <c r="R58" s="5">
        <f t="shared" si="32"/>
        <v>8.3487278296626222E-2</v>
      </c>
      <c r="S58" s="1"/>
      <c r="T58" s="1">
        <f>SUM(OSRRefT22_8x_0)</f>
        <v>230</v>
      </c>
      <c r="U58" s="1"/>
      <c r="V58" s="5">
        <f t="shared" si="33"/>
        <v>1.0881907645722937E-2</v>
      </c>
      <c r="W58" s="1"/>
      <c r="X58" s="1">
        <f t="shared" si="34"/>
        <v>1430.4</v>
      </c>
      <c r="Y58" s="1"/>
      <c r="Z58" s="5">
        <f t="shared" si="35"/>
        <v>6.2191304347826089</v>
      </c>
    </row>
    <row r="59" spans="1:26" s="24" customFormat="1" hidden="1" outlineLevel="2" x14ac:dyDescent="0.25">
      <c r="A59" s="27"/>
      <c r="B59" s="11" t="str">
        <f>CONCATENATE("          ", "6375", " - ", "OUTSIDE REPAIRS &amp; MAINTENANCE")</f>
        <v xml:space="preserve">          6375 - OUTSIDE REPAIRS &amp; MAINTENANCE</v>
      </c>
      <c r="C59" s="11"/>
      <c r="D59" s="6">
        <v>817.24</v>
      </c>
      <c r="E59" s="2"/>
      <c r="F59" s="7">
        <f t="shared" si="28"/>
        <v>5.4032110904537363E-2</v>
      </c>
      <c r="G59" s="2"/>
      <c r="H59" s="6">
        <v>175</v>
      </c>
      <c r="I59" s="2"/>
      <c r="J59" s="7">
        <f t="shared" si="29"/>
        <v>1.0891212347523027E-2</v>
      </c>
      <c r="K59" s="2"/>
      <c r="L59" s="6">
        <f t="shared" si="30"/>
        <v>642.24</v>
      </c>
      <c r="M59" s="2"/>
      <c r="N59" s="7">
        <f t="shared" si="31"/>
        <v>3.6699428571428574</v>
      </c>
      <c r="O59" s="11"/>
      <c r="P59" s="6">
        <v>1660.4</v>
      </c>
      <c r="Q59" s="2"/>
      <c r="R59" s="7">
        <f t="shared" si="32"/>
        <v>8.3487278296626222E-2</v>
      </c>
      <c r="S59" s="2"/>
      <c r="T59" s="6">
        <v>230</v>
      </c>
      <c r="U59" s="2"/>
      <c r="V59" s="7">
        <f t="shared" si="33"/>
        <v>1.0881907645722937E-2</v>
      </c>
      <c r="W59" s="2"/>
      <c r="X59" s="6">
        <f t="shared" si="34"/>
        <v>1430.4</v>
      </c>
      <c r="Y59" s="2"/>
      <c r="Z59" s="7">
        <f t="shared" si="35"/>
        <v>6.2191304347826089</v>
      </c>
    </row>
    <row r="60" spans="1:26" s="26" customFormat="1" outlineLevel="1" collapsed="1" x14ac:dyDescent="0.25">
      <c r="A60" s="25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SUM(OSRRefD22_9x_0)</f>
        <v>682.79</v>
      </c>
      <c r="E60" s="1"/>
      <c r="F60" s="5">
        <f t="shared" si="28"/>
        <v>4.5142901723495013E-2</v>
      </c>
      <c r="G60" s="1"/>
      <c r="H60" s="1">
        <f>SUM(OSRRefH22_9x_0)</f>
        <v>143</v>
      </c>
      <c r="I60" s="1"/>
      <c r="J60" s="5">
        <f t="shared" si="29"/>
        <v>8.8996763754045308E-3</v>
      </c>
      <c r="K60" s="1"/>
      <c r="L60" s="1">
        <f t="shared" si="30"/>
        <v>539.79</v>
      </c>
      <c r="M60" s="1"/>
      <c r="N60" s="5">
        <f t="shared" si="31"/>
        <v>3.7747552447552444</v>
      </c>
      <c r="O60" s="13"/>
      <c r="P60" s="1">
        <f>SUM(OSRRefP22_9x_0)</f>
        <v>1010.7199999999999</v>
      </c>
      <c r="Q60" s="1"/>
      <c r="R60" s="5">
        <f t="shared" si="32"/>
        <v>5.0820442013952083E-2</v>
      </c>
      <c r="S60" s="1"/>
      <c r="T60" s="1">
        <f>SUM(OSRRefT22_9x_0)</f>
        <v>188</v>
      </c>
      <c r="U60" s="1"/>
      <c r="V60" s="5">
        <f t="shared" si="33"/>
        <v>8.8947766843300528E-3</v>
      </c>
      <c r="W60" s="1"/>
      <c r="X60" s="1">
        <f t="shared" si="34"/>
        <v>822.71999999999991</v>
      </c>
      <c r="Y60" s="1"/>
      <c r="Z60" s="5">
        <f t="shared" si="35"/>
        <v>4.376170212765957</v>
      </c>
    </row>
    <row r="61" spans="1:26" s="24" customFormat="1" hidden="1" outlineLevel="2" x14ac:dyDescent="0.25">
      <c r="A61" s="27"/>
      <c r="B61" s="11" t="str">
        <f>CONCATENATE("          ", "6282", " - ", "JANITORIAL/EXTERMINATOR EXPENS")</f>
        <v xml:space="preserve">          6282 - JANITORIAL/EXTERMINATOR EXPENS</v>
      </c>
      <c r="C61" s="11"/>
      <c r="D61" s="6">
        <v>655.86</v>
      </c>
      <c r="E61" s="2"/>
      <c r="F61" s="7">
        <f t="shared" si="28"/>
        <v>4.3362415273175414E-2</v>
      </c>
      <c r="G61" s="2"/>
      <c r="H61" s="6">
        <v>143</v>
      </c>
      <c r="I61" s="2"/>
      <c r="J61" s="7">
        <f t="shared" si="29"/>
        <v>8.8996763754045308E-3</v>
      </c>
      <c r="K61" s="2"/>
      <c r="L61" s="6">
        <f t="shared" si="30"/>
        <v>512.86</v>
      </c>
      <c r="M61" s="2"/>
      <c r="N61" s="7">
        <f t="shared" si="31"/>
        <v>3.5864335664335667</v>
      </c>
      <c r="O61" s="11"/>
      <c r="P61" s="6">
        <v>983.79</v>
      </c>
      <c r="Q61" s="2"/>
      <c r="R61" s="7">
        <f t="shared" si="32"/>
        <v>4.9466363235026435E-2</v>
      </c>
      <c r="S61" s="2"/>
      <c r="T61" s="6">
        <v>188</v>
      </c>
      <c r="U61" s="2"/>
      <c r="V61" s="7">
        <f t="shared" si="33"/>
        <v>8.8947766843300528E-3</v>
      </c>
      <c r="W61" s="2"/>
      <c r="X61" s="6">
        <f t="shared" si="34"/>
        <v>795.79</v>
      </c>
      <c r="Y61" s="2"/>
      <c r="Z61" s="7">
        <f t="shared" si="35"/>
        <v>4.2329255319148933</v>
      </c>
    </row>
    <row r="62" spans="1:26" s="24" customFormat="1" hidden="1" outlineLevel="2" x14ac:dyDescent="0.25">
      <c r="A62" s="27"/>
      <c r="B62" s="11" t="str">
        <f>CONCATENATE("          ", "6285", " - ", "JANITORIAL SERVICES")</f>
        <v xml:space="preserve">          6285 - JANITORIAL SERVICES</v>
      </c>
      <c r="C62" s="11"/>
      <c r="D62" s="6">
        <v>26.93</v>
      </c>
      <c r="E62" s="2"/>
      <c r="F62" s="7">
        <f t="shared" si="28"/>
        <v>1.7804864503196017E-3</v>
      </c>
      <c r="G62" s="2"/>
      <c r="H62" s="6"/>
      <c r="I62" s="2"/>
      <c r="J62" s="7">
        <f t="shared" si="29"/>
        <v>0</v>
      </c>
      <c r="K62" s="2"/>
      <c r="L62" s="6">
        <f t="shared" si="30"/>
        <v>26.93</v>
      </c>
      <c r="M62" s="2"/>
      <c r="N62" s="7">
        <f t="shared" si="31"/>
        <v>0</v>
      </c>
      <c r="O62" s="11"/>
      <c r="P62" s="6">
        <v>26.93</v>
      </c>
      <c r="Q62" s="2"/>
      <c r="R62" s="7">
        <f t="shared" si="32"/>
        <v>1.3540787789256467E-3</v>
      </c>
      <c r="S62" s="2"/>
      <c r="T62" s="6"/>
      <c r="U62" s="2"/>
      <c r="V62" s="7">
        <f t="shared" si="33"/>
        <v>0</v>
      </c>
      <c r="W62" s="2"/>
      <c r="X62" s="6">
        <f t="shared" si="34"/>
        <v>26.93</v>
      </c>
      <c r="Y62" s="2"/>
      <c r="Z62" s="7">
        <f t="shared" si="35"/>
        <v>0</v>
      </c>
    </row>
    <row r="63" spans="1:26" s="26" customFormat="1" outlineLevel="1" collapsed="1" x14ac:dyDescent="0.25">
      <c r="A63" s="25"/>
      <c r="B63" s="13" t="str">
        <f>CONCATENATE("     ","Supplies                                          ")</f>
        <v xml:space="preserve">     Supplies                                          </v>
      </c>
      <c r="C63" s="13"/>
      <c r="D63" s="1">
        <f>SUM(OSRRefD22_10x_0)</f>
        <v>1024.3599999999999</v>
      </c>
      <c r="E63" s="1"/>
      <c r="F63" s="5">
        <f t="shared" ref="F63:F66" si="36">IF(D$12=0,0,D63/D$12)</f>
        <v>6.7725922771978725E-2</v>
      </c>
      <c r="G63" s="1"/>
      <c r="H63" s="1">
        <f>SUM(OSRRefH22_10x_0)</f>
        <v>241</v>
      </c>
      <c r="I63" s="1"/>
      <c r="J63" s="5">
        <f t="shared" ref="J63:J66" si="37">IF(H$12=0,0,H63/H$12)</f>
        <v>1.4998755290017426E-2</v>
      </c>
      <c r="K63" s="1"/>
      <c r="L63" s="1">
        <f t="shared" ref="L63:L66" si="38">+D63-H63</f>
        <v>783.3599999999999</v>
      </c>
      <c r="M63" s="1"/>
      <c r="N63" s="5">
        <f t="shared" ref="N63:N66" si="39">IF(H63=0,0,L63/H63)</f>
        <v>3.2504564315352691</v>
      </c>
      <c r="O63" s="13"/>
      <c r="P63" s="1">
        <f>SUM(OSRRefP22_10x_0)</f>
        <v>4803.12</v>
      </c>
      <c r="Q63" s="1"/>
      <c r="R63" s="5">
        <f t="shared" ref="R63:R66" si="40">IF(P$12=0,0,P63/P$12)</f>
        <v>0.24150771870157267</v>
      </c>
      <c r="S63" s="1"/>
      <c r="T63" s="1">
        <f>SUM(OSRRefT22_10x_0)</f>
        <v>317</v>
      </c>
      <c r="U63" s="1"/>
      <c r="V63" s="5">
        <f t="shared" ref="V63:V66" si="41">IF(T$12=0,0,T63/T$12)</f>
        <v>1.4998107494322482E-2</v>
      </c>
      <c r="W63" s="1"/>
      <c r="X63" s="1">
        <f t="shared" ref="X63:X66" si="42">+P63-T63</f>
        <v>4486.12</v>
      </c>
      <c r="Y63" s="1"/>
      <c r="Z63" s="5">
        <f t="shared" ref="Z63:Z66" si="43">IF(T63=0,0,X63/T63)</f>
        <v>14.151798107255519</v>
      </c>
    </row>
    <row r="64" spans="1:26" s="24" customFormat="1" hidden="1" outlineLevel="2" x14ac:dyDescent="0.25">
      <c r="A64" s="27"/>
      <c r="B64" s="11" t="str">
        <f>CONCATENATE("          ", "6237", " - ", "JANITORIAL SUPPLIES")</f>
        <v xml:space="preserve">          6237 - JANITORIAL SUPPLIES</v>
      </c>
      <c r="C64" s="11"/>
      <c r="D64" s="6">
        <v>189.12</v>
      </c>
      <c r="E64" s="2"/>
      <c r="F64" s="7">
        <f t="shared" si="36"/>
        <v>1.2503735517431974E-2</v>
      </c>
      <c r="G64" s="2"/>
      <c r="H64" s="6"/>
      <c r="I64" s="2"/>
      <c r="J64" s="7">
        <f t="shared" si="37"/>
        <v>0</v>
      </c>
      <c r="K64" s="2"/>
      <c r="L64" s="6">
        <f t="shared" si="38"/>
        <v>189.12</v>
      </c>
      <c r="M64" s="2"/>
      <c r="N64" s="7">
        <f t="shared" si="39"/>
        <v>0</v>
      </c>
      <c r="O64" s="11"/>
      <c r="P64" s="6">
        <v>409.99</v>
      </c>
      <c r="Q64" s="2"/>
      <c r="R64" s="7">
        <f t="shared" si="40"/>
        <v>2.0614881491709095E-2</v>
      </c>
      <c r="S64" s="2"/>
      <c r="T64" s="6"/>
      <c r="U64" s="2"/>
      <c r="V64" s="7">
        <f t="shared" si="41"/>
        <v>0</v>
      </c>
      <c r="W64" s="2"/>
      <c r="X64" s="6">
        <f t="shared" si="42"/>
        <v>409.99</v>
      </c>
      <c r="Y64" s="2"/>
      <c r="Z64" s="7">
        <f t="shared" si="43"/>
        <v>0</v>
      </c>
    </row>
    <row r="65" spans="1:26" s="24" customFormat="1" hidden="1" outlineLevel="2" x14ac:dyDescent="0.25">
      <c r="A65" s="27"/>
      <c r="B65" s="11" t="str">
        <f>CONCATENATE("          ", "6243", " - ", "PAPER SUPPLIES")</f>
        <v xml:space="preserve">          6243 - PAPER SUPPLIES</v>
      </c>
      <c r="C65" s="11"/>
      <c r="D65" s="6">
        <v>298.33</v>
      </c>
      <c r="E65" s="2"/>
      <c r="F65" s="7">
        <f t="shared" si="36"/>
        <v>1.9724193194350044E-2</v>
      </c>
      <c r="G65" s="2"/>
      <c r="H65" s="6"/>
      <c r="I65" s="2"/>
      <c r="J65" s="7">
        <f t="shared" si="37"/>
        <v>0</v>
      </c>
      <c r="K65" s="2"/>
      <c r="L65" s="6">
        <f t="shared" si="38"/>
        <v>298.33</v>
      </c>
      <c r="M65" s="2"/>
      <c r="N65" s="7">
        <f t="shared" si="39"/>
        <v>0</v>
      </c>
      <c r="O65" s="11"/>
      <c r="P65" s="6">
        <v>298.33</v>
      </c>
      <c r="Q65" s="2"/>
      <c r="R65" s="7">
        <f t="shared" si="40"/>
        <v>1.500045756096874E-2</v>
      </c>
      <c r="S65" s="2"/>
      <c r="T65" s="6"/>
      <c r="U65" s="2"/>
      <c r="V65" s="7">
        <f t="shared" si="41"/>
        <v>0</v>
      </c>
      <c r="W65" s="2"/>
      <c r="X65" s="6">
        <f t="shared" si="42"/>
        <v>298.33</v>
      </c>
      <c r="Y65" s="2"/>
      <c r="Z65" s="7">
        <f t="shared" si="43"/>
        <v>0</v>
      </c>
    </row>
    <row r="66" spans="1:26" s="24" customFormat="1" hidden="1" outlineLevel="2" x14ac:dyDescent="0.25">
      <c r="A66" s="27"/>
      <c r="B66" s="11" t="str">
        <f>CONCATENATE("          ", "6247", " - ", "STORE SUPPLIES")</f>
        <v xml:space="preserve">          6247 - STORE SUPPLIES</v>
      </c>
      <c r="C66" s="11"/>
      <c r="D66" s="6">
        <v>536.91</v>
      </c>
      <c r="E66" s="2"/>
      <c r="F66" s="7">
        <f t="shared" si="36"/>
        <v>3.5497994060196707E-2</v>
      </c>
      <c r="G66" s="2"/>
      <c r="H66" s="6">
        <v>241</v>
      </c>
      <c r="I66" s="2"/>
      <c r="J66" s="7">
        <f t="shared" si="37"/>
        <v>1.4998755290017426E-2</v>
      </c>
      <c r="K66" s="2"/>
      <c r="L66" s="6">
        <f t="shared" si="38"/>
        <v>295.90999999999997</v>
      </c>
      <c r="M66" s="2"/>
      <c r="N66" s="7">
        <f t="shared" si="39"/>
        <v>1.2278423236514522</v>
      </c>
      <c r="O66" s="11"/>
      <c r="P66" s="6">
        <v>4094.8</v>
      </c>
      <c r="Q66" s="2"/>
      <c r="R66" s="7">
        <f t="shared" si="40"/>
        <v>0.20589237964889487</v>
      </c>
      <c r="S66" s="2"/>
      <c r="T66" s="6">
        <v>317</v>
      </c>
      <c r="U66" s="2"/>
      <c r="V66" s="7">
        <f t="shared" si="41"/>
        <v>1.4998107494322482E-2</v>
      </c>
      <c r="W66" s="2"/>
      <c r="X66" s="6">
        <f t="shared" si="42"/>
        <v>3777.8</v>
      </c>
      <c r="Y66" s="2"/>
      <c r="Z66" s="7">
        <f t="shared" si="43"/>
        <v>11.917350157728707</v>
      </c>
    </row>
    <row r="67" spans="1:26" s="26" customFormat="1" outlineLevel="1" collapsed="1" x14ac:dyDescent="0.25">
      <c r="A67" s="25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SUM(OSRRefD22_11x_0)</f>
        <v>91.01</v>
      </c>
      <c r="E67" s="1"/>
      <c r="F67" s="5">
        <f t="shared" ref="F67:F70" si="44">IF(D$12=0,0,D67/D$12)</f>
        <v>6.0171582563530246E-3</v>
      </c>
      <c r="G67" s="1"/>
      <c r="H67" s="1">
        <f>SUM(OSRRefH22_11x_0)</f>
        <v>75</v>
      </c>
      <c r="I67" s="1"/>
      <c r="J67" s="5">
        <f t="shared" ref="J67:J70" si="45">IF(H$12=0,0,H67/H$12)</f>
        <v>4.6676624346527256E-3</v>
      </c>
      <c r="K67" s="1"/>
      <c r="L67" s="1">
        <f t="shared" ref="L67:L70" si="46">+D67-H67</f>
        <v>16.010000000000005</v>
      </c>
      <c r="M67" s="1"/>
      <c r="N67" s="5">
        <f t="shared" ref="N67:N70" si="47">IF(H67=0,0,L67/H67)</f>
        <v>0.21346666666666672</v>
      </c>
      <c r="O67" s="13"/>
      <c r="P67" s="1">
        <f>SUM(OSRRefP22_11x_0)</f>
        <v>160.02000000000001</v>
      </c>
      <c r="Q67" s="1"/>
      <c r="R67" s="5">
        <f t="shared" ref="R67:R70" si="48">IF(P$12=0,0,P67/P$12)</f>
        <v>8.0460336503409575E-3</v>
      </c>
      <c r="S67" s="1"/>
      <c r="T67" s="1">
        <f>SUM(OSRRefT22_11x_0)</f>
        <v>150</v>
      </c>
      <c r="U67" s="1"/>
      <c r="V67" s="5">
        <f t="shared" ref="V67:V70" si="49">IF(T$12=0,0,T67/T$12)</f>
        <v>7.0968962906888724E-3</v>
      </c>
      <c r="W67" s="1"/>
      <c r="X67" s="1">
        <f t="shared" ref="X67:X70" si="50">+P67-T67</f>
        <v>10.02000000000001</v>
      </c>
      <c r="Y67" s="1"/>
      <c r="Z67" s="5">
        <f t="shared" ref="Z67:Z70" si="51">IF(T67=0,0,X67/T67)</f>
        <v>6.6800000000000068E-2</v>
      </c>
    </row>
    <row r="68" spans="1:26" s="24" customFormat="1" hidden="1" outlineLevel="2" x14ac:dyDescent="0.25">
      <c r="A68" s="27"/>
      <c r="B68" s="11" t="str">
        <f>CONCATENATE("          ", "6309", " - ", "TELEPHONE")</f>
        <v xml:space="preserve">          6309 - TELEPHONE</v>
      </c>
      <c r="C68" s="11"/>
      <c r="D68" s="6">
        <v>91.01</v>
      </c>
      <c r="E68" s="2"/>
      <c r="F68" s="7">
        <f t="shared" si="44"/>
        <v>6.0171582563530246E-3</v>
      </c>
      <c r="G68" s="2"/>
      <c r="H68" s="6">
        <v>75</v>
      </c>
      <c r="I68" s="2"/>
      <c r="J68" s="7">
        <f t="shared" si="45"/>
        <v>4.6676624346527256E-3</v>
      </c>
      <c r="K68" s="2"/>
      <c r="L68" s="6">
        <f t="shared" si="46"/>
        <v>16.010000000000005</v>
      </c>
      <c r="M68" s="2"/>
      <c r="N68" s="7">
        <f t="shared" si="47"/>
        <v>0.21346666666666672</v>
      </c>
      <c r="O68" s="11"/>
      <c r="P68" s="6">
        <v>160.02000000000001</v>
      </c>
      <c r="Q68" s="2"/>
      <c r="R68" s="7">
        <f t="shared" si="48"/>
        <v>8.0460336503409575E-3</v>
      </c>
      <c r="S68" s="2"/>
      <c r="T68" s="6">
        <v>150</v>
      </c>
      <c r="U68" s="2"/>
      <c r="V68" s="7">
        <f t="shared" si="49"/>
        <v>7.0968962906888724E-3</v>
      </c>
      <c r="W68" s="2"/>
      <c r="X68" s="6">
        <f t="shared" si="50"/>
        <v>10.02000000000001</v>
      </c>
      <c r="Y68" s="2"/>
      <c r="Z68" s="7">
        <f t="shared" si="51"/>
        <v>6.6800000000000068E-2</v>
      </c>
    </row>
    <row r="69" spans="1:26" s="26" customFormat="1" outlineLevel="1" collapsed="1" x14ac:dyDescent="0.25">
      <c r="A69" s="25"/>
      <c r="B69" s="13" t="str">
        <f>CONCATENATE("     ","Training                                          ")</f>
        <v xml:space="preserve">     Training                                          </v>
      </c>
      <c r="C69" s="13"/>
      <c r="D69" s="1">
        <f>SUM(OSRRefD22_12x_0)</f>
        <v>0</v>
      </c>
      <c r="E69" s="1"/>
      <c r="F69" s="5">
        <f t="shared" si="44"/>
        <v>0</v>
      </c>
      <c r="G69" s="1"/>
      <c r="H69" s="1">
        <f>SUM(OSRRefH22_12x_0)</f>
        <v>500</v>
      </c>
      <c r="I69" s="1"/>
      <c r="J69" s="5">
        <f t="shared" si="45"/>
        <v>3.1117749564351507E-2</v>
      </c>
      <c r="K69" s="1"/>
      <c r="L69" s="1">
        <f t="shared" si="46"/>
        <v>-500</v>
      </c>
      <c r="M69" s="1"/>
      <c r="N69" s="5">
        <f t="shared" si="47"/>
        <v>-1</v>
      </c>
      <c r="O69" s="13"/>
      <c r="P69" s="1">
        <f>SUM(OSRRefP22_12x_0)</f>
        <v>0</v>
      </c>
      <c r="Q69" s="1"/>
      <c r="R69" s="5">
        <f t="shared" si="48"/>
        <v>0</v>
      </c>
      <c r="S69" s="1"/>
      <c r="T69" s="1">
        <f>SUM(OSRRefT22_12x_0)</f>
        <v>500</v>
      </c>
      <c r="U69" s="1"/>
      <c r="V69" s="5">
        <f t="shared" si="49"/>
        <v>2.3656320968962908E-2</v>
      </c>
      <c r="W69" s="1"/>
      <c r="X69" s="1">
        <f t="shared" si="50"/>
        <v>-500</v>
      </c>
      <c r="Y69" s="1"/>
      <c r="Z69" s="5">
        <f t="shared" si="51"/>
        <v>-1</v>
      </c>
    </row>
    <row r="70" spans="1:26" s="24" customFormat="1" hidden="1" outlineLevel="2" x14ac:dyDescent="0.25">
      <c r="A70" s="27"/>
      <c r="B70" s="11" t="str">
        <f>CONCATENATE("          ", "6376", " - ", "TRAINING")</f>
        <v xml:space="preserve">          6376 - TRAINING</v>
      </c>
      <c r="C70" s="11"/>
      <c r="D70" s="6"/>
      <c r="E70" s="2"/>
      <c r="F70" s="7">
        <f t="shared" si="44"/>
        <v>0</v>
      </c>
      <c r="G70" s="2"/>
      <c r="H70" s="6">
        <v>500</v>
      </c>
      <c r="I70" s="2"/>
      <c r="J70" s="7">
        <f t="shared" si="45"/>
        <v>3.1117749564351507E-2</v>
      </c>
      <c r="K70" s="2"/>
      <c r="L70" s="6">
        <f t="shared" si="46"/>
        <v>-500</v>
      </c>
      <c r="M70" s="2"/>
      <c r="N70" s="7">
        <f t="shared" si="47"/>
        <v>-1</v>
      </c>
      <c r="O70" s="11"/>
      <c r="P70" s="6"/>
      <c r="Q70" s="2"/>
      <c r="R70" s="7">
        <f t="shared" si="48"/>
        <v>0</v>
      </c>
      <c r="S70" s="2"/>
      <c r="T70" s="6">
        <v>500</v>
      </c>
      <c r="U70" s="2"/>
      <c r="V70" s="7">
        <f t="shared" si="49"/>
        <v>2.3656320968962908E-2</v>
      </c>
      <c r="W70" s="2"/>
      <c r="X70" s="6">
        <f t="shared" si="50"/>
        <v>-500</v>
      </c>
      <c r="Y70" s="2"/>
      <c r="Z70" s="7">
        <f t="shared" si="51"/>
        <v>-1</v>
      </c>
    </row>
    <row r="71" spans="1:26" s="63" customFormat="1" x14ac:dyDescent="0.25">
      <c r="A71" s="36"/>
      <c r="B71" s="36"/>
      <c r="C71" s="36"/>
      <c r="D71" s="1"/>
      <c r="E71" s="1"/>
      <c r="F71" s="5"/>
      <c r="G71" s="1"/>
      <c r="H71" s="1"/>
      <c r="I71" s="1"/>
      <c r="J71" s="5"/>
      <c r="K71" s="1"/>
      <c r="L71" s="1"/>
      <c r="M71" s="1"/>
      <c r="N71" s="5"/>
      <c r="O71" s="36"/>
      <c r="P71" s="1"/>
      <c r="Q71" s="1"/>
      <c r="R71" s="5"/>
      <c r="S71" s="1"/>
      <c r="T71" s="1"/>
      <c r="U71" s="1"/>
      <c r="V71" s="5"/>
      <c r="W71" s="1"/>
      <c r="X71" s="1"/>
      <c r="Y71" s="1"/>
      <c r="Z71" s="5"/>
    </row>
    <row r="72" spans="1:26" s="23" customFormat="1" x14ac:dyDescent="0.25">
      <c r="A72" s="10"/>
      <c r="B72" s="28" t="s">
        <v>0</v>
      </c>
      <c r="C72" s="10"/>
      <c r="D72" s="4">
        <f>SUM(0)</f>
        <v>0</v>
      </c>
      <c r="E72" s="4"/>
      <c r="F72" s="12">
        <f>IF(D$12=0,0,D72/D$12)</f>
        <v>0</v>
      </c>
      <c r="G72" s="4"/>
      <c r="H72" s="4">
        <f>SUM(0)</f>
        <v>0</v>
      </c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>
        <f>SUM(0)</f>
        <v>0</v>
      </c>
      <c r="Q72" s="4"/>
      <c r="R72" s="12">
        <f>IF(P$12=0,0,P72/P$12)</f>
        <v>0</v>
      </c>
      <c r="S72" s="4"/>
      <c r="T72" s="4">
        <f>SUM(0)</f>
        <v>0</v>
      </c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9" t="s">
        <v>3</v>
      </c>
      <c r="C74" s="29"/>
      <c r="D74" s="22">
        <f>+D22-D24+D72</f>
        <v>-3811.6300000000028</v>
      </c>
      <c r="E74" s="14"/>
      <c r="F74" s="20">
        <f>IF(D$12=0,0,D74/D$12)</f>
        <v>-0.25200726211034935</v>
      </c>
      <c r="G74" s="14"/>
      <c r="H74" s="22">
        <f>+H22-H24+H72</f>
        <v>-50.371105384620023</v>
      </c>
      <c r="I74" s="14"/>
      <c r="J74" s="20">
        <f>IF(H$12=0,0,H74/H$12)</f>
        <v>-3.1348708852763272E-3</v>
      </c>
      <c r="K74" s="15"/>
      <c r="L74" s="22">
        <f>+D74-H74</f>
        <v>-3761.2588946153828</v>
      </c>
      <c r="M74" s="15"/>
      <c r="N74" s="20">
        <f>IF(H74=0,0,L74/H74)</f>
        <v>74.670961971063292</v>
      </c>
      <c r="O74" s="28"/>
      <c r="P74" s="22">
        <f>+P22-P24+P72</f>
        <v>-15614.490000000002</v>
      </c>
      <c r="Q74" s="14"/>
      <c r="R74" s="20">
        <f>IF(P$12=0,0,P74/P$12)</f>
        <v>-0.78511880997945505</v>
      </c>
      <c r="S74" s="14"/>
      <c r="T74" s="22">
        <f>+T22-T24+T72</f>
        <v>-3588.7752871153898</v>
      </c>
      <c r="U74" s="14"/>
      <c r="V74" s="20">
        <f>IF(T$12=0,0,T74/T$12)</f>
        <v>-0.16979444015496734</v>
      </c>
      <c r="W74" s="15"/>
      <c r="X74" s="22">
        <f>+P74-T74</f>
        <v>-12025.714712884612</v>
      </c>
      <c r="Y74" s="15"/>
      <c r="Z74" s="20">
        <f>IF(T74=0,0,X74/T74)</f>
        <v>3.3509244103580311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52"/>
      <c r="B76" s="10" t="s">
        <v>14</v>
      </c>
      <c r="C76" s="10"/>
      <c r="D76" s="4">
        <v>1489.32</v>
      </c>
      <c r="E76" s="4"/>
      <c r="F76" s="12">
        <f>IF(D$12=0,0,D76/D$12)</f>
        <v>9.8466917199776793E-2</v>
      </c>
      <c r="G76" s="4"/>
      <c r="H76" s="4">
        <v>2197</v>
      </c>
      <c r="I76" s="4"/>
      <c r="J76" s="12">
        <f>IF(H$12=0,0,H76/H$12)</f>
        <v>0.13673139158576053</v>
      </c>
      <c r="K76" s="4"/>
      <c r="L76" s="4">
        <f>+D76-H76</f>
        <v>-707.68000000000006</v>
      </c>
      <c r="M76" s="4"/>
      <c r="N76" s="12">
        <f>IF(H76=0,0,L76/H76)</f>
        <v>-0.32211197086936733</v>
      </c>
      <c r="O76" s="10"/>
      <c r="P76" s="4">
        <v>2479.6799999999998</v>
      </c>
      <c r="Q76" s="4"/>
      <c r="R76" s="12">
        <f>IF(P$12=0,0,P76/P$12)</f>
        <v>0.12468184428244886</v>
      </c>
      <c r="S76" s="4"/>
      <c r="T76" s="4">
        <v>3432</v>
      </c>
      <c r="U76" s="4"/>
      <c r="V76" s="12">
        <f>IF(T$12=0,0,T76/T$12)</f>
        <v>0.16237698713096138</v>
      </c>
      <c r="W76" s="4"/>
      <c r="X76" s="4">
        <f>+P76-T76</f>
        <v>-952.32000000000016</v>
      </c>
      <c r="Y76" s="4"/>
      <c r="Z76" s="12">
        <f>IF(T76=0,0,X76/T76)</f>
        <v>-0.27748251748251751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9" t="s">
        <v>4</v>
      </c>
      <c r="C78" s="29"/>
      <c r="D78" s="31">
        <f>+D74-D76</f>
        <v>-5300.9500000000025</v>
      </c>
      <c r="E78" s="14"/>
      <c r="F78" s="32">
        <f>IF(D$12=0,0,D78/D$12)</f>
        <v>-0.35047417931012614</v>
      </c>
      <c r="G78" s="14"/>
      <c r="H78" s="31">
        <f>+H74-H76</f>
        <v>-2247.37110538462</v>
      </c>
      <c r="I78" s="14"/>
      <c r="J78" s="32">
        <f>IF(H$12=0,0,H78/H$12)</f>
        <v>-0.13986626247103684</v>
      </c>
      <c r="K78" s="15"/>
      <c r="L78" s="31">
        <f>D78-H78</f>
        <v>-3053.5788946153825</v>
      </c>
      <c r="M78" s="15"/>
      <c r="N78" s="32">
        <f>IF(H78=0,0,L78/H78)</f>
        <v>1.3587337166074254</v>
      </c>
      <c r="O78" s="28"/>
      <c r="P78" s="31">
        <f>+P74-P76</f>
        <v>-18094.170000000002</v>
      </c>
      <c r="Q78" s="14"/>
      <c r="R78" s="32">
        <f>IF(P$12=0,0,P78/P$12)</f>
        <v>-0.90980065426190393</v>
      </c>
      <c r="S78" s="14"/>
      <c r="T78" s="31">
        <f>+T74-T76</f>
        <v>-7020.7752871153898</v>
      </c>
      <c r="U78" s="14"/>
      <c r="V78" s="32">
        <f>IF(T$12=0,0,T78/T$12)</f>
        <v>-0.33217142728592874</v>
      </c>
      <c r="W78" s="15"/>
      <c r="X78" s="31">
        <f>P78-T78</f>
        <v>-11073.394712884612</v>
      </c>
      <c r="Y78" s="15"/>
      <c r="Z78" s="32">
        <f>IF(T78=0,0,X78/T78)</f>
        <v>1.5772324650821168</v>
      </c>
    </row>
    <row r="79" spans="1:26" ht="15.75" thickTop="1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9" t="s">
        <v>5</v>
      </c>
      <c r="C81" s="29"/>
      <c r="D81" s="33">
        <f>SUM(D78:D80)</f>
        <v>-5300.9500000000025</v>
      </c>
      <c r="E81" s="14"/>
      <c r="F81" s="35">
        <f>IF(D$12=0,0,D81/D$12)</f>
        <v>-0.35047417931012614</v>
      </c>
      <c r="G81" s="14"/>
      <c r="H81" s="33">
        <f>SUM(H78:H80)</f>
        <v>-2247.37110538462</v>
      </c>
      <c r="I81" s="14"/>
      <c r="J81" s="35">
        <f>IF(H$12=0,0,H81/H$12)</f>
        <v>-0.13986626247103684</v>
      </c>
      <c r="K81" s="15"/>
      <c r="L81" s="33">
        <f>+D81-H81</f>
        <v>-3053.5788946153825</v>
      </c>
      <c r="M81" s="15"/>
      <c r="N81" s="35">
        <f>IF(H81=0,0,L81/H81)</f>
        <v>1.3587337166074254</v>
      </c>
      <c r="O81" s="28"/>
      <c r="P81" s="33">
        <f>SUM(P78:P80)</f>
        <v>-18094.170000000002</v>
      </c>
      <c r="Q81" s="14"/>
      <c r="R81" s="35">
        <f>IF(P$12=0,0,P81/P$12)</f>
        <v>-0.90980065426190393</v>
      </c>
      <c r="S81" s="14"/>
      <c r="T81" s="33">
        <f>SUM(T78:T80)</f>
        <v>-7020.7752871153898</v>
      </c>
      <c r="U81" s="14"/>
      <c r="V81" s="35">
        <f>IF(T$12=0,0,T81/T$12)</f>
        <v>-0.33217142728592874</v>
      </c>
      <c r="W81" s="15"/>
      <c r="X81" s="33">
        <f>+P81-T81</f>
        <v>-11073.394712884612</v>
      </c>
      <c r="Y81" s="15"/>
      <c r="Z81" s="35">
        <f>IF(T81=0,0,X81/T81)</f>
        <v>1.5772324650821168</v>
      </c>
    </row>
    <row r="82" spans="1:26" ht="15.75" thickTop="1" x14ac:dyDescent="0.25">
      <c r="A82" s="9"/>
      <c r="C82" s="9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6" x14ac:dyDescent="0.25">
      <c r="A83" s="9"/>
      <c r="B83" s="61">
        <v>43732.705961377316</v>
      </c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6" x14ac:dyDescent="0.25">
      <c r="A84" s="9"/>
      <c r="B84" s="62" t="s">
        <v>314</v>
      </c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58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","313", " - ", "Convenience Store")</f>
        <v>Department 313 - Convenience 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31680.65</v>
      </c>
      <c r="E12" s="4"/>
      <c r="F12" s="12"/>
      <c r="G12" s="4"/>
      <c r="H12" s="4">
        <f>SUM(OSRRefH13x_0)</f>
        <v>34776</v>
      </c>
      <c r="I12" s="4"/>
      <c r="J12" s="12"/>
      <c r="K12" s="4"/>
      <c r="L12" s="4">
        <f t="shared" ref="L12:L18" si="0">+D12-H12</f>
        <v>-3095.3499999999985</v>
      </c>
      <c r="M12" s="4"/>
      <c r="N12" s="12">
        <f t="shared" ref="N12:N18" si="1">IF(H12=0,0,L12/H12)</f>
        <v>-8.9008224062571847E-2</v>
      </c>
      <c r="O12" s="10"/>
      <c r="P12" s="4">
        <f>SUM(OSRRefP13x_0)</f>
        <v>51250.95</v>
      </c>
      <c r="Q12" s="4"/>
      <c r="R12" s="12"/>
      <c r="S12" s="4"/>
      <c r="T12" s="4">
        <f>SUM(OSRRefT13x_0)</f>
        <v>50854</v>
      </c>
      <c r="U12" s="4"/>
      <c r="V12" s="12"/>
      <c r="W12" s="4"/>
      <c r="X12" s="4">
        <f t="shared" ref="X12:X18" si="2">+P12-T12</f>
        <v>396.94999999999709</v>
      </c>
      <c r="Y12" s="4"/>
      <c r="Z12" s="12">
        <f t="shared" ref="Z12:Z18" si="3">IF(T12=0,0,X12/T12)</f>
        <v>7.8056790026349368E-3</v>
      </c>
    </row>
    <row r="13" spans="1:26" s="24" customFormat="1" hidden="1" outlineLevel="1" x14ac:dyDescent="0.25">
      <c r="A13" s="46"/>
      <c r="B13" s="11" t="str">
        <f>CONCATENATE("          ", "4032", " - ", "TAXABLE SALES-JUICE")</f>
        <v xml:space="preserve">          4032 - TAXABLE SALES-JUICE</v>
      </c>
      <c r="C13" s="11"/>
      <c r="D13" s="2">
        <f>--6573.83</f>
        <v>6573.83</v>
      </c>
      <c r="E13" s="2"/>
      <c r="F13" s="21"/>
      <c r="G13" s="2"/>
      <c r="H13" s="2"/>
      <c r="I13" s="2"/>
      <c r="J13" s="21"/>
      <c r="K13" s="2"/>
      <c r="L13" s="2">
        <f t="shared" si="0"/>
        <v>6573.83</v>
      </c>
      <c r="M13" s="2"/>
      <c r="N13" s="21">
        <f t="shared" si="1"/>
        <v>0</v>
      </c>
      <c r="O13" s="11"/>
      <c r="P13" s="2">
        <f>--10268.35</f>
        <v>10268.35</v>
      </c>
      <c r="Q13" s="2"/>
      <c r="R13" s="21"/>
      <c r="S13" s="2"/>
      <c r="T13" s="2"/>
      <c r="U13" s="2"/>
      <c r="V13" s="21"/>
      <c r="W13" s="2"/>
      <c r="X13" s="2">
        <f t="shared" si="2"/>
        <v>10268.35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"4034", " - ", "TAXABLE SALES-SODA")</f>
        <v xml:space="preserve">          4034 - TAXABLE SALES-SODA</v>
      </c>
      <c r="C14" s="11"/>
      <c r="D14" s="2">
        <f>--357.65</f>
        <v>357.65</v>
      </c>
      <c r="E14" s="2"/>
      <c r="F14" s="21"/>
      <c r="G14" s="2"/>
      <c r="H14" s="2"/>
      <c r="I14" s="2"/>
      <c r="J14" s="21"/>
      <c r="K14" s="2"/>
      <c r="L14" s="2">
        <f t="shared" si="0"/>
        <v>357.65</v>
      </c>
      <c r="M14" s="2"/>
      <c r="N14" s="21">
        <f t="shared" si="1"/>
        <v>0</v>
      </c>
      <c r="O14" s="11"/>
      <c r="P14" s="2">
        <f>--646.4</f>
        <v>646.4</v>
      </c>
      <c r="Q14" s="2"/>
      <c r="R14" s="21"/>
      <c r="S14" s="2"/>
      <c r="T14" s="2"/>
      <c r="U14" s="2"/>
      <c r="V14" s="21"/>
      <c r="W14" s="2"/>
      <c r="X14" s="2">
        <f t="shared" si="2"/>
        <v>646.4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1"/>
      <c r="G15" s="2"/>
      <c r="H15" s="2">
        <v>34776</v>
      </c>
      <c r="I15" s="2"/>
      <c r="J15" s="21"/>
      <c r="K15" s="2"/>
      <c r="L15" s="2">
        <f t="shared" si="0"/>
        <v>-34776</v>
      </c>
      <c r="M15" s="2"/>
      <c r="N15" s="21">
        <f t="shared" si="1"/>
        <v>-1</v>
      </c>
      <c r="O15" s="11"/>
      <c r="P15" s="2">
        <f>0</f>
        <v>0</v>
      </c>
      <c r="Q15" s="2"/>
      <c r="R15" s="21"/>
      <c r="S15" s="2"/>
      <c r="T15" s="2">
        <v>50854</v>
      </c>
      <c r="U15" s="2"/>
      <c r="V15" s="21"/>
      <c r="W15" s="2"/>
      <c r="X15" s="2">
        <f t="shared" si="2"/>
        <v>-50854</v>
      </c>
      <c r="Y15" s="2"/>
      <c r="Z15" s="21">
        <f t="shared" si="3"/>
        <v>-1</v>
      </c>
    </row>
    <row r="16" spans="1:26" s="24" customFormat="1" hidden="1" outlineLevel="1" x14ac:dyDescent="0.25">
      <c r="A16" s="46"/>
      <c r="B16" s="11" t="str">
        <f>CONCATENATE("          ", "4132", " - ", "NON-TAXABLE SALES-JUICE")</f>
        <v xml:space="preserve">          4132 - NON-TAXABLE SALES-JUICE</v>
      </c>
      <c r="C16" s="11"/>
      <c r="D16" s="2">
        <f>--24576.15</f>
        <v>24576.15</v>
      </c>
      <c r="E16" s="2"/>
      <c r="F16" s="21"/>
      <c r="G16" s="2"/>
      <c r="H16" s="2"/>
      <c r="I16" s="2"/>
      <c r="J16" s="21"/>
      <c r="K16" s="2"/>
      <c r="L16" s="2">
        <f t="shared" si="0"/>
        <v>24576.15</v>
      </c>
      <c r="M16" s="2"/>
      <c r="N16" s="21">
        <f t="shared" si="1"/>
        <v>0</v>
      </c>
      <c r="O16" s="11"/>
      <c r="P16" s="2">
        <f>--39956.07</f>
        <v>39956.07</v>
      </c>
      <c r="Q16" s="2"/>
      <c r="R16" s="21"/>
      <c r="S16" s="2"/>
      <c r="T16" s="2"/>
      <c r="U16" s="2"/>
      <c r="V16" s="21"/>
      <c r="W16" s="2"/>
      <c r="X16" s="2">
        <f t="shared" si="2"/>
        <v>39956.07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"4134", " - ", "NON-TAXABLE SALES-SODA")</f>
        <v xml:space="preserve">          4134 - NON-TAXABLE SALES-SODA</v>
      </c>
      <c r="C17" s="11"/>
      <c r="D17" s="2">
        <f>0</f>
        <v>0</v>
      </c>
      <c r="E17" s="2"/>
      <c r="F17" s="21"/>
      <c r="G17" s="2"/>
      <c r="H17" s="2"/>
      <c r="I17" s="2"/>
      <c r="J17" s="21"/>
      <c r="K17" s="2"/>
      <c r="L17" s="2">
        <f t="shared" si="0"/>
        <v>0</v>
      </c>
      <c r="M17" s="2"/>
      <c r="N17" s="21">
        <f t="shared" si="1"/>
        <v>0</v>
      </c>
      <c r="O17" s="11"/>
      <c r="P17" s="2">
        <f>-3.39</f>
        <v>-3.39</v>
      </c>
      <c r="Q17" s="2"/>
      <c r="R17" s="21"/>
      <c r="S17" s="2"/>
      <c r="T17" s="2"/>
      <c r="U17" s="2"/>
      <c r="V17" s="21"/>
      <c r="W17" s="2"/>
      <c r="X17" s="2">
        <f t="shared" si="2"/>
        <v>-3.39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"4137", " - ", "NON-TAXABLE SALES-WATER")</f>
        <v xml:space="preserve">          4137 - NON-TAXABLE SALES-WATER</v>
      </c>
      <c r="C18" s="11"/>
      <c r="D18" s="2">
        <f>--173.02</f>
        <v>173.02</v>
      </c>
      <c r="E18" s="2"/>
      <c r="F18" s="21"/>
      <c r="G18" s="2"/>
      <c r="H18" s="2"/>
      <c r="I18" s="2"/>
      <c r="J18" s="21"/>
      <c r="K18" s="2"/>
      <c r="L18" s="2">
        <f t="shared" si="0"/>
        <v>173.02</v>
      </c>
      <c r="M18" s="2"/>
      <c r="N18" s="21">
        <f t="shared" si="1"/>
        <v>0</v>
      </c>
      <c r="O18" s="11"/>
      <c r="P18" s="2">
        <f>--383.52</f>
        <v>383.52</v>
      </c>
      <c r="Q18" s="2"/>
      <c r="R18" s="21"/>
      <c r="S18" s="2"/>
      <c r="T18" s="2"/>
      <c r="U18" s="2"/>
      <c r="V18" s="21"/>
      <c r="W18" s="2"/>
      <c r="X18" s="2">
        <f t="shared" si="2"/>
        <v>383.52</v>
      </c>
      <c r="Y18" s="2"/>
      <c r="Z18" s="21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14807.23</v>
      </c>
      <c r="E20" s="4"/>
      <c r="F20" s="12">
        <f t="shared" ref="F20:F23" si="4">IF(D$12=0,0,D20/D$12)</f>
        <v>0.46739034710462063</v>
      </c>
      <c r="G20" s="4"/>
      <c r="H20" s="4">
        <f>SUM(OSRRefH16x_0)</f>
        <v>16692</v>
      </c>
      <c r="I20" s="4"/>
      <c r="J20" s="12">
        <f t="shared" ref="J20:J23" si="5">IF(H$12=0,0,H20/H$12)</f>
        <v>0.4799861973775017</v>
      </c>
      <c r="K20" s="4"/>
      <c r="L20" s="4">
        <f t="shared" ref="L20:L23" si="6">+D20-H20</f>
        <v>-1884.7700000000004</v>
      </c>
      <c r="M20" s="4"/>
      <c r="N20" s="12">
        <f t="shared" ref="N20:N23" si="7">IF(H20=0,0,L20/H20)</f>
        <v>-0.11291456985382221</v>
      </c>
      <c r="O20" s="10"/>
      <c r="P20" s="4">
        <f>SUM(OSRRefP16x_0)</f>
        <v>23875.54</v>
      </c>
      <c r="Q20" s="4"/>
      <c r="R20" s="12">
        <f t="shared" ref="R20:R23" si="8">IF(P$12=0,0,P20/P$12)</f>
        <v>0.46585555975059978</v>
      </c>
      <c r="S20" s="4"/>
      <c r="T20" s="4">
        <f>SUM(OSRRefT16x_0)</f>
        <v>24410</v>
      </c>
      <c r="U20" s="4"/>
      <c r="V20" s="12">
        <f t="shared" ref="V20:V23" si="9">IF(T$12=0,0,T20/T$12)</f>
        <v>0.48000157313092384</v>
      </c>
      <c r="W20" s="4"/>
      <c r="X20" s="4">
        <f t="shared" ref="X20:X23" si="10">+P20-T20</f>
        <v>-534.45999999999913</v>
      </c>
      <c r="Y20" s="4"/>
      <c r="Z20" s="12">
        <f t="shared" ref="Z20:Z23" si="11">IF(T20=0,0,X20/T20)</f>
        <v>-2.1895124948791443E-2</v>
      </c>
    </row>
    <row r="21" spans="1:26" s="24" customFormat="1" hidden="1" outlineLevel="1" x14ac:dyDescent="0.25">
      <c r="A21" s="46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21">
        <f t="shared" si="4"/>
        <v>0</v>
      </c>
      <c r="G21" s="2"/>
      <c r="H21" s="2">
        <v>16692</v>
      </c>
      <c r="I21" s="2"/>
      <c r="J21" s="21">
        <f t="shared" si="5"/>
        <v>0.4799861973775017</v>
      </c>
      <c r="K21" s="2"/>
      <c r="L21" s="2">
        <f t="shared" si="6"/>
        <v>-16692</v>
      </c>
      <c r="M21" s="2"/>
      <c r="N21" s="21">
        <f t="shared" si="7"/>
        <v>-1</v>
      </c>
      <c r="O21" s="11"/>
      <c r="P21" s="2"/>
      <c r="Q21" s="2"/>
      <c r="R21" s="21">
        <f t="shared" si="8"/>
        <v>0</v>
      </c>
      <c r="S21" s="2"/>
      <c r="T21" s="2">
        <v>24410</v>
      </c>
      <c r="U21" s="2"/>
      <c r="V21" s="21">
        <f t="shared" si="9"/>
        <v>0.48000157313092384</v>
      </c>
      <c r="W21" s="2"/>
      <c r="X21" s="2">
        <f t="shared" si="10"/>
        <v>-24410</v>
      </c>
      <c r="Y21" s="2"/>
      <c r="Z21" s="21">
        <f t="shared" si="11"/>
        <v>-1</v>
      </c>
    </row>
    <row r="22" spans="1:26" s="24" customFormat="1" hidden="1" outlineLevel="1" x14ac:dyDescent="0.25">
      <c r="A22" s="46"/>
      <c r="B22" s="11" t="str">
        <f>CONCATENATE("          ", "5053", " - ", "PURCHASES @ COST-FOOD")</f>
        <v xml:space="preserve">          5053 - PURCHASES @ COST-FOOD</v>
      </c>
      <c r="C22" s="11"/>
      <c r="D22" s="2">
        <v>22428.28</v>
      </c>
      <c r="E22" s="2"/>
      <c r="F22" s="21">
        <f t="shared" si="4"/>
        <v>0.70794885837253962</v>
      </c>
      <c r="G22" s="2"/>
      <c r="H22" s="2"/>
      <c r="I22" s="2"/>
      <c r="J22" s="21">
        <f t="shared" si="5"/>
        <v>0</v>
      </c>
      <c r="K22" s="2"/>
      <c r="L22" s="2">
        <f t="shared" si="6"/>
        <v>22428.28</v>
      </c>
      <c r="M22" s="2"/>
      <c r="N22" s="21">
        <f t="shared" si="7"/>
        <v>0</v>
      </c>
      <c r="O22" s="11"/>
      <c r="P22" s="2">
        <v>36585.07</v>
      </c>
      <c r="Q22" s="2"/>
      <c r="R22" s="21">
        <f t="shared" si="8"/>
        <v>0.71384179220092514</v>
      </c>
      <c r="S22" s="2"/>
      <c r="T22" s="2"/>
      <c r="U22" s="2"/>
      <c r="V22" s="21">
        <f t="shared" si="9"/>
        <v>0</v>
      </c>
      <c r="W22" s="2"/>
      <c r="X22" s="2">
        <f t="shared" si="10"/>
        <v>36585.07</v>
      </c>
      <c r="Y22" s="2"/>
      <c r="Z22" s="21">
        <f t="shared" si="11"/>
        <v>0</v>
      </c>
    </row>
    <row r="23" spans="1:26" s="24" customFormat="1" hidden="1" outlineLevel="1" x14ac:dyDescent="0.25">
      <c r="A23" s="46"/>
      <c r="B23" s="11" t="str">
        <f>CONCATENATE("          ", "5059", " - ", "PURCHASES @ COST-FOOD")</f>
        <v xml:space="preserve">          5059 - PURCHASES @ COST-FOOD</v>
      </c>
      <c r="C23" s="11"/>
      <c r="D23" s="2">
        <v>-7621.05</v>
      </c>
      <c r="E23" s="2"/>
      <c r="F23" s="21">
        <f t="shared" si="4"/>
        <v>-0.24055851126791905</v>
      </c>
      <c r="G23" s="2"/>
      <c r="H23" s="2"/>
      <c r="I23" s="2"/>
      <c r="J23" s="21">
        <f t="shared" si="5"/>
        <v>0</v>
      </c>
      <c r="K23" s="2"/>
      <c r="L23" s="2">
        <f t="shared" si="6"/>
        <v>-7621.05</v>
      </c>
      <c r="M23" s="2"/>
      <c r="N23" s="21">
        <f t="shared" si="7"/>
        <v>0</v>
      </c>
      <c r="O23" s="11"/>
      <c r="P23" s="2">
        <v>-12709.53</v>
      </c>
      <c r="Q23" s="2"/>
      <c r="R23" s="21">
        <f t="shared" si="8"/>
        <v>-0.24798623245032533</v>
      </c>
      <c r="S23" s="2"/>
      <c r="T23" s="2"/>
      <c r="U23" s="2"/>
      <c r="V23" s="21">
        <f t="shared" si="9"/>
        <v>0</v>
      </c>
      <c r="W23" s="2"/>
      <c r="X23" s="2">
        <f t="shared" si="10"/>
        <v>-12709.53</v>
      </c>
      <c r="Y23" s="2"/>
      <c r="Z23" s="21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2">
        <f>D12-D20</f>
        <v>16873.420000000002</v>
      </c>
      <c r="E25" s="14"/>
      <c r="F25" s="20">
        <f>IF(D$12=0,0,D25/D$12)</f>
        <v>0.53260965289537943</v>
      </c>
      <c r="G25" s="14"/>
      <c r="H25" s="22">
        <f>H12-H20</f>
        <v>18084</v>
      </c>
      <c r="I25" s="14"/>
      <c r="J25" s="20">
        <f>IF(H$12=0,0,H25/H$12)</f>
        <v>0.5200138026224983</v>
      </c>
      <c r="K25" s="15"/>
      <c r="L25" s="22">
        <f>+D25-H25</f>
        <v>-1210.5799999999981</v>
      </c>
      <c r="M25" s="15"/>
      <c r="N25" s="20">
        <f>IF(H25=0,0,L25/H25)</f>
        <v>-6.6942048219420375E-2</v>
      </c>
      <c r="O25" s="28"/>
      <c r="P25" s="22">
        <f>P12-P20</f>
        <v>27375.409999999996</v>
      </c>
      <c r="Q25" s="14"/>
      <c r="R25" s="20">
        <f>IF(P$12=0,0,P25/P$12)</f>
        <v>0.53414444024940022</v>
      </c>
      <c r="S25" s="14"/>
      <c r="T25" s="22">
        <f>T12-T20</f>
        <v>26444</v>
      </c>
      <c r="U25" s="14"/>
      <c r="V25" s="20">
        <f>IF(T$12=0,0,T25/T$12)</f>
        <v>0.51999842686907616</v>
      </c>
      <c r="W25" s="15"/>
      <c r="X25" s="22">
        <f>+P25-T25</f>
        <v>931.40999999999622</v>
      </c>
      <c r="Y25" s="15"/>
      <c r="Z25" s="20">
        <f>IF(T25=0,0,X25/T25)</f>
        <v>3.5221978520647262E-2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19">
        <f>SUM(OSRRefD22x_0)</f>
        <v>17394.499999999996</v>
      </c>
      <c r="E27" s="19"/>
      <c r="F27" s="34">
        <f t="shared" ref="F27:F37" si="12">IF(D$12=0,0,D27/D$12)</f>
        <v>0.54905754774602145</v>
      </c>
      <c r="G27" s="19"/>
      <c r="H27" s="19">
        <f>SUM(OSRRefH22x_0)</f>
        <v>15983.6671596</v>
      </c>
      <c r="I27" s="19"/>
      <c r="J27" s="34">
        <f t="shared" ref="J27:J37" si="13">IF(H$12=0,0,H27/H$12)</f>
        <v>0.4596177582125604</v>
      </c>
      <c r="K27" s="4"/>
      <c r="L27" s="19">
        <f t="shared" ref="L27:L37" si="14">+D27-H27</f>
        <v>1410.8328403999967</v>
      </c>
      <c r="M27" s="4"/>
      <c r="N27" s="34">
        <f t="shared" ref="N27:N37" si="15">IF(H27=0,0,L27/H27)</f>
        <v>8.8267155860576846E-2</v>
      </c>
      <c r="O27" s="10"/>
      <c r="P27" s="19">
        <f>SUM(OSRRefP22x_0)</f>
        <v>34083.740000000005</v>
      </c>
      <c r="Q27" s="19"/>
      <c r="R27" s="34">
        <f t="shared" ref="R27:R37" si="16">IF(P$12=0,0,P27/P$12)</f>
        <v>0.6650362578644885</v>
      </c>
      <c r="S27" s="19"/>
      <c r="T27" s="19">
        <f>SUM(OSRRefT22x_0)</f>
        <v>32343.453254099997</v>
      </c>
      <c r="U27" s="19"/>
      <c r="V27" s="34">
        <f t="shared" ref="V27:V37" si="17">IF(T$12=0,0,T27/T$12)</f>
        <v>0.63600608121485025</v>
      </c>
      <c r="W27" s="4"/>
      <c r="X27" s="19">
        <f t="shared" ref="X27:X37" si="18">+P27-T27</f>
        <v>1740.2867459000081</v>
      </c>
      <c r="Y27" s="4"/>
      <c r="Z27" s="34">
        <f t="shared" ref="Z27:Z37" si="19">IF(T27=0,0,X27/T27)</f>
        <v>5.3806460683953151E-2</v>
      </c>
    </row>
    <row r="28" spans="1:26" s="26" customFormat="1" outlineLevel="1" collapsed="1" x14ac:dyDescent="0.25">
      <c r="A28" s="25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4094.5999999999995</v>
      </c>
      <c r="E28" s="1"/>
      <c r="F28" s="5">
        <f t="shared" si="12"/>
        <v>0.12924608554433067</v>
      </c>
      <c r="G28" s="1"/>
      <c r="H28" s="1">
        <f>SUM(OSRRefH22_0x_0)</f>
        <v>3663.5531596000005</v>
      </c>
      <c r="I28" s="1"/>
      <c r="J28" s="5">
        <f t="shared" si="13"/>
        <v>0.10534716930066715</v>
      </c>
      <c r="K28" s="1"/>
      <c r="L28" s="1">
        <f t="shared" si="14"/>
        <v>431.04684039999893</v>
      </c>
      <c r="M28" s="1"/>
      <c r="N28" s="5">
        <f t="shared" si="15"/>
        <v>0.11765813722955834</v>
      </c>
      <c r="O28" s="13"/>
      <c r="P28" s="1">
        <f>SUM(OSRRefP22_0x_0)</f>
        <v>8761.93</v>
      </c>
      <c r="Q28" s="1"/>
      <c r="R28" s="5">
        <f t="shared" si="16"/>
        <v>0.17096131876579851</v>
      </c>
      <c r="S28" s="1"/>
      <c r="T28" s="1">
        <f>SUM(OSRRefT22_0x_0)</f>
        <v>7884.5717540999995</v>
      </c>
      <c r="U28" s="1"/>
      <c r="V28" s="5">
        <f t="shared" si="17"/>
        <v>0.15504329559326699</v>
      </c>
      <c r="W28" s="1"/>
      <c r="X28" s="1">
        <f t="shared" si="18"/>
        <v>877.35824590000084</v>
      </c>
      <c r="Y28" s="1"/>
      <c r="Z28" s="5">
        <f t="shared" si="19"/>
        <v>0.11127532011409143</v>
      </c>
    </row>
    <row r="29" spans="1:26" s="24" customFormat="1" hidden="1" outlineLevel="2" x14ac:dyDescent="0.25">
      <c r="A29" s="27"/>
      <c r="B29" s="11" t="str">
        <f>CONCATENATE("          ", "6111", " - ", "F.I.C.A.")</f>
        <v xml:space="preserve">          6111 - F.I.C.A.</v>
      </c>
      <c r="C29" s="11"/>
      <c r="D29" s="6">
        <v>508.04</v>
      </c>
      <c r="E29" s="2"/>
      <c r="F29" s="7">
        <f t="shared" si="12"/>
        <v>1.6036287134260186E-2</v>
      </c>
      <c r="G29" s="2"/>
      <c r="H29" s="6">
        <v>548.94356760000005</v>
      </c>
      <c r="I29" s="2"/>
      <c r="J29" s="7">
        <f t="shared" si="13"/>
        <v>1.578512674258109E-2</v>
      </c>
      <c r="K29" s="2"/>
      <c r="L29" s="6">
        <f t="shared" si="14"/>
        <v>-40.903567600000031</v>
      </c>
      <c r="M29" s="2"/>
      <c r="N29" s="7">
        <f t="shared" si="15"/>
        <v>-7.4513246924145266E-2</v>
      </c>
      <c r="O29" s="11"/>
      <c r="P29" s="6">
        <v>904.1</v>
      </c>
      <c r="Q29" s="2"/>
      <c r="R29" s="7">
        <f t="shared" si="16"/>
        <v>1.7640648612367187E-2</v>
      </c>
      <c r="S29" s="2"/>
      <c r="T29" s="6">
        <v>1448.7565221</v>
      </c>
      <c r="U29" s="2"/>
      <c r="V29" s="7">
        <f t="shared" si="17"/>
        <v>2.8488546075038344E-2</v>
      </c>
      <c r="W29" s="2"/>
      <c r="X29" s="6">
        <f t="shared" si="18"/>
        <v>-544.65652209999996</v>
      </c>
      <c r="Y29" s="2"/>
      <c r="Z29" s="7">
        <f t="shared" si="19"/>
        <v>-0.37594758939239148</v>
      </c>
    </row>
    <row r="30" spans="1:26" s="24" customFormat="1" hidden="1" outlineLevel="2" x14ac:dyDescent="0.25">
      <c r="A30" s="27"/>
      <c r="B30" s="11" t="str">
        <f>CONCATENATE("          ", "6112", " - ", "COMPENSATION INSURANCE")</f>
        <v xml:space="preserve">          6112 - COMPENSATION INSURANCE</v>
      </c>
      <c r="C30" s="11"/>
      <c r="D30" s="6">
        <v>161.97999999999999</v>
      </c>
      <c r="E30" s="2"/>
      <c r="F30" s="7">
        <f t="shared" si="12"/>
        <v>5.1129001456725158E-3</v>
      </c>
      <c r="G30" s="2"/>
      <c r="H30" s="6">
        <v>201.63597999999999</v>
      </c>
      <c r="I30" s="2"/>
      <c r="J30" s="7">
        <f t="shared" si="13"/>
        <v>5.7981360708534617E-3</v>
      </c>
      <c r="K30" s="2"/>
      <c r="L30" s="6">
        <f t="shared" si="14"/>
        <v>-39.65598</v>
      </c>
      <c r="M30" s="2"/>
      <c r="N30" s="7">
        <f t="shared" si="15"/>
        <v>-0.19667114966287266</v>
      </c>
      <c r="O30" s="11"/>
      <c r="P30" s="6">
        <v>298.5</v>
      </c>
      <c r="Q30" s="2"/>
      <c r="R30" s="7">
        <f t="shared" si="16"/>
        <v>5.8242822815967321E-3</v>
      </c>
      <c r="S30" s="2"/>
      <c r="T30" s="6">
        <v>425.03133000000003</v>
      </c>
      <c r="U30" s="2"/>
      <c r="V30" s="7">
        <f t="shared" si="17"/>
        <v>8.3578741101978209E-3</v>
      </c>
      <c r="W30" s="2"/>
      <c r="X30" s="6">
        <f t="shared" si="18"/>
        <v>-126.53133000000003</v>
      </c>
      <c r="Y30" s="2"/>
      <c r="Z30" s="7">
        <f t="shared" si="19"/>
        <v>-0.29769883081324855</v>
      </c>
    </row>
    <row r="31" spans="1:26" s="24" customFormat="1" hidden="1" outlineLevel="2" x14ac:dyDescent="0.25">
      <c r="A31" s="27"/>
      <c r="B31" s="11" t="str">
        <f>CONCATENATE("          ", "6113", " - ", "GROUP INSURANCE")</f>
        <v xml:space="preserve">          6113 - GROUP INSURANCE</v>
      </c>
      <c r="C31" s="11"/>
      <c r="D31" s="6">
        <v>2019.97</v>
      </c>
      <c r="E31" s="2"/>
      <c r="F31" s="7">
        <f t="shared" si="12"/>
        <v>6.3760371078244921E-2</v>
      </c>
      <c r="G31" s="2"/>
      <c r="H31" s="6">
        <v>1977</v>
      </c>
      <c r="I31" s="2"/>
      <c r="J31" s="7">
        <f t="shared" si="13"/>
        <v>5.6849551414768808E-2</v>
      </c>
      <c r="K31" s="2"/>
      <c r="L31" s="6">
        <f t="shared" si="14"/>
        <v>42.970000000000027</v>
      </c>
      <c r="M31" s="2"/>
      <c r="N31" s="7">
        <f t="shared" si="15"/>
        <v>2.1734951947395057E-2</v>
      </c>
      <c r="O31" s="11"/>
      <c r="P31" s="6">
        <v>4039.94</v>
      </c>
      <c r="Q31" s="2"/>
      <c r="R31" s="7">
        <f t="shared" si="16"/>
        <v>7.882663638430118E-2</v>
      </c>
      <c r="S31" s="2"/>
      <c r="T31" s="6">
        <v>3954</v>
      </c>
      <c r="U31" s="2"/>
      <c r="V31" s="7">
        <f t="shared" si="17"/>
        <v>7.7751995909859595E-2</v>
      </c>
      <c r="W31" s="2"/>
      <c r="X31" s="6">
        <f t="shared" si="18"/>
        <v>85.940000000000055</v>
      </c>
      <c r="Y31" s="2"/>
      <c r="Z31" s="7">
        <f t="shared" si="19"/>
        <v>2.1734951947395057E-2</v>
      </c>
    </row>
    <row r="32" spans="1:26" s="24" customFormat="1" hidden="1" outlineLevel="2" x14ac:dyDescent="0.25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6">
        <v>21.82</v>
      </c>
      <c r="E32" s="2"/>
      <c r="F32" s="7">
        <f t="shared" si="12"/>
        <v>6.8874849474363689E-4</v>
      </c>
      <c r="G32" s="2"/>
      <c r="H32" s="6">
        <v>27.592292</v>
      </c>
      <c r="I32" s="2"/>
      <c r="J32" s="7">
        <f t="shared" si="13"/>
        <v>7.934291465378422E-4</v>
      </c>
      <c r="K32" s="2"/>
      <c r="L32" s="6">
        <f t="shared" si="14"/>
        <v>-5.7722920000000002</v>
      </c>
      <c r="M32" s="2"/>
      <c r="N32" s="7">
        <f t="shared" si="15"/>
        <v>-0.20919943874180513</v>
      </c>
      <c r="O32" s="11"/>
      <c r="P32" s="6">
        <v>40.5</v>
      </c>
      <c r="Q32" s="2"/>
      <c r="R32" s="7">
        <f t="shared" si="16"/>
        <v>7.9022925428699374E-4</v>
      </c>
      <c r="S32" s="2"/>
      <c r="T32" s="6">
        <v>58.162182000000001</v>
      </c>
      <c r="U32" s="2"/>
      <c r="V32" s="7">
        <f t="shared" si="17"/>
        <v>1.1437090887639124E-3</v>
      </c>
      <c r="W32" s="2"/>
      <c r="X32" s="6">
        <f t="shared" si="18"/>
        <v>-17.662182000000001</v>
      </c>
      <c r="Y32" s="2"/>
      <c r="Z32" s="7">
        <f t="shared" si="19"/>
        <v>-0.3036712412199391</v>
      </c>
    </row>
    <row r="33" spans="1:26" s="24" customFormat="1" hidden="1" outlineLevel="2" x14ac:dyDescent="0.25">
      <c r="A33" s="27"/>
      <c r="B33" s="11" t="str">
        <f>CONCATENATE("          ", "6115", " - ", "P.E.R.S.")</f>
        <v xml:space="preserve">          6115 - P.E.R.S.</v>
      </c>
      <c r="C33" s="11"/>
      <c r="D33" s="6">
        <v>568.97</v>
      </c>
      <c r="E33" s="2"/>
      <c r="F33" s="7">
        <f t="shared" si="12"/>
        <v>1.795954312806082E-2</v>
      </c>
      <c r="G33" s="2"/>
      <c r="H33" s="6">
        <v>478.68632000000002</v>
      </c>
      <c r="I33" s="2"/>
      <c r="J33" s="7">
        <f t="shared" si="13"/>
        <v>1.3764847020933979E-2</v>
      </c>
      <c r="K33" s="2"/>
      <c r="L33" s="6">
        <f t="shared" si="14"/>
        <v>90.283680000000004</v>
      </c>
      <c r="M33" s="2"/>
      <c r="N33" s="7">
        <f t="shared" si="15"/>
        <v>0.18860718643474081</v>
      </c>
      <c r="O33" s="11"/>
      <c r="P33" s="6">
        <v>1137.94</v>
      </c>
      <c r="Q33" s="2"/>
      <c r="R33" s="7">
        <f t="shared" si="16"/>
        <v>2.2203295743786215E-2</v>
      </c>
      <c r="S33" s="2"/>
      <c r="T33" s="6">
        <v>1077.04422</v>
      </c>
      <c r="U33" s="2"/>
      <c r="V33" s="7">
        <f t="shared" si="17"/>
        <v>2.1179144610060173E-2</v>
      </c>
      <c r="W33" s="2"/>
      <c r="X33" s="6">
        <f t="shared" si="18"/>
        <v>60.895780000000059</v>
      </c>
      <c r="Y33" s="2"/>
      <c r="Z33" s="7">
        <f t="shared" si="19"/>
        <v>5.6539721275325222E-2</v>
      </c>
    </row>
    <row r="34" spans="1:26" s="24" customFormat="1" hidden="1" outlineLevel="2" x14ac:dyDescent="0.25">
      <c r="A34" s="27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7"/>
      <c r="B35" s="11" t="str">
        <f>CONCATENATE("          ", "6118", " - ", "VACATION")</f>
        <v xml:space="preserve">          6118 - VACATION</v>
      </c>
      <c r="C35" s="11"/>
      <c r="D35" s="6">
        <v>407.06</v>
      </c>
      <c r="E35" s="2"/>
      <c r="F35" s="7">
        <f t="shared" si="12"/>
        <v>1.2848852533013053E-2</v>
      </c>
      <c r="G35" s="2"/>
      <c r="H35" s="6">
        <v>215.1876</v>
      </c>
      <c r="I35" s="2"/>
      <c r="J35" s="7">
        <f t="shared" si="13"/>
        <v>6.1878191856452724E-3</v>
      </c>
      <c r="K35" s="2"/>
      <c r="L35" s="6">
        <f t="shared" si="14"/>
        <v>191.8724</v>
      </c>
      <c r="M35" s="2"/>
      <c r="N35" s="7">
        <f t="shared" si="15"/>
        <v>0.89165174945024717</v>
      </c>
      <c r="O35" s="11"/>
      <c r="P35" s="6">
        <v>1123.01</v>
      </c>
      <c r="Q35" s="2"/>
      <c r="R35" s="7">
        <f t="shared" si="16"/>
        <v>2.1911984070539181E-2</v>
      </c>
      <c r="S35" s="2"/>
      <c r="T35" s="6">
        <v>481.8546</v>
      </c>
      <c r="U35" s="2"/>
      <c r="V35" s="7">
        <f t="shared" si="17"/>
        <v>9.4752546505682943E-3</v>
      </c>
      <c r="W35" s="2"/>
      <c r="X35" s="6">
        <f t="shared" si="18"/>
        <v>641.15539999999999</v>
      </c>
      <c r="Y35" s="2"/>
      <c r="Z35" s="7">
        <f t="shared" si="19"/>
        <v>1.330599313568865</v>
      </c>
    </row>
    <row r="36" spans="1:26" s="24" customFormat="1" hidden="1" outlineLevel="2" x14ac:dyDescent="0.25">
      <c r="A36" s="27"/>
      <c r="B36" s="11" t="str">
        <f>CONCATENATE("          ", "6119", " - ", "SICK LEAVE")</f>
        <v xml:space="preserve">          6119 - SICK LEAVE</v>
      </c>
      <c r="C36" s="11"/>
      <c r="D36" s="6">
        <v>256.76</v>
      </c>
      <c r="E36" s="2"/>
      <c r="F36" s="7">
        <f t="shared" si="12"/>
        <v>8.1046316915846101E-3</v>
      </c>
      <c r="G36" s="2"/>
      <c r="H36" s="6">
        <v>214.50739999999999</v>
      </c>
      <c r="I36" s="2"/>
      <c r="J36" s="7">
        <f t="shared" si="13"/>
        <v>6.1682597193466757E-3</v>
      </c>
      <c r="K36" s="2"/>
      <c r="L36" s="6">
        <f t="shared" si="14"/>
        <v>42.252600000000001</v>
      </c>
      <c r="M36" s="2"/>
      <c r="N36" s="7">
        <f t="shared" si="15"/>
        <v>0.19697502277310713</v>
      </c>
      <c r="O36" s="11"/>
      <c r="P36" s="6">
        <v>917.94</v>
      </c>
      <c r="Q36" s="2"/>
      <c r="R36" s="7">
        <f t="shared" si="16"/>
        <v>1.7910692387165507E-2</v>
      </c>
      <c r="S36" s="2"/>
      <c r="T36" s="6">
        <v>439.72289999999998</v>
      </c>
      <c r="U36" s="2"/>
      <c r="V36" s="7">
        <f t="shared" si="17"/>
        <v>8.6467711487788566E-3</v>
      </c>
      <c r="W36" s="2"/>
      <c r="X36" s="6">
        <f t="shared" si="18"/>
        <v>478.21710000000007</v>
      </c>
      <c r="Y36" s="2"/>
      <c r="Z36" s="7">
        <f t="shared" si="19"/>
        <v>1.0875419497142407</v>
      </c>
    </row>
    <row r="37" spans="1:26" s="24" customFormat="1" hidden="1" outlineLevel="2" x14ac:dyDescent="0.25">
      <c r="A37" s="27"/>
      <c r="B37" s="11" t="str">
        <f>CONCATENATE("          ", "6156", " - ", "EMPLOYEE MEALS")</f>
        <v xml:space="preserve">          6156 - EMPLOYEE MEALS</v>
      </c>
      <c r="C37" s="11"/>
      <c r="D37" s="6">
        <v>150</v>
      </c>
      <c r="E37" s="2"/>
      <c r="F37" s="7">
        <f t="shared" si="12"/>
        <v>4.7347513387509411E-3</v>
      </c>
      <c r="G37" s="2"/>
      <c r="H37" s="6"/>
      <c r="I37" s="2"/>
      <c r="J37" s="7">
        <f t="shared" si="13"/>
        <v>0</v>
      </c>
      <c r="K37" s="2"/>
      <c r="L37" s="6">
        <f t="shared" si="14"/>
        <v>150</v>
      </c>
      <c r="M37" s="2"/>
      <c r="N37" s="7">
        <f t="shared" si="15"/>
        <v>0</v>
      </c>
      <c r="O37" s="11"/>
      <c r="P37" s="6">
        <v>300</v>
      </c>
      <c r="Q37" s="2"/>
      <c r="R37" s="7">
        <f t="shared" si="16"/>
        <v>5.8535500317555096E-3</v>
      </c>
      <c r="S37" s="2"/>
      <c r="T37" s="6"/>
      <c r="U37" s="2"/>
      <c r="V37" s="7">
        <f t="shared" si="17"/>
        <v>0</v>
      </c>
      <c r="W37" s="2"/>
      <c r="X37" s="6">
        <f t="shared" si="18"/>
        <v>300</v>
      </c>
      <c r="Y37" s="2"/>
      <c r="Z37" s="7">
        <f t="shared" si="19"/>
        <v>0</v>
      </c>
    </row>
    <row r="38" spans="1:26" s="26" customFormat="1" outlineLevel="1" collapsed="1" x14ac:dyDescent="0.25">
      <c r="A38" s="25"/>
      <c r="B38" s="13" t="str">
        <f>CONCATENATE("     ","*Payroll                                          ")</f>
        <v xml:space="preserve">     *Payroll                                          </v>
      </c>
      <c r="C38" s="13"/>
      <c r="D38" s="1">
        <f>SUM(OSRRefD22_1x_0)</f>
        <v>10231.36</v>
      </c>
      <c r="E38" s="1"/>
      <c r="F38" s="5">
        <f t="shared" ref="F38:F48" si="20">IF(D$12=0,0,D38/D$12)</f>
        <v>0.32295296971495219</v>
      </c>
      <c r="G38" s="1"/>
      <c r="H38" s="1">
        <f>SUM(OSRRefH22_1x_0)</f>
        <v>10334.114000000001</v>
      </c>
      <c r="I38" s="1"/>
      <c r="J38" s="5">
        <f t="shared" ref="J38:J48" si="21">IF(H$12=0,0,H38/H$12)</f>
        <v>0.29716223832528182</v>
      </c>
      <c r="K38" s="1"/>
      <c r="L38" s="1">
        <f t="shared" ref="L38:L48" si="22">+D38-H38</f>
        <v>-102.75400000000081</v>
      </c>
      <c r="M38" s="1"/>
      <c r="N38" s="5">
        <f t="shared" ref="N38:N48" si="23">IF(H38=0,0,L38/H38)</f>
        <v>-9.9431842923351534E-3</v>
      </c>
      <c r="O38" s="13"/>
      <c r="P38" s="1">
        <f>SUM(OSRRefP22_1x_0)</f>
        <v>19237.060000000001</v>
      </c>
      <c r="Q38" s="1"/>
      <c r="R38" s="5">
        <f t="shared" ref="R38:R48" si="24">IF(P$12=0,0,P38/P$12)</f>
        <v>0.37535031057960883</v>
      </c>
      <c r="S38" s="1"/>
      <c r="T38" s="1">
        <f>SUM(OSRRefT22_1x_0)</f>
        <v>21743.8815</v>
      </c>
      <c r="U38" s="1"/>
      <c r="V38" s="5">
        <f t="shared" ref="V38:V48" si="25">IF(T$12=0,0,T38/T$12)</f>
        <v>0.42757465489440355</v>
      </c>
      <c r="W38" s="1"/>
      <c r="X38" s="1">
        <f t="shared" ref="X38:X48" si="26">+P38-T38</f>
        <v>-2506.8214999999982</v>
      </c>
      <c r="Y38" s="1"/>
      <c r="Z38" s="5">
        <f t="shared" ref="Z38:Z48" si="27">IF(T38=0,0,X38/T38)</f>
        <v>-0.11528859279333353</v>
      </c>
    </row>
    <row r="39" spans="1:26" s="24" customFormat="1" hidden="1" outlineLevel="2" x14ac:dyDescent="0.25">
      <c r="A39" s="27"/>
      <c r="B39" s="11" t="str">
        <f>CONCATENATE("          ", "6001", " - ", "ADMINISTRATIVE SALARIES")</f>
        <v xml:space="preserve">          6001 - ADMINISTRATIVE SALARIES</v>
      </c>
      <c r="C39" s="11"/>
      <c r="D39" s="6"/>
      <c r="E39" s="2"/>
      <c r="F39" s="7">
        <f t="shared" si="20"/>
        <v>0</v>
      </c>
      <c r="G39" s="2"/>
      <c r="H39" s="6">
        <v>5287.8140000000003</v>
      </c>
      <c r="I39" s="2"/>
      <c r="J39" s="7">
        <f t="shared" si="21"/>
        <v>0.15205354267310789</v>
      </c>
      <c r="K39" s="2"/>
      <c r="L39" s="6">
        <f t="shared" si="22"/>
        <v>-5287.8140000000003</v>
      </c>
      <c r="M39" s="2"/>
      <c r="N39" s="7">
        <f t="shared" si="23"/>
        <v>-1</v>
      </c>
      <c r="O39" s="11"/>
      <c r="P39" s="6"/>
      <c r="Q39" s="2"/>
      <c r="R39" s="7">
        <f t="shared" si="24"/>
        <v>0</v>
      </c>
      <c r="S39" s="2"/>
      <c r="T39" s="6">
        <v>11897.5815</v>
      </c>
      <c r="U39" s="2"/>
      <c r="V39" s="7">
        <f t="shared" si="25"/>
        <v>0.23395566720415306</v>
      </c>
      <c r="W39" s="2"/>
      <c r="X39" s="6">
        <f t="shared" si="26"/>
        <v>-11897.5815</v>
      </c>
      <c r="Y39" s="2"/>
      <c r="Z39" s="7">
        <f t="shared" si="27"/>
        <v>-1</v>
      </c>
    </row>
    <row r="40" spans="1:26" s="24" customFormat="1" hidden="1" outlineLevel="2" x14ac:dyDescent="0.25">
      <c r="A40" s="27"/>
      <c r="B40" s="11" t="str">
        <f>CONCATENATE("          ", "6002", " - ", "STAFF SALARIES")</f>
        <v xml:space="preserve">          6002 - STAFF SALARIES</v>
      </c>
      <c r="C40" s="11"/>
      <c r="D40" s="6">
        <v>5566.66</v>
      </c>
      <c r="E40" s="2"/>
      <c r="F40" s="7">
        <f t="shared" si="20"/>
        <v>0.17571167258247541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5566.66</v>
      </c>
      <c r="M40" s="2"/>
      <c r="N40" s="7">
        <f t="shared" si="23"/>
        <v>0</v>
      </c>
      <c r="O40" s="11"/>
      <c r="P40" s="6">
        <v>11794.7</v>
      </c>
      <c r="Q40" s="2"/>
      <c r="R40" s="7">
        <f t="shared" si="24"/>
        <v>0.2301362218651557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11794.7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"6003", " - ", "STAFF HOURLY-9 MONTH")</f>
        <v xml:space="preserve">          6003 - STAFF HOURLY-9 MONTH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"6004", " - ", "STAFF HOURLY")</f>
        <v xml:space="preserve">          6004 - STAFF HOURLY</v>
      </c>
      <c r="C42" s="11"/>
      <c r="D42" s="6"/>
      <c r="E42" s="2"/>
      <c r="F42" s="7">
        <f t="shared" si="20"/>
        <v>0</v>
      </c>
      <c r="G42" s="2"/>
      <c r="H42" s="6">
        <v>1606.8</v>
      </c>
      <c r="I42" s="2"/>
      <c r="J42" s="7">
        <f t="shared" si="21"/>
        <v>4.6204278812974467E-2</v>
      </c>
      <c r="K42" s="2"/>
      <c r="L42" s="6">
        <f t="shared" si="22"/>
        <v>-1606.8</v>
      </c>
      <c r="M42" s="2"/>
      <c r="N42" s="7">
        <f t="shared" si="23"/>
        <v>-1</v>
      </c>
      <c r="O42" s="11"/>
      <c r="P42" s="6"/>
      <c r="Q42" s="2"/>
      <c r="R42" s="7">
        <f t="shared" si="24"/>
        <v>0</v>
      </c>
      <c r="S42" s="2"/>
      <c r="T42" s="6">
        <v>3538.05</v>
      </c>
      <c r="U42" s="2"/>
      <c r="V42" s="7">
        <f t="shared" si="25"/>
        <v>6.9572698312817094E-2</v>
      </c>
      <c r="W42" s="2"/>
      <c r="X42" s="6">
        <f t="shared" si="26"/>
        <v>-3538.05</v>
      </c>
      <c r="Y42" s="2"/>
      <c r="Z42" s="7">
        <f t="shared" si="27"/>
        <v>-1</v>
      </c>
    </row>
    <row r="43" spans="1:26" s="24" customFormat="1" hidden="1" outlineLevel="2" x14ac:dyDescent="0.25">
      <c r="A43" s="27"/>
      <c r="B43" s="11" t="str">
        <f>CONCATENATE("          ", "6005", " - ", "TEMPORARY WAGES-HOURLY")</f>
        <v xml:space="preserve">          6005 - TEMPORARY WAGES-HOURLY</v>
      </c>
      <c r="C43" s="11"/>
      <c r="D43" s="6">
        <v>158.62</v>
      </c>
      <c r="E43" s="2"/>
      <c r="F43" s="7">
        <f t="shared" si="20"/>
        <v>5.0068417156844949E-3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158.62</v>
      </c>
      <c r="M43" s="2"/>
      <c r="N43" s="7">
        <f t="shared" si="23"/>
        <v>0</v>
      </c>
      <c r="O43" s="11"/>
      <c r="P43" s="6">
        <v>158.62</v>
      </c>
      <c r="Q43" s="2"/>
      <c r="R43" s="7">
        <f t="shared" si="24"/>
        <v>3.0949670201235297E-3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158.62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"6006", " - ", "TEMPORARY PART TIME")</f>
        <v xml:space="preserve">          6006 - TEMPORARY PART TIME</v>
      </c>
      <c r="C44" s="11"/>
      <c r="D44" s="6">
        <v>156.19</v>
      </c>
      <c r="E44" s="2"/>
      <c r="F44" s="7">
        <f t="shared" si="20"/>
        <v>4.9301387439967294E-3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156.19</v>
      </c>
      <c r="M44" s="2"/>
      <c r="N44" s="7">
        <f t="shared" si="23"/>
        <v>0</v>
      </c>
      <c r="O44" s="11"/>
      <c r="P44" s="6">
        <v>156.19</v>
      </c>
      <c r="Q44" s="2"/>
      <c r="R44" s="7">
        <f t="shared" si="24"/>
        <v>3.04755326486631E-3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156.19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"6007", " - ", "STUDENT HOURLY")</f>
        <v xml:space="preserve">          6007 - STUDENT HOURLY</v>
      </c>
      <c r="C45" s="11"/>
      <c r="D45" s="6">
        <v>2724.26</v>
      </c>
      <c r="E45" s="2"/>
      <c r="F45" s="7">
        <f t="shared" si="20"/>
        <v>8.5991291214037591E-2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2724.26</v>
      </c>
      <c r="M45" s="2"/>
      <c r="N45" s="7">
        <f t="shared" si="23"/>
        <v>0</v>
      </c>
      <c r="O45" s="11"/>
      <c r="P45" s="6">
        <v>3817.32</v>
      </c>
      <c r="Q45" s="2"/>
      <c r="R45" s="7">
        <f t="shared" si="24"/>
        <v>7.44829120240698E-2</v>
      </c>
      <c r="S45" s="2"/>
      <c r="T45" s="6">
        <v>2868.75</v>
      </c>
      <c r="U45" s="2"/>
      <c r="V45" s="7">
        <f t="shared" si="25"/>
        <v>5.6411491721398511E-2</v>
      </c>
      <c r="W45" s="2"/>
      <c r="X45" s="6">
        <f t="shared" si="26"/>
        <v>948.57000000000016</v>
      </c>
      <c r="Y45" s="2"/>
      <c r="Z45" s="7">
        <f t="shared" si="27"/>
        <v>0.33065620915032684</v>
      </c>
    </row>
    <row r="46" spans="1:26" s="24" customFormat="1" hidden="1" outlineLevel="2" x14ac:dyDescent="0.25">
      <c r="A46" s="27"/>
      <c r="B46" s="11" t="str">
        <f>CONCATENATE("          ", "6008", " - ", "STUDENT HOURLY-FICA EXEMPT")</f>
        <v xml:space="preserve">          6008 - STUDENT HOURLY-FICA EXEMPT</v>
      </c>
      <c r="C46" s="11"/>
      <c r="D46" s="6">
        <v>1625.63</v>
      </c>
      <c r="E46" s="2"/>
      <c r="F46" s="7">
        <f t="shared" si="20"/>
        <v>5.1313025458757947E-2</v>
      </c>
      <c r="G46" s="2"/>
      <c r="H46" s="6">
        <v>3439.5</v>
      </c>
      <c r="I46" s="2"/>
      <c r="J46" s="7">
        <f t="shared" si="21"/>
        <v>9.8904416839199441E-2</v>
      </c>
      <c r="K46" s="2"/>
      <c r="L46" s="6">
        <f t="shared" si="22"/>
        <v>-1813.87</v>
      </c>
      <c r="M46" s="2"/>
      <c r="N46" s="7">
        <f t="shared" si="23"/>
        <v>-0.5273644425061782</v>
      </c>
      <c r="O46" s="11"/>
      <c r="P46" s="6">
        <v>3310.23</v>
      </c>
      <c r="Q46" s="2"/>
      <c r="R46" s="7">
        <f t="shared" si="24"/>
        <v>6.4588656405393463E-2</v>
      </c>
      <c r="S46" s="2"/>
      <c r="T46" s="6">
        <v>3439.5</v>
      </c>
      <c r="U46" s="2"/>
      <c r="V46" s="7">
        <f t="shared" si="25"/>
        <v>6.7634797656034917E-2</v>
      </c>
      <c r="W46" s="2"/>
      <c r="X46" s="6">
        <f t="shared" si="26"/>
        <v>-129.26999999999998</v>
      </c>
      <c r="Y46" s="2"/>
      <c r="Z46" s="7">
        <f t="shared" si="27"/>
        <v>-3.7583951155691228E-2</v>
      </c>
    </row>
    <row r="47" spans="1:26" s="24" customFormat="1" hidden="1" outlineLevel="2" x14ac:dyDescent="0.25">
      <c r="A47" s="27"/>
      <c r="B47" s="11" t="str">
        <f>CONCATENATE("          ", "6009", " - ", "TEMPORARY-SEASONAL")</f>
        <v xml:space="preserve">          6009 - TEMPORARY-SEASONAL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25">
      <c r="A48" s="27"/>
      <c r="B48" s="11" t="str">
        <f>CONCATENATE("          ", "6010", " - ", "GRATUITY")</f>
        <v xml:space="preserve">          6010 - GRATUITY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6" customFormat="1" outlineLevel="1" collapsed="1" x14ac:dyDescent="0.25">
      <c r="A49" s="25"/>
      <c r="B49" s="13" t="str">
        <f>CONCATENATE("     ","Advertising/Promo                                 ")</f>
        <v xml:space="preserve">     Advertising/Promo                                 </v>
      </c>
      <c r="C49" s="13"/>
      <c r="D49" s="1">
        <f>SUM(OSRRefD22_2x_0)</f>
        <v>52.61</v>
      </c>
      <c r="E49" s="1"/>
      <c r="F49" s="5">
        <f t="shared" ref="F49:F65" si="28">IF(D$12=0,0,D49/D$12)</f>
        <v>1.6606351195445799E-3</v>
      </c>
      <c r="G49" s="1"/>
      <c r="H49" s="1">
        <f>SUM(OSRRefH22_2x_0)</f>
        <v>0</v>
      </c>
      <c r="I49" s="1"/>
      <c r="J49" s="5">
        <f t="shared" ref="J49:J65" si="29">IF(H$12=0,0,H49/H$12)</f>
        <v>0</v>
      </c>
      <c r="K49" s="1"/>
      <c r="L49" s="1">
        <f t="shared" ref="L49:L65" si="30">+D49-H49</f>
        <v>52.61</v>
      </c>
      <c r="M49" s="1"/>
      <c r="N49" s="5">
        <f t="shared" ref="N49:N65" si="31">IF(H49=0,0,L49/H49)</f>
        <v>0</v>
      </c>
      <c r="O49" s="13"/>
      <c r="P49" s="1">
        <f>SUM(OSRRefP22_2x_0)</f>
        <v>147.22999999999999</v>
      </c>
      <c r="Q49" s="1"/>
      <c r="R49" s="5">
        <f t="shared" ref="R49:R65" si="32">IF(P$12=0,0,P49/P$12)</f>
        <v>2.872727237251212E-3</v>
      </c>
      <c r="S49" s="1"/>
      <c r="T49" s="1">
        <f>SUM(OSRRefT22_2x_0)</f>
        <v>0</v>
      </c>
      <c r="U49" s="1"/>
      <c r="V49" s="5">
        <f t="shared" ref="V49:V65" si="33">IF(T$12=0,0,T49/T$12)</f>
        <v>0</v>
      </c>
      <c r="W49" s="1"/>
      <c r="X49" s="1">
        <f t="shared" ref="X49:X65" si="34">+P49-T49</f>
        <v>147.22999999999999</v>
      </c>
      <c r="Y49" s="1"/>
      <c r="Z49" s="5">
        <f t="shared" ref="Z49:Z65" si="35">IF(T49=0,0,X49/T49)</f>
        <v>0</v>
      </c>
    </row>
    <row r="50" spans="1:26" s="24" customFormat="1" hidden="1" outlineLevel="2" x14ac:dyDescent="0.25">
      <c r="A50" s="27"/>
      <c r="B50" s="11" t="str">
        <f>CONCATENATE("          ", "6362", " - ", "ADVERTISING EXPENSE")</f>
        <v xml:space="preserve">          6362 - ADVERTISING EXPENSE</v>
      </c>
      <c r="C50" s="11"/>
      <c r="D50" s="6">
        <v>52.61</v>
      </c>
      <c r="E50" s="2"/>
      <c r="F50" s="7">
        <f t="shared" si="28"/>
        <v>1.6606351195445799E-3</v>
      </c>
      <c r="G50" s="2"/>
      <c r="H50" s="6">
        <v>0</v>
      </c>
      <c r="I50" s="2"/>
      <c r="J50" s="7">
        <f t="shared" si="29"/>
        <v>0</v>
      </c>
      <c r="K50" s="2"/>
      <c r="L50" s="6">
        <f t="shared" si="30"/>
        <v>52.61</v>
      </c>
      <c r="M50" s="2"/>
      <c r="N50" s="7">
        <f t="shared" si="31"/>
        <v>0</v>
      </c>
      <c r="O50" s="11"/>
      <c r="P50" s="6">
        <v>147.22999999999999</v>
      </c>
      <c r="Q50" s="2"/>
      <c r="R50" s="7">
        <f t="shared" si="32"/>
        <v>2.872727237251212E-3</v>
      </c>
      <c r="S50" s="2"/>
      <c r="T50" s="6">
        <v>0</v>
      </c>
      <c r="U50" s="2"/>
      <c r="V50" s="7">
        <f t="shared" si="33"/>
        <v>0</v>
      </c>
      <c r="W50" s="2"/>
      <c r="X50" s="6">
        <f t="shared" si="34"/>
        <v>147.22999999999999</v>
      </c>
      <c r="Y50" s="2"/>
      <c r="Z50" s="7">
        <f t="shared" si="35"/>
        <v>0</v>
      </c>
    </row>
    <row r="51" spans="1:26" s="26" customFormat="1" outlineLevel="1" collapsed="1" x14ac:dyDescent="0.25">
      <c r="A51" s="25"/>
      <c r="B51" s="13" t="str">
        <f>CONCATENATE("     ","Bad Debts/Over/Short                              ")</f>
        <v xml:space="preserve">     Bad Debts/Over/Short                              </v>
      </c>
      <c r="C51" s="13"/>
      <c r="D51" s="1">
        <f>SUM(OSRRefD22_3x_0)</f>
        <v>-27.84</v>
      </c>
      <c r="E51" s="1"/>
      <c r="F51" s="5">
        <f t="shared" si="28"/>
        <v>-8.7876984847217463E-4</v>
      </c>
      <c r="G51" s="1"/>
      <c r="H51" s="1">
        <f>SUM(OSRRefH22_3x_0)</f>
        <v>0</v>
      </c>
      <c r="I51" s="1"/>
      <c r="J51" s="5">
        <f t="shared" si="29"/>
        <v>0</v>
      </c>
      <c r="K51" s="1"/>
      <c r="L51" s="1">
        <f t="shared" si="30"/>
        <v>-27.84</v>
      </c>
      <c r="M51" s="1"/>
      <c r="N51" s="5">
        <f t="shared" si="31"/>
        <v>0</v>
      </c>
      <c r="O51" s="13"/>
      <c r="P51" s="1">
        <f>SUM(OSRRefP22_3x_0)</f>
        <v>-12.73</v>
      </c>
      <c r="Q51" s="1"/>
      <c r="R51" s="5">
        <f t="shared" si="32"/>
        <v>-2.4838563968082545E-4</v>
      </c>
      <c r="S51" s="1"/>
      <c r="T51" s="1">
        <f>SUM(OSRRefT22_3x_0)</f>
        <v>0</v>
      </c>
      <c r="U51" s="1"/>
      <c r="V51" s="5">
        <f t="shared" si="33"/>
        <v>0</v>
      </c>
      <c r="W51" s="1"/>
      <c r="X51" s="1">
        <f t="shared" si="34"/>
        <v>-12.73</v>
      </c>
      <c r="Y51" s="1"/>
      <c r="Z51" s="5">
        <f t="shared" si="35"/>
        <v>0</v>
      </c>
    </row>
    <row r="52" spans="1:26" s="24" customFormat="1" hidden="1" outlineLevel="2" x14ac:dyDescent="0.25">
      <c r="A52" s="27"/>
      <c r="B52" s="11" t="str">
        <f>CONCATENATE("          ", "6272", " - ", "CASH (OVER/SHORT)")</f>
        <v xml:space="preserve">          6272 - CASH (OVER/SHORT)</v>
      </c>
      <c r="C52" s="11"/>
      <c r="D52" s="6">
        <v>-27.84</v>
      </c>
      <c r="E52" s="2"/>
      <c r="F52" s="7">
        <f t="shared" si="28"/>
        <v>-8.7876984847217463E-4</v>
      </c>
      <c r="G52" s="2"/>
      <c r="H52" s="6">
        <v>0</v>
      </c>
      <c r="I52" s="2"/>
      <c r="J52" s="7">
        <f t="shared" si="29"/>
        <v>0</v>
      </c>
      <c r="K52" s="2"/>
      <c r="L52" s="6">
        <f t="shared" si="30"/>
        <v>-27.84</v>
      </c>
      <c r="M52" s="2"/>
      <c r="N52" s="7">
        <f t="shared" si="31"/>
        <v>0</v>
      </c>
      <c r="O52" s="11"/>
      <c r="P52" s="6">
        <v>-12.73</v>
      </c>
      <c r="Q52" s="2"/>
      <c r="R52" s="7">
        <f t="shared" si="32"/>
        <v>-2.4838563968082545E-4</v>
      </c>
      <c r="S52" s="2"/>
      <c r="T52" s="6">
        <v>0</v>
      </c>
      <c r="U52" s="2"/>
      <c r="V52" s="7">
        <f t="shared" si="33"/>
        <v>0</v>
      </c>
      <c r="W52" s="2"/>
      <c r="X52" s="6">
        <f t="shared" si="34"/>
        <v>-12.73</v>
      </c>
      <c r="Y52" s="2"/>
      <c r="Z52" s="7">
        <f t="shared" si="35"/>
        <v>0</v>
      </c>
    </row>
    <row r="53" spans="1:26" s="26" customFormat="1" outlineLevel="1" collapsed="1" x14ac:dyDescent="0.25">
      <c r="A53" s="25"/>
      <c r="B53" s="13" t="str">
        <f>CONCATENATE("     ","Bank/card Fees                                    ")</f>
        <v xml:space="preserve">     Bank/card Fees                                    </v>
      </c>
      <c r="C53" s="13"/>
      <c r="D53" s="1">
        <f>SUM(OSRRefD22_4x_0)</f>
        <v>1087.81</v>
      </c>
      <c r="E53" s="1"/>
      <c r="F53" s="5">
        <f t="shared" si="28"/>
        <v>3.433673235871107E-2</v>
      </c>
      <c r="G53" s="1"/>
      <c r="H53" s="1">
        <f>SUM(OSRRefH22_4x_0)</f>
        <v>1102</v>
      </c>
      <c r="I53" s="1"/>
      <c r="J53" s="5">
        <f t="shared" si="29"/>
        <v>3.1688520818955603E-2</v>
      </c>
      <c r="K53" s="1"/>
      <c r="L53" s="1">
        <f t="shared" si="30"/>
        <v>-14.190000000000055</v>
      </c>
      <c r="M53" s="1"/>
      <c r="N53" s="5">
        <f t="shared" si="31"/>
        <v>-1.2876588021778634E-2</v>
      </c>
      <c r="O53" s="13"/>
      <c r="P53" s="1">
        <f>SUM(OSRRefP22_4x_0)</f>
        <v>1558.9</v>
      </c>
      <c r="Q53" s="1"/>
      <c r="R53" s="5">
        <f t="shared" si="32"/>
        <v>3.0416997148345545E-2</v>
      </c>
      <c r="S53" s="1"/>
      <c r="T53" s="1">
        <f>SUM(OSRRefT22_4x_0)</f>
        <v>1612</v>
      </c>
      <c r="U53" s="1"/>
      <c r="V53" s="5">
        <f t="shared" si="33"/>
        <v>3.1698588114995874E-2</v>
      </c>
      <c r="W53" s="1"/>
      <c r="X53" s="1">
        <f t="shared" si="34"/>
        <v>-53.099999999999909</v>
      </c>
      <c r="Y53" s="1"/>
      <c r="Z53" s="5">
        <f t="shared" si="35"/>
        <v>-3.2940446650124015E-2</v>
      </c>
    </row>
    <row r="54" spans="1:26" s="24" customFormat="1" hidden="1" outlineLevel="2" x14ac:dyDescent="0.25">
      <c r="A54" s="27"/>
      <c r="B54" s="11" t="str">
        <f>CONCATENATE("          ", "6381", " - ", "BANK/CREDIT CARD FEES")</f>
        <v xml:space="preserve">          6381 - BANK/CREDIT CARD FEES</v>
      </c>
      <c r="C54" s="11"/>
      <c r="D54" s="6">
        <v>1087.81</v>
      </c>
      <c r="E54" s="2"/>
      <c r="F54" s="7">
        <f t="shared" si="28"/>
        <v>3.433673235871107E-2</v>
      </c>
      <c r="G54" s="2"/>
      <c r="H54" s="6">
        <v>1102</v>
      </c>
      <c r="I54" s="2"/>
      <c r="J54" s="7">
        <f t="shared" si="29"/>
        <v>3.1688520818955603E-2</v>
      </c>
      <c r="K54" s="2"/>
      <c r="L54" s="6">
        <f t="shared" si="30"/>
        <v>-14.190000000000055</v>
      </c>
      <c r="M54" s="2"/>
      <c r="N54" s="7">
        <f t="shared" si="31"/>
        <v>-1.2876588021778634E-2</v>
      </c>
      <c r="O54" s="11"/>
      <c r="P54" s="6">
        <v>1558.9</v>
      </c>
      <c r="Q54" s="2"/>
      <c r="R54" s="7">
        <f t="shared" si="32"/>
        <v>3.0416997148345545E-2</v>
      </c>
      <c r="S54" s="2"/>
      <c r="T54" s="6">
        <v>1612</v>
      </c>
      <c r="U54" s="2"/>
      <c r="V54" s="7">
        <f t="shared" si="33"/>
        <v>3.1698588114995874E-2</v>
      </c>
      <c r="W54" s="2"/>
      <c r="X54" s="6">
        <f t="shared" si="34"/>
        <v>-53.099999999999909</v>
      </c>
      <c r="Y54" s="2"/>
      <c r="Z54" s="7">
        <f t="shared" si="35"/>
        <v>-3.2940446650124015E-2</v>
      </c>
    </row>
    <row r="55" spans="1:26" s="26" customFormat="1" outlineLevel="1" collapsed="1" x14ac:dyDescent="0.25">
      <c r="A55" s="25"/>
      <c r="B55" s="13" t="str">
        <f>CONCATENATE("     ","Discounts and Markdowns                           ")</f>
        <v xml:space="preserve">     Discounts and Markdowns                           </v>
      </c>
      <c r="C55" s="13"/>
      <c r="D55" s="1">
        <f>SUM(OSRRefD22_5x_0)</f>
        <v>6.18</v>
      </c>
      <c r="E55" s="1"/>
      <c r="F55" s="5">
        <f t="shared" si="28"/>
        <v>1.9507175515653876E-4</v>
      </c>
      <c r="G55" s="1"/>
      <c r="H55" s="1">
        <f>SUM(OSRRefH22_5x_0)</f>
        <v>0</v>
      </c>
      <c r="I55" s="1"/>
      <c r="J55" s="5">
        <f t="shared" si="29"/>
        <v>0</v>
      </c>
      <c r="K55" s="1"/>
      <c r="L55" s="1">
        <f t="shared" si="30"/>
        <v>6.18</v>
      </c>
      <c r="M55" s="1"/>
      <c r="N55" s="5">
        <f t="shared" si="31"/>
        <v>0</v>
      </c>
      <c r="O55" s="13"/>
      <c r="P55" s="1">
        <f>SUM(OSRRefP22_5x_0)</f>
        <v>20.09</v>
      </c>
      <c r="Q55" s="1"/>
      <c r="R55" s="5">
        <f t="shared" si="32"/>
        <v>3.9199273379322727E-4</v>
      </c>
      <c r="S55" s="1"/>
      <c r="T55" s="1">
        <f>SUM(OSRRefT22_5x_0)</f>
        <v>0</v>
      </c>
      <c r="U55" s="1"/>
      <c r="V55" s="5">
        <f t="shared" si="33"/>
        <v>0</v>
      </c>
      <c r="W55" s="1"/>
      <c r="X55" s="1">
        <f t="shared" si="34"/>
        <v>20.09</v>
      </c>
      <c r="Y55" s="1"/>
      <c r="Z55" s="5">
        <f t="shared" si="35"/>
        <v>0</v>
      </c>
    </row>
    <row r="56" spans="1:26" s="24" customFormat="1" hidden="1" outlineLevel="2" x14ac:dyDescent="0.25">
      <c r="A56" s="27"/>
      <c r="B56" s="11" t="str">
        <f>CONCATENATE("          ", "6382", " - ", "DISCOUNTS/MARK DOWNS")</f>
        <v xml:space="preserve">          6382 - DISCOUNTS/MARK DOWNS</v>
      </c>
      <c r="C56" s="11"/>
      <c r="D56" s="6">
        <v>6.18</v>
      </c>
      <c r="E56" s="2"/>
      <c r="F56" s="7">
        <f t="shared" si="28"/>
        <v>1.9507175515653876E-4</v>
      </c>
      <c r="G56" s="2"/>
      <c r="H56" s="6"/>
      <c r="I56" s="2"/>
      <c r="J56" s="7">
        <f t="shared" si="29"/>
        <v>0</v>
      </c>
      <c r="K56" s="2"/>
      <c r="L56" s="6">
        <f t="shared" si="30"/>
        <v>6.18</v>
      </c>
      <c r="M56" s="2"/>
      <c r="N56" s="7">
        <f t="shared" si="31"/>
        <v>0</v>
      </c>
      <c r="O56" s="11"/>
      <c r="P56" s="6">
        <v>20.09</v>
      </c>
      <c r="Q56" s="2"/>
      <c r="R56" s="7">
        <f t="shared" si="32"/>
        <v>3.9199273379322727E-4</v>
      </c>
      <c r="S56" s="2"/>
      <c r="T56" s="6"/>
      <c r="U56" s="2"/>
      <c r="V56" s="7">
        <f t="shared" si="33"/>
        <v>0</v>
      </c>
      <c r="W56" s="2"/>
      <c r="X56" s="6">
        <f t="shared" si="34"/>
        <v>20.09</v>
      </c>
      <c r="Y56" s="2"/>
      <c r="Z56" s="7">
        <f t="shared" si="35"/>
        <v>0</v>
      </c>
    </row>
    <row r="57" spans="1:26" s="26" customFormat="1" outlineLevel="1" collapsed="1" x14ac:dyDescent="0.25">
      <c r="A57" s="25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0</v>
      </c>
      <c r="E57" s="1"/>
      <c r="F57" s="5">
        <f t="shared" si="28"/>
        <v>0</v>
      </c>
      <c r="G57" s="1"/>
      <c r="H57" s="1">
        <f>SUM(OSRRefH22_6x_0)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SUM(OSRRefP22_6x_0)</f>
        <v>0</v>
      </c>
      <c r="Q57" s="1"/>
      <c r="R57" s="5">
        <f t="shared" si="32"/>
        <v>0</v>
      </c>
      <c r="S57" s="1"/>
      <c r="T57" s="1">
        <f>SUM(OSRRefT22_6x_0)</f>
        <v>0</v>
      </c>
      <c r="U57" s="1"/>
      <c r="V57" s="5">
        <f t="shared" si="33"/>
        <v>0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7"/>
      <c r="B58" s="11" t="str">
        <f>CONCATENATE("          ", "6277", " - ", "EMPLOYEE APPRECIATION")</f>
        <v xml:space="preserve">          6277 - EMPLOYEE APPRECIATION</v>
      </c>
      <c r="C58" s="11"/>
      <c r="D58" s="6"/>
      <c r="E58" s="2"/>
      <c r="F58" s="7">
        <f t="shared" si="28"/>
        <v>0</v>
      </c>
      <c r="G58" s="2"/>
      <c r="H58" s="6">
        <v>0</v>
      </c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0</v>
      </c>
      <c r="U58" s="2"/>
      <c r="V58" s="7">
        <f t="shared" si="33"/>
        <v>0</v>
      </c>
      <c r="W58" s="2"/>
      <c r="X58" s="6">
        <f t="shared" si="34"/>
        <v>0</v>
      </c>
      <c r="Y58" s="2"/>
      <c r="Z58" s="7">
        <f t="shared" si="35"/>
        <v>0</v>
      </c>
    </row>
    <row r="59" spans="1:26" s="26" customFormat="1" outlineLevel="1" collapsed="1" x14ac:dyDescent="0.25">
      <c r="A59" s="25"/>
      <c r="B59" s="13" t="str">
        <f>CONCATENATE("     ","Freight out/Postage                               ")</f>
        <v xml:space="preserve">     Freight out/Postage                               </v>
      </c>
      <c r="C59" s="13"/>
      <c r="D59" s="1">
        <f>SUM(OSRRefD22_7x_0)</f>
        <v>44.96</v>
      </c>
      <c r="E59" s="1"/>
      <c r="F59" s="5">
        <f t="shared" si="28"/>
        <v>1.419162801268282E-3</v>
      </c>
      <c r="G59" s="1"/>
      <c r="H59" s="1">
        <f>SUM(OSRRefH22_7x_0)</f>
        <v>0</v>
      </c>
      <c r="I59" s="1"/>
      <c r="J59" s="5">
        <f t="shared" si="29"/>
        <v>0</v>
      </c>
      <c r="K59" s="1"/>
      <c r="L59" s="1">
        <f t="shared" si="30"/>
        <v>44.96</v>
      </c>
      <c r="M59" s="1"/>
      <c r="N59" s="5">
        <f t="shared" si="31"/>
        <v>0</v>
      </c>
      <c r="O59" s="13"/>
      <c r="P59" s="1">
        <f>SUM(OSRRefP22_7x_0)</f>
        <v>116.65</v>
      </c>
      <c r="Q59" s="1"/>
      <c r="R59" s="5">
        <f t="shared" si="32"/>
        <v>2.2760553706809338E-3</v>
      </c>
      <c r="S59" s="1"/>
      <c r="T59" s="1">
        <f>SUM(OSRRefT22_7x_0)</f>
        <v>0</v>
      </c>
      <c r="U59" s="1"/>
      <c r="V59" s="5">
        <f t="shared" si="33"/>
        <v>0</v>
      </c>
      <c r="W59" s="1"/>
      <c r="X59" s="1">
        <f t="shared" si="34"/>
        <v>116.65</v>
      </c>
      <c r="Y59" s="1"/>
      <c r="Z59" s="5">
        <f t="shared" si="35"/>
        <v>0</v>
      </c>
    </row>
    <row r="60" spans="1:26" s="24" customFormat="1" hidden="1" outlineLevel="2" x14ac:dyDescent="0.25">
      <c r="A60" s="27"/>
      <c r="B60" s="11" t="str">
        <f>CONCATENATE("          ", "6305", " - ", "FREIGHT OUT")</f>
        <v xml:space="preserve">          6305 - FREIGHT OUT</v>
      </c>
      <c r="C60" s="11"/>
      <c r="D60" s="6">
        <v>44.96</v>
      </c>
      <c r="E60" s="2"/>
      <c r="F60" s="7">
        <f t="shared" si="28"/>
        <v>1.419162801268282E-3</v>
      </c>
      <c r="G60" s="2"/>
      <c r="H60" s="6"/>
      <c r="I60" s="2"/>
      <c r="J60" s="7">
        <f t="shared" si="29"/>
        <v>0</v>
      </c>
      <c r="K60" s="2"/>
      <c r="L60" s="6">
        <f t="shared" si="30"/>
        <v>44.96</v>
      </c>
      <c r="M60" s="2"/>
      <c r="N60" s="7">
        <f t="shared" si="31"/>
        <v>0</v>
      </c>
      <c r="O60" s="11"/>
      <c r="P60" s="6">
        <v>116.65</v>
      </c>
      <c r="Q60" s="2"/>
      <c r="R60" s="7">
        <f t="shared" si="32"/>
        <v>2.2760553706809338E-3</v>
      </c>
      <c r="S60" s="2"/>
      <c r="T60" s="6"/>
      <c r="U60" s="2"/>
      <c r="V60" s="7">
        <f t="shared" si="33"/>
        <v>0</v>
      </c>
      <c r="W60" s="2"/>
      <c r="X60" s="6">
        <f t="shared" si="34"/>
        <v>116.65</v>
      </c>
      <c r="Y60" s="2"/>
      <c r="Z60" s="7">
        <f t="shared" si="35"/>
        <v>0</v>
      </c>
    </row>
    <row r="61" spans="1:26" s="26" customFormat="1" outlineLevel="1" collapsed="1" x14ac:dyDescent="0.25">
      <c r="A61" s="25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59.05</v>
      </c>
      <c r="E61" s="1"/>
      <c r="F61" s="5">
        <f t="shared" si="28"/>
        <v>1.8639137770216203E-3</v>
      </c>
      <c r="G61" s="1"/>
      <c r="H61" s="1">
        <f>SUM(OSRRefH22_8x_0)</f>
        <v>103</v>
      </c>
      <c r="I61" s="1"/>
      <c r="J61" s="5">
        <f t="shared" si="29"/>
        <v>2.9618127444214402E-3</v>
      </c>
      <c r="K61" s="1"/>
      <c r="L61" s="1">
        <f t="shared" si="30"/>
        <v>-43.95</v>
      </c>
      <c r="M61" s="1"/>
      <c r="N61" s="5">
        <f t="shared" si="31"/>
        <v>-0.4266990291262136</v>
      </c>
      <c r="O61" s="13"/>
      <c r="P61" s="1">
        <f>SUM(OSRRefP22_8x_0)</f>
        <v>809.8</v>
      </c>
      <c r="Q61" s="1"/>
      <c r="R61" s="5">
        <f t="shared" si="32"/>
        <v>1.5800682719052037E-2</v>
      </c>
      <c r="S61" s="1"/>
      <c r="T61" s="1">
        <f>SUM(OSRRefT22_8x_0)</f>
        <v>151</v>
      </c>
      <c r="U61" s="1"/>
      <c r="V61" s="5">
        <f t="shared" si="33"/>
        <v>2.9692846187123925E-3</v>
      </c>
      <c r="W61" s="1"/>
      <c r="X61" s="1">
        <f t="shared" si="34"/>
        <v>658.8</v>
      </c>
      <c r="Y61" s="1"/>
      <c r="Z61" s="5">
        <f t="shared" si="35"/>
        <v>4.362913907284768</v>
      </c>
    </row>
    <row r="62" spans="1:26" s="24" customFormat="1" hidden="1" outlineLevel="2" x14ac:dyDescent="0.25">
      <c r="A62" s="27"/>
      <c r="B62" s="11" t="str">
        <f>CONCATENATE("          ", "6279", " - ", "GENERAL EXPENSE")</f>
        <v xml:space="preserve">          6279 - GENERAL EXPENSE</v>
      </c>
      <c r="C62" s="11"/>
      <c r="D62" s="6">
        <v>59.05</v>
      </c>
      <c r="E62" s="2"/>
      <c r="F62" s="7">
        <f t="shared" si="28"/>
        <v>1.8639137770216203E-3</v>
      </c>
      <c r="G62" s="2"/>
      <c r="H62" s="6">
        <v>103</v>
      </c>
      <c r="I62" s="2"/>
      <c r="J62" s="7">
        <f t="shared" si="29"/>
        <v>2.9618127444214402E-3</v>
      </c>
      <c r="K62" s="2"/>
      <c r="L62" s="6">
        <f t="shared" si="30"/>
        <v>-43.95</v>
      </c>
      <c r="M62" s="2"/>
      <c r="N62" s="7">
        <f t="shared" si="31"/>
        <v>-0.4266990291262136</v>
      </c>
      <c r="O62" s="11"/>
      <c r="P62" s="6">
        <v>809.8</v>
      </c>
      <c r="Q62" s="2"/>
      <c r="R62" s="7">
        <f t="shared" si="32"/>
        <v>1.5800682719052037E-2</v>
      </c>
      <c r="S62" s="2"/>
      <c r="T62" s="6">
        <v>151</v>
      </c>
      <c r="U62" s="2"/>
      <c r="V62" s="7">
        <f t="shared" si="33"/>
        <v>2.9692846187123925E-3</v>
      </c>
      <c r="W62" s="2"/>
      <c r="X62" s="6">
        <f t="shared" si="34"/>
        <v>658.8</v>
      </c>
      <c r="Y62" s="2"/>
      <c r="Z62" s="7">
        <f t="shared" si="35"/>
        <v>4.362913907284768</v>
      </c>
    </row>
    <row r="63" spans="1:26" s="26" customFormat="1" outlineLevel="1" collapsed="1" x14ac:dyDescent="0.25">
      <c r="A63" s="25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SUM(OSRRefD22_9x_0)</f>
        <v>337.5</v>
      </c>
      <c r="E63" s="1"/>
      <c r="F63" s="5">
        <f t="shared" si="28"/>
        <v>1.0653190512189617E-2</v>
      </c>
      <c r="G63" s="1"/>
      <c r="H63" s="1">
        <f>SUM(OSRRefH22_9x_0)</f>
        <v>34</v>
      </c>
      <c r="I63" s="1"/>
      <c r="J63" s="5">
        <f t="shared" si="29"/>
        <v>9.7768576029445592E-4</v>
      </c>
      <c r="K63" s="1"/>
      <c r="L63" s="1">
        <f t="shared" si="30"/>
        <v>303.5</v>
      </c>
      <c r="M63" s="1"/>
      <c r="N63" s="5">
        <f t="shared" si="31"/>
        <v>8.9264705882352935</v>
      </c>
      <c r="O63" s="13"/>
      <c r="P63" s="1">
        <f>SUM(OSRRefP22_9x_0)</f>
        <v>580.58000000000004</v>
      </c>
      <c r="Q63" s="1"/>
      <c r="R63" s="5">
        <f t="shared" si="32"/>
        <v>1.1328180258122047E-2</v>
      </c>
      <c r="S63" s="1"/>
      <c r="T63" s="1">
        <f>SUM(OSRRefT22_9x_0)</f>
        <v>50</v>
      </c>
      <c r="U63" s="1"/>
      <c r="V63" s="5">
        <f t="shared" si="33"/>
        <v>9.832068273882093E-4</v>
      </c>
      <c r="W63" s="1"/>
      <c r="X63" s="1">
        <f t="shared" si="34"/>
        <v>530.58000000000004</v>
      </c>
      <c r="Y63" s="1"/>
      <c r="Z63" s="5">
        <f t="shared" si="35"/>
        <v>10.611600000000001</v>
      </c>
    </row>
    <row r="64" spans="1:26" s="24" customFormat="1" hidden="1" outlineLevel="2" x14ac:dyDescent="0.25">
      <c r="A64" s="27"/>
      <c r="B64" s="11" t="str">
        <f>CONCATENATE("          ", "6371", " - ", "COMPUTER SOFTWARE MAINTENANCE")</f>
        <v xml:space="preserve">          6371 - COMPUTER SOFTWARE MAINTENANCE</v>
      </c>
      <c r="C64" s="11"/>
      <c r="D64" s="6"/>
      <c r="E64" s="2"/>
      <c r="F64" s="7">
        <f t="shared" si="28"/>
        <v>0</v>
      </c>
      <c r="G64" s="2"/>
      <c r="H64" s="6">
        <v>0</v>
      </c>
      <c r="I64" s="2"/>
      <c r="J64" s="7">
        <f t="shared" si="29"/>
        <v>0</v>
      </c>
      <c r="K64" s="2"/>
      <c r="L64" s="6">
        <f t="shared" si="30"/>
        <v>0</v>
      </c>
      <c r="M64" s="2"/>
      <c r="N64" s="7">
        <f t="shared" si="31"/>
        <v>0</v>
      </c>
      <c r="O64" s="11"/>
      <c r="P64" s="6"/>
      <c r="Q64" s="2"/>
      <c r="R64" s="7">
        <f t="shared" si="32"/>
        <v>0</v>
      </c>
      <c r="S64" s="2"/>
      <c r="T64" s="6">
        <v>0</v>
      </c>
      <c r="U64" s="2"/>
      <c r="V64" s="7">
        <f t="shared" si="33"/>
        <v>0</v>
      </c>
      <c r="W64" s="2"/>
      <c r="X64" s="6">
        <f t="shared" si="34"/>
        <v>0</v>
      </c>
      <c r="Y64" s="2"/>
      <c r="Z64" s="7">
        <f t="shared" si="35"/>
        <v>0</v>
      </c>
    </row>
    <row r="65" spans="1:26" s="24" customFormat="1" hidden="1" outlineLevel="2" x14ac:dyDescent="0.25">
      <c r="A65" s="27"/>
      <c r="B65" s="11" t="str">
        <f>CONCATENATE("          ", "6375", " - ", "OUTSIDE REPAIRS &amp; MAINTENANCE")</f>
        <v xml:space="preserve">          6375 - OUTSIDE REPAIRS &amp; MAINTENANCE</v>
      </c>
      <c r="C65" s="11"/>
      <c r="D65" s="6">
        <v>337.5</v>
      </c>
      <c r="E65" s="2"/>
      <c r="F65" s="7">
        <f t="shared" si="28"/>
        <v>1.0653190512189617E-2</v>
      </c>
      <c r="G65" s="2"/>
      <c r="H65" s="6">
        <v>34</v>
      </c>
      <c r="I65" s="2"/>
      <c r="J65" s="7">
        <f t="shared" si="29"/>
        <v>9.7768576029445592E-4</v>
      </c>
      <c r="K65" s="2"/>
      <c r="L65" s="6">
        <f t="shared" si="30"/>
        <v>303.5</v>
      </c>
      <c r="M65" s="2"/>
      <c r="N65" s="7">
        <f t="shared" si="31"/>
        <v>8.9264705882352935</v>
      </c>
      <c r="O65" s="11"/>
      <c r="P65" s="6">
        <v>580.58000000000004</v>
      </c>
      <c r="Q65" s="2"/>
      <c r="R65" s="7">
        <f t="shared" si="32"/>
        <v>1.1328180258122047E-2</v>
      </c>
      <c r="S65" s="2"/>
      <c r="T65" s="6">
        <v>50</v>
      </c>
      <c r="U65" s="2"/>
      <c r="V65" s="7">
        <f t="shared" si="33"/>
        <v>9.832068273882093E-4</v>
      </c>
      <c r="W65" s="2"/>
      <c r="X65" s="6">
        <f t="shared" si="34"/>
        <v>530.58000000000004</v>
      </c>
      <c r="Y65" s="2"/>
      <c r="Z65" s="7">
        <f t="shared" si="35"/>
        <v>10.611600000000001</v>
      </c>
    </row>
    <row r="66" spans="1:26" s="26" customFormat="1" outlineLevel="1" collapsed="1" x14ac:dyDescent="0.25">
      <c r="A66" s="25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SUM(OSRRefD22_10x_0)</f>
        <v>162.71</v>
      </c>
      <c r="E66" s="1"/>
      <c r="F66" s="5">
        <f t="shared" ref="F66:F72" si="36">IF(D$12=0,0,D66/D$12)</f>
        <v>5.1359426021877711E-3</v>
      </c>
      <c r="G66" s="1"/>
      <c r="H66" s="1">
        <f>SUM(OSRRefH22_10x_0)</f>
        <v>0</v>
      </c>
      <c r="I66" s="1"/>
      <c r="J66" s="5">
        <f t="shared" ref="J66:J72" si="37">IF(H$12=0,0,H66/H$12)</f>
        <v>0</v>
      </c>
      <c r="K66" s="1"/>
      <c r="L66" s="1">
        <f t="shared" ref="L66:L72" si="38">+D66-H66</f>
        <v>162.71</v>
      </c>
      <c r="M66" s="1"/>
      <c r="N66" s="5">
        <f t="shared" ref="N66:N72" si="39">IF(H66=0,0,L66/H66)</f>
        <v>0</v>
      </c>
      <c r="O66" s="13"/>
      <c r="P66" s="1">
        <f>SUM(OSRRefP22_10x_0)</f>
        <v>319.06</v>
      </c>
      <c r="Q66" s="1"/>
      <c r="R66" s="5">
        <f t="shared" ref="R66:R72" si="40">IF(P$12=0,0,P66/P$12)</f>
        <v>6.2254455771063762E-3</v>
      </c>
      <c r="S66" s="1"/>
      <c r="T66" s="1">
        <f>SUM(OSRRefT22_10x_0)</f>
        <v>0</v>
      </c>
      <c r="U66" s="1"/>
      <c r="V66" s="5">
        <f t="shared" ref="V66:V72" si="41">IF(T$12=0,0,T66/T$12)</f>
        <v>0</v>
      </c>
      <c r="W66" s="1"/>
      <c r="X66" s="1">
        <f t="shared" ref="X66:X72" si="42">+P66-T66</f>
        <v>319.06</v>
      </c>
      <c r="Y66" s="1"/>
      <c r="Z66" s="5">
        <f t="shared" ref="Z66:Z72" si="43">IF(T66=0,0,X66/T66)</f>
        <v>0</v>
      </c>
    </row>
    <row r="67" spans="1:26" s="24" customFormat="1" hidden="1" outlineLevel="2" x14ac:dyDescent="0.25">
      <c r="A67" s="27"/>
      <c r="B67" s="11" t="str">
        <f>CONCATENATE("          ", "6286", " - ", "LAUNDRY EXPENSE")</f>
        <v xml:space="preserve">          6286 - LAUNDRY EXPENSE</v>
      </c>
      <c r="C67" s="11"/>
      <c r="D67" s="6">
        <v>162.71</v>
      </c>
      <c r="E67" s="2"/>
      <c r="F67" s="7">
        <f t="shared" si="36"/>
        <v>5.1359426021877711E-3</v>
      </c>
      <c r="G67" s="2"/>
      <c r="H67" s="6"/>
      <c r="I67" s="2"/>
      <c r="J67" s="7">
        <f t="shared" si="37"/>
        <v>0</v>
      </c>
      <c r="K67" s="2"/>
      <c r="L67" s="6">
        <f t="shared" si="38"/>
        <v>162.71</v>
      </c>
      <c r="M67" s="2"/>
      <c r="N67" s="7">
        <f t="shared" si="39"/>
        <v>0</v>
      </c>
      <c r="O67" s="11"/>
      <c r="P67" s="6">
        <v>319.06</v>
      </c>
      <c r="Q67" s="2"/>
      <c r="R67" s="7">
        <f t="shared" si="40"/>
        <v>6.2254455771063762E-3</v>
      </c>
      <c r="S67" s="2"/>
      <c r="T67" s="6"/>
      <c r="U67" s="2"/>
      <c r="V67" s="7">
        <f t="shared" si="41"/>
        <v>0</v>
      </c>
      <c r="W67" s="2"/>
      <c r="X67" s="6">
        <f t="shared" si="42"/>
        <v>319.06</v>
      </c>
      <c r="Y67" s="2"/>
      <c r="Z67" s="7">
        <f t="shared" si="43"/>
        <v>0</v>
      </c>
    </row>
    <row r="68" spans="1:26" s="26" customFormat="1" outlineLevel="1" collapsed="1" x14ac:dyDescent="0.25">
      <c r="A68" s="25"/>
      <c r="B68" s="13" t="str">
        <f>CONCATENATE("     ","Supplies                                          ")</f>
        <v xml:space="preserve">     Supplies                                          </v>
      </c>
      <c r="C68" s="13"/>
      <c r="D68" s="1">
        <f>SUM(OSRRefD22_11x_0)</f>
        <v>1220.51</v>
      </c>
      <c r="E68" s="1"/>
      <c r="F68" s="5">
        <f t="shared" si="36"/>
        <v>3.8525409043059407E-2</v>
      </c>
      <c r="G68" s="1"/>
      <c r="H68" s="1">
        <f>SUM(OSRRefH22_11x_0)</f>
        <v>172</v>
      </c>
      <c r="I68" s="1"/>
      <c r="J68" s="5">
        <f t="shared" si="37"/>
        <v>4.9459397285484246E-3</v>
      </c>
      <c r="K68" s="1"/>
      <c r="L68" s="1">
        <f t="shared" si="38"/>
        <v>1048.51</v>
      </c>
      <c r="M68" s="1"/>
      <c r="N68" s="5">
        <f t="shared" si="39"/>
        <v>6.0959883720930232</v>
      </c>
      <c r="O68" s="13"/>
      <c r="P68" s="1">
        <f>SUM(OSRRefP22_11x_0)</f>
        <v>2346.5699999999997</v>
      </c>
      <c r="Q68" s="1"/>
      <c r="R68" s="5">
        <f t="shared" si="40"/>
        <v>4.5785882993388413E-2</v>
      </c>
      <c r="S68" s="1"/>
      <c r="T68" s="1">
        <f>SUM(OSRRefT22_11x_0)</f>
        <v>252</v>
      </c>
      <c r="U68" s="1"/>
      <c r="V68" s="5">
        <f t="shared" si="41"/>
        <v>4.9553624100365755E-3</v>
      </c>
      <c r="W68" s="1"/>
      <c r="X68" s="1">
        <f t="shared" si="42"/>
        <v>2094.5699999999997</v>
      </c>
      <c r="Y68" s="1"/>
      <c r="Z68" s="5">
        <f t="shared" si="43"/>
        <v>8.3117857142857137</v>
      </c>
    </row>
    <row r="69" spans="1:26" s="24" customFormat="1" hidden="1" outlineLevel="2" x14ac:dyDescent="0.25">
      <c r="A69" s="27"/>
      <c r="B69" s="11" t="str">
        <f>CONCATENATE("          ", "6234", " - ", "EXPENDABLE SUPPLIES &amp; EQUIPMEN")</f>
        <v xml:space="preserve">          6234 - EXPENDABLE SUPPLIES &amp; EQUIPMEN</v>
      </c>
      <c r="C69" s="11"/>
      <c r="D69" s="6">
        <v>354.82</v>
      </c>
      <c r="E69" s="2"/>
      <c r="F69" s="7">
        <f t="shared" si="36"/>
        <v>1.1199896466770725E-2</v>
      </c>
      <c r="G69" s="2"/>
      <c r="H69" s="6"/>
      <c r="I69" s="2"/>
      <c r="J69" s="7">
        <f t="shared" si="37"/>
        <v>0</v>
      </c>
      <c r="K69" s="2"/>
      <c r="L69" s="6">
        <f t="shared" si="38"/>
        <v>354.82</v>
      </c>
      <c r="M69" s="2"/>
      <c r="N69" s="7">
        <f t="shared" si="39"/>
        <v>0</v>
      </c>
      <c r="O69" s="11"/>
      <c r="P69" s="6">
        <v>354.82</v>
      </c>
      <c r="Q69" s="2"/>
      <c r="R69" s="7">
        <f t="shared" si="40"/>
        <v>6.9231887408916322E-3</v>
      </c>
      <c r="S69" s="2"/>
      <c r="T69" s="6"/>
      <c r="U69" s="2"/>
      <c r="V69" s="7">
        <f t="shared" si="41"/>
        <v>0</v>
      </c>
      <c r="W69" s="2"/>
      <c r="X69" s="6">
        <f t="shared" si="42"/>
        <v>354.82</v>
      </c>
      <c r="Y69" s="2"/>
      <c r="Z69" s="7">
        <f t="shared" si="43"/>
        <v>0</v>
      </c>
    </row>
    <row r="70" spans="1:26" s="24" customFormat="1" hidden="1" outlineLevel="2" x14ac:dyDescent="0.25">
      <c r="A70" s="27"/>
      <c r="B70" s="11" t="str">
        <f>CONCATENATE("          ", "6237", " - ", "JANITORIAL SUPPLIES")</f>
        <v xml:space="preserve">          6237 - JANITORIAL SUPPLIES</v>
      </c>
      <c r="C70" s="11"/>
      <c r="D70" s="6"/>
      <c r="E70" s="2"/>
      <c r="F70" s="7">
        <f t="shared" si="36"/>
        <v>0</v>
      </c>
      <c r="G70" s="2"/>
      <c r="H70" s="6"/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>
        <v>111.27</v>
      </c>
      <c r="Q70" s="2"/>
      <c r="R70" s="7">
        <f t="shared" si="40"/>
        <v>2.1710817067781183E-3</v>
      </c>
      <c r="S70" s="2"/>
      <c r="T70" s="6"/>
      <c r="U70" s="2"/>
      <c r="V70" s="7">
        <f t="shared" si="41"/>
        <v>0</v>
      </c>
      <c r="W70" s="2"/>
      <c r="X70" s="6">
        <f t="shared" si="42"/>
        <v>111.27</v>
      </c>
      <c r="Y70" s="2"/>
      <c r="Z70" s="7">
        <f t="shared" si="43"/>
        <v>0</v>
      </c>
    </row>
    <row r="71" spans="1:26" s="24" customFormat="1" hidden="1" outlineLevel="2" x14ac:dyDescent="0.25">
      <c r="A71" s="27"/>
      <c r="B71" s="11" t="str">
        <f>CONCATENATE("          ", "6241", " - ", "OFFICE EXPENSE")</f>
        <v xml:space="preserve">          6241 - OFFICE EXPENSE</v>
      </c>
      <c r="C71" s="11"/>
      <c r="D71" s="6">
        <v>29.21</v>
      </c>
      <c r="E71" s="2"/>
      <c r="F71" s="7">
        <f t="shared" si="36"/>
        <v>9.2201391069943325E-4</v>
      </c>
      <c r="G71" s="2"/>
      <c r="H71" s="6"/>
      <c r="I71" s="2"/>
      <c r="J71" s="7">
        <f t="shared" si="37"/>
        <v>0</v>
      </c>
      <c r="K71" s="2"/>
      <c r="L71" s="6">
        <f t="shared" si="38"/>
        <v>29.21</v>
      </c>
      <c r="M71" s="2"/>
      <c r="N71" s="7">
        <f t="shared" si="39"/>
        <v>0</v>
      </c>
      <c r="O71" s="11"/>
      <c r="P71" s="6">
        <v>107.74</v>
      </c>
      <c r="Q71" s="2"/>
      <c r="R71" s="7">
        <f t="shared" si="40"/>
        <v>2.1022049347377953E-3</v>
      </c>
      <c r="S71" s="2"/>
      <c r="T71" s="6"/>
      <c r="U71" s="2"/>
      <c r="V71" s="7">
        <f t="shared" si="41"/>
        <v>0</v>
      </c>
      <c r="W71" s="2"/>
      <c r="X71" s="6">
        <f t="shared" si="42"/>
        <v>107.74</v>
      </c>
      <c r="Y71" s="2"/>
      <c r="Z71" s="7">
        <f t="shared" si="43"/>
        <v>0</v>
      </c>
    </row>
    <row r="72" spans="1:26" s="24" customFormat="1" hidden="1" outlineLevel="2" x14ac:dyDescent="0.25">
      <c r="A72" s="27"/>
      <c r="B72" s="11" t="str">
        <f>CONCATENATE("          ", "6247", " - ", "STORE SUPPLIES")</f>
        <v xml:space="preserve">          6247 - STORE SUPPLIES</v>
      </c>
      <c r="C72" s="11"/>
      <c r="D72" s="6">
        <v>836.48</v>
      </c>
      <c r="E72" s="2"/>
      <c r="F72" s="7">
        <f t="shared" si="36"/>
        <v>2.6403498665589248E-2</v>
      </c>
      <c r="G72" s="2"/>
      <c r="H72" s="6">
        <v>172</v>
      </c>
      <c r="I72" s="2"/>
      <c r="J72" s="7">
        <f t="shared" si="37"/>
        <v>4.9459397285484246E-3</v>
      </c>
      <c r="K72" s="2"/>
      <c r="L72" s="6">
        <f t="shared" si="38"/>
        <v>664.48</v>
      </c>
      <c r="M72" s="2"/>
      <c r="N72" s="7">
        <f t="shared" si="39"/>
        <v>3.8632558139534883</v>
      </c>
      <c r="O72" s="11"/>
      <c r="P72" s="6">
        <v>1772.74</v>
      </c>
      <c r="Q72" s="2"/>
      <c r="R72" s="7">
        <f t="shared" si="40"/>
        <v>3.4589407610980873E-2</v>
      </c>
      <c r="S72" s="2"/>
      <c r="T72" s="6">
        <v>252</v>
      </c>
      <c r="U72" s="2"/>
      <c r="V72" s="7">
        <f t="shared" si="41"/>
        <v>4.9553624100365755E-3</v>
      </c>
      <c r="W72" s="2"/>
      <c r="X72" s="6">
        <f t="shared" si="42"/>
        <v>1520.74</v>
      </c>
      <c r="Y72" s="2"/>
      <c r="Z72" s="7">
        <f t="shared" si="43"/>
        <v>6.0346825396825396</v>
      </c>
    </row>
    <row r="73" spans="1:26" s="26" customFormat="1" outlineLevel="1" collapsed="1" x14ac:dyDescent="0.25">
      <c r="A73" s="25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SUM(OSRRefD22_12x_0)</f>
        <v>125.05</v>
      </c>
      <c r="E73" s="1"/>
      <c r="F73" s="5">
        <f t="shared" ref="F73:F76" si="44">IF(D$12=0,0,D73/D$12)</f>
        <v>3.947204366072034E-3</v>
      </c>
      <c r="G73" s="1"/>
      <c r="H73" s="1">
        <f>SUM(OSRRefH22_12x_0)</f>
        <v>75</v>
      </c>
      <c r="I73" s="1"/>
      <c r="J73" s="5">
        <f t="shared" ref="J73:J76" si="45">IF(H$12=0,0,H73/H$12)</f>
        <v>2.1566597653554175E-3</v>
      </c>
      <c r="K73" s="1"/>
      <c r="L73" s="1">
        <f t="shared" ref="L73:L76" si="46">+D73-H73</f>
        <v>50.05</v>
      </c>
      <c r="M73" s="1"/>
      <c r="N73" s="5">
        <f t="shared" ref="N73:N76" si="47">IF(H73=0,0,L73/H73)</f>
        <v>0.66733333333333333</v>
      </c>
      <c r="O73" s="13"/>
      <c r="P73" s="1">
        <f>SUM(OSRRefP22_12x_0)</f>
        <v>198.6</v>
      </c>
      <c r="Q73" s="1"/>
      <c r="R73" s="5">
        <f t="shared" ref="R73:R76" si="48">IF(P$12=0,0,P73/P$12)</f>
        <v>3.8750501210221468E-3</v>
      </c>
      <c r="S73" s="1"/>
      <c r="T73" s="1">
        <f>SUM(OSRRefT22_12x_0)</f>
        <v>150</v>
      </c>
      <c r="U73" s="1"/>
      <c r="V73" s="5">
        <f t="shared" ref="V73:V76" si="49">IF(T$12=0,0,T73/T$12)</f>
        <v>2.9496204821646281E-3</v>
      </c>
      <c r="W73" s="1"/>
      <c r="X73" s="1">
        <f t="shared" ref="X73:X76" si="50">+P73-T73</f>
        <v>48.599999999999994</v>
      </c>
      <c r="Y73" s="1"/>
      <c r="Z73" s="5">
        <f t="shared" ref="Z73:Z76" si="51">IF(T73=0,0,X73/T73)</f>
        <v>0.32399999999999995</v>
      </c>
    </row>
    <row r="74" spans="1:26" s="24" customFormat="1" hidden="1" outlineLevel="2" x14ac:dyDescent="0.25">
      <c r="A74" s="27"/>
      <c r="B74" s="11" t="str">
        <f>CONCATENATE("          ", "6309", " - ", "TELEPHONE")</f>
        <v xml:space="preserve">          6309 - TELEPHONE</v>
      </c>
      <c r="C74" s="11"/>
      <c r="D74" s="6">
        <v>125.05</v>
      </c>
      <c r="E74" s="2"/>
      <c r="F74" s="7">
        <f t="shared" si="44"/>
        <v>3.947204366072034E-3</v>
      </c>
      <c r="G74" s="2"/>
      <c r="H74" s="6">
        <v>75</v>
      </c>
      <c r="I74" s="2"/>
      <c r="J74" s="7">
        <f t="shared" si="45"/>
        <v>2.1566597653554175E-3</v>
      </c>
      <c r="K74" s="2"/>
      <c r="L74" s="6">
        <f t="shared" si="46"/>
        <v>50.05</v>
      </c>
      <c r="M74" s="2"/>
      <c r="N74" s="7">
        <f t="shared" si="47"/>
        <v>0.66733333333333333</v>
      </c>
      <c r="O74" s="11"/>
      <c r="P74" s="6">
        <v>198.6</v>
      </c>
      <c r="Q74" s="2"/>
      <c r="R74" s="7">
        <f t="shared" si="48"/>
        <v>3.8750501210221468E-3</v>
      </c>
      <c r="S74" s="2"/>
      <c r="T74" s="6">
        <v>150</v>
      </c>
      <c r="U74" s="2"/>
      <c r="V74" s="7">
        <f t="shared" si="49"/>
        <v>2.9496204821646281E-3</v>
      </c>
      <c r="W74" s="2"/>
      <c r="X74" s="6">
        <f t="shared" si="50"/>
        <v>48.599999999999994</v>
      </c>
      <c r="Y74" s="2"/>
      <c r="Z74" s="7">
        <f t="shared" si="51"/>
        <v>0.32399999999999995</v>
      </c>
    </row>
    <row r="75" spans="1:26" s="26" customFormat="1" outlineLevel="1" collapsed="1" x14ac:dyDescent="0.25">
      <c r="A75" s="25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SUM(OSRRefD22_13x_0)</f>
        <v>0</v>
      </c>
      <c r="E75" s="1"/>
      <c r="F75" s="5">
        <f t="shared" si="44"/>
        <v>0</v>
      </c>
      <c r="G75" s="1"/>
      <c r="H75" s="1">
        <f>SUM(OSRRefH22_13x_0)</f>
        <v>500</v>
      </c>
      <c r="I75" s="1"/>
      <c r="J75" s="5">
        <f t="shared" si="45"/>
        <v>1.4377731769036117E-2</v>
      </c>
      <c r="K75" s="1"/>
      <c r="L75" s="1">
        <f t="shared" si="46"/>
        <v>-500</v>
      </c>
      <c r="M75" s="1"/>
      <c r="N75" s="5">
        <f t="shared" si="47"/>
        <v>-1</v>
      </c>
      <c r="O75" s="13"/>
      <c r="P75" s="1">
        <f>SUM(OSRRefP22_13x_0)</f>
        <v>0</v>
      </c>
      <c r="Q75" s="1"/>
      <c r="R75" s="5">
        <f t="shared" si="48"/>
        <v>0</v>
      </c>
      <c r="S75" s="1"/>
      <c r="T75" s="1">
        <f>SUM(OSRRefT22_13x_0)</f>
        <v>500</v>
      </c>
      <c r="U75" s="1"/>
      <c r="V75" s="5">
        <f t="shared" si="49"/>
        <v>9.8320682738820935E-3</v>
      </c>
      <c r="W75" s="1"/>
      <c r="X75" s="1">
        <f t="shared" si="50"/>
        <v>-500</v>
      </c>
      <c r="Y75" s="1"/>
      <c r="Z75" s="5">
        <f t="shared" si="51"/>
        <v>-1</v>
      </c>
    </row>
    <row r="76" spans="1:26" s="24" customFormat="1" hidden="1" outlineLevel="2" x14ac:dyDescent="0.25">
      <c r="A76" s="27"/>
      <c r="B76" s="11" t="str">
        <f>CONCATENATE("          ", "6376", " - ", "TRAINING")</f>
        <v xml:space="preserve">          6376 - TRAINING</v>
      </c>
      <c r="C76" s="11"/>
      <c r="D76" s="6"/>
      <c r="E76" s="2"/>
      <c r="F76" s="7">
        <f t="shared" si="44"/>
        <v>0</v>
      </c>
      <c r="G76" s="2"/>
      <c r="H76" s="6">
        <v>500</v>
      </c>
      <c r="I76" s="2"/>
      <c r="J76" s="7">
        <f t="shared" si="45"/>
        <v>1.4377731769036117E-2</v>
      </c>
      <c r="K76" s="2"/>
      <c r="L76" s="6">
        <f t="shared" si="46"/>
        <v>-500</v>
      </c>
      <c r="M76" s="2"/>
      <c r="N76" s="7">
        <f t="shared" si="47"/>
        <v>-1</v>
      </c>
      <c r="O76" s="11"/>
      <c r="P76" s="6"/>
      <c r="Q76" s="2"/>
      <c r="R76" s="7">
        <f t="shared" si="48"/>
        <v>0</v>
      </c>
      <c r="S76" s="2"/>
      <c r="T76" s="6">
        <v>500</v>
      </c>
      <c r="U76" s="2"/>
      <c r="V76" s="7">
        <f t="shared" si="49"/>
        <v>9.8320682738820935E-3</v>
      </c>
      <c r="W76" s="2"/>
      <c r="X76" s="6">
        <f t="shared" si="50"/>
        <v>-500</v>
      </c>
      <c r="Y76" s="2"/>
      <c r="Z76" s="7">
        <f t="shared" si="51"/>
        <v>-1</v>
      </c>
    </row>
    <row r="77" spans="1:26" s="63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8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2">
        <f>+D25-D27+D78</f>
        <v>-521.07999999999447</v>
      </c>
      <c r="E80" s="14"/>
      <c r="F80" s="20">
        <f>IF(D$12=0,0,D80/D$12)</f>
        <v>-1.6447894850642093E-2</v>
      </c>
      <c r="G80" s="14"/>
      <c r="H80" s="22">
        <f>+H25-H27+H78</f>
        <v>2100.3328404000004</v>
      </c>
      <c r="I80" s="14"/>
      <c r="J80" s="20">
        <f>IF(H$12=0,0,H80/H$12)</f>
        <v>6.0396044409937899E-2</v>
      </c>
      <c r="K80" s="15"/>
      <c r="L80" s="22">
        <f>+D80-H80</f>
        <v>-2621.4128403999948</v>
      </c>
      <c r="M80" s="15"/>
      <c r="N80" s="20">
        <f>IF(H80=0,0,L80/H80)</f>
        <v>-1.2480940115666415</v>
      </c>
      <c r="O80" s="28"/>
      <c r="P80" s="22">
        <f>+P25-P27+P78</f>
        <v>-6708.330000000009</v>
      </c>
      <c r="Q80" s="14"/>
      <c r="R80" s="20">
        <f>IF(P$12=0,0,P80/P$12)</f>
        <v>-0.13089181761508831</v>
      </c>
      <c r="S80" s="14"/>
      <c r="T80" s="22">
        <f>+T25-T27+T78</f>
        <v>-5899.4532540999971</v>
      </c>
      <c r="U80" s="14"/>
      <c r="V80" s="20">
        <f>IF(T$12=0,0,T80/T$12)</f>
        <v>-0.11600765434577412</v>
      </c>
      <c r="W80" s="15"/>
      <c r="X80" s="22">
        <f>+P80-T80</f>
        <v>-808.87674590001188</v>
      </c>
      <c r="Y80" s="15"/>
      <c r="Z80" s="20">
        <f>IF(T80=0,0,X80/T80)</f>
        <v>0.13711045940365058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2320.8200000000002</v>
      </c>
      <c r="E82" s="4"/>
      <c r="F82" s="12">
        <f>IF(D$12=0,0,D82/D$12)</f>
        <v>7.3256704013333063E-2</v>
      </c>
      <c r="G82" s="4"/>
      <c r="H82" s="4">
        <v>4341</v>
      </c>
      <c r="I82" s="4"/>
      <c r="J82" s="12">
        <f>IF(H$12=0,0,H82/H$12)</f>
        <v>0.12482746721877157</v>
      </c>
      <c r="K82" s="4"/>
      <c r="L82" s="4">
        <f>+D82-H82</f>
        <v>-2020.1799999999998</v>
      </c>
      <c r="M82" s="4"/>
      <c r="N82" s="12">
        <f>IF(H82=0,0,L82/H82)</f>
        <v>-0.46537203409352679</v>
      </c>
      <c r="O82" s="10"/>
      <c r="P82" s="4">
        <v>6390.06</v>
      </c>
      <c r="Q82" s="4"/>
      <c r="R82" s="12">
        <f>IF(P$12=0,0,P82/P$12)</f>
        <v>0.12468178638639871</v>
      </c>
      <c r="S82" s="4"/>
      <c r="T82" s="4">
        <v>8259</v>
      </c>
      <c r="U82" s="4"/>
      <c r="V82" s="12">
        <f>IF(T$12=0,0,T82/T$12)</f>
        <v>0.16240610374798442</v>
      </c>
      <c r="W82" s="4"/>
      <c r="X82" s="4">
        <f>+P82-T82</f>
        <v>-1868.9399999999996</v>
      </c>
      <c r="Y82" s="4"/>
      <c r="Z82" s="12">
        <f>IF(T82=0,0,X82/T82)</f>
        <v>-0.22629131856156914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1">
        <f>+D80-D82</f>
        <v>-2841.8999999999946</v>
      </c>
      <c r="E84" s="14"/>
      <c r="F84" s="32">
        <f>IF(D$12=0,0,D84/D$12)</f>
        <v>-8.9704598863975152E-2</v>
      </c>
      <c r="G84" s="14"/>
      <c r="H84" s="31">
        <f>+H80-H82</f>
        <v>-2240.6671595999996</v>
      </c>
      <c r="I84" s="14"/>
      <c r="J84" s="32">
        <f>IF(H$12=0,0,H84/H$12)</f>
        <v>-6.4431422808833669E-2</v>
      </c>
      <c r="K84" s="15"/>
      <c r="L84" s="31">
        <f>D84-H84</f>
        <v>-601.23284039999498</v>
      </c>
      <c r="M84" s="15"/>
      <c r="N84" s="32">
        <f>IF(H84=0,0,L84/H84)</f>
        <v>0.26832759958303048</v>
      </c>
      <c r="O84" s="28"/>
      <c r="P84" s="31">
        <f>+P80-P82</f>
        <v>-13098.39000000001</v>
      </c>
      <c r="Q84" s="14"/>
      <c r="R84" s="32">
        <f>IF(P$12=0,0,P84/P$12)</f>
        <v>-0.25557360400148704</v>
      </c>
      <c r="S84" s="14"/>
      <c r="T84" s="31">
        <f>+T80-T82</f>
        <v>-14158.453254099997</v>
      </c>
      <c r="U84" s="14"/>
      <c r="V84" s="32">
        <f>IF(T$12=0,0,T84/T$12)</f>
        <v>-0.27841375809375857</v>
      </c>
      <c r="W84" s="15"/>
      <c r="X84" s="31">
        <f>P84-T84</f>
        <v>1060.0632540999868</v>
      </c>
      <c r="Y84" s="15"/>
      <c r="Z84" s="32">
        <f>IF(T84=0,0,X84/T84)</f>
        <v>-7.4871402622529712E-2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3">
        <f>SUM(D84:D86)</f>
        <v>-2841.8999999999946</v>
      </c>
      <c r="E87" s="14"/>
      <c r="F87" s="35">
        <f>IF(D$12=0,0,D87/D$12)</f>
        <v>-8.9704598863975152E-2</v>
      </c>
      <c r="G87" s="14"/>
      <c r="H87" s="33">
        <f>SUM(H84:H86)</f>
        <v>-2240.6671595999996</v>
      </c>
      <c r="I87" s="14"/>
      <c r="J87" s="35">
        <f>IF(H$12=0,0,H87/H$12)</f>
        <v>-6.4431422808833669E-2</v>
      </c>
      <c r="K87" s="15"/>
      <c r="L87" s="33">
        <f>+D87-H87</f>
        <v>-601.23284039999498</v>
      </c>
      <c r="M87" s="15"/>
      <c r="N87" s="35">
        <f>IF(H87=0,0,L87/H87)</f>
        <v>0.26832759958303048</v>
      </c>
      <c r="O87" s="28"/>
      <c r="P87" s="33">
        <f>SUM(P84:P86)</f>
        <v>-13098.39000000001</v>
      </c>
      <c r="Q87" s="14"/>
      <c r="R87" s="35">
        <f>IF(P$12=0,0,P87/P$12)</f>
        <v>-0.25557360400148704</v>
      </c>
      <c r="S87" s="14"/>
      <c r="T87" s="33">
        <f>SUM(T84:T86)</f>
        <v>-14158.453254099997</v>
      </c>
      <c r="U87" s="14"/>
      <c r="V87" s="35">
        <f>IF(T$12=0,0,T87/T$12)</f>
        <v>-0.27841375809375857</v>
      </c>
      <c r="W87" s="15"/>
      <c r="X87" s="33">
        <f>+P87-T87</f>
        <v>1060.0632540999868</v>
      </c>
      <c r="Y87" s="15"/>
      <c r="Z87" s="35">
        <f>IF(T87=0,0,X87/T87)</f>
        <v>-7.4871402622529712E-2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61">
        <v>43732.70601076389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62" t="s">
        <v>314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8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","321", " - ", "Student Union C-Store")</f>
        <v>Department 321 - Student Union C-Store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17114.38</v>
      </c>
      <c r="E12" s="4"/>
      <c r="F12" s="12"/>
      <c r="G12" s="4"/>
      <c r="H12" s="4">
        <f>SUM(OSRRefH13x_0)</f>
        <v>17171</v>
      </c>
      <c r="I12" s="4"/>
      <c r="J12" s="12"/>
      <c r="K12" s="4"/>
      <c r="L12" s="4">
        <f t="shared" ref="L12:L15" si="0">+D12-H12</f>
        <v>-56.619999999998981</v>
      </c>
      <c r="M12" s="4"/>
      <c r="N12" s="12">
        <f t="shared" ref="N12:N15" si="1">IF(H12=0,0,L12/H12)</f>
        <v>-3.2974200687204578E-3</v>
      </c>
      <c r="O12" s="10"/>
      <c r="P12" s="4">
        <f>SUM(OSRRefP13x_0)</f>
        <v>22516.13</v>
      </c>
      <c r="Q12" s="4"/>
      <c r="R12" s="12"/>
      <c r="S12" s="4"/>
      <c r="T12" s="4">
        <f>SUM(OSRRefT13x_0)</f>
        <v>23156</v>
      </c>
      <c r="U12" s="4"/>
      <c r="V12" s="12"/>
      <c r="W12" s="4"/>
      <c r="X12" s="4">
        <f t="shared" ref="X12:X15" si="2">+P12-T12</f>
        <v>-639.86999999999898</v>
      </c>
      <c r="Y12" s="4"/>
      <c r="Z12" s="12">
        <f t="shared" ref="Z12:Z15" si="3">IF(T12=0,0,X12/T12)</f>
        <v>-2.7633010882708541E-2</v>
      </c>
    </row>
    <row r="13" spans="1:26" s="24" customFormat="1" hidden="1" outlineLevel="1" x14ac:dyDescent="0.25">
      <c r="A13" s="46"/>
      <c r="B13" s="11" t="str">
        <f>CONCATENATE("          ", "4032", " - ", "TAXABLE SALES-JUICE")</f>
        <v xml:space="preserve">          4032 - TAXABLE SALES-JUICE</v>
      </c>
      <c r="C13" s="11"/>
      <c r="D13" s="2">
        <f>--4305.47</f>
        <v>4305.47</v>
      </c>
      <c r="E13" s="2"/>
      <c r="F13" s="21"/>
      <c r="G13" s="2"/>
      <c r="H13" s="2"/>
      <c r="I13" s="2"/>
      <c r="J13" s="21"/>
      <c r="K13" s="2"/>
      <c r="L13" s="2">
        <f t="shared" si="0"/>
        <v>4305.47</v>
      </c>
      <c r="M13" s="2"/>
      <c r="N13" s="21">
        <f t="shared" si="1"/>
        <v>0</v>
      </c>
      <c r="O13" s="11"/>
      <c r="P13" s="2">
        <f>--5358.84</f>
        <v>5358.84</v>
      </c>
      <c r="Q13" s="2"/>
      <c r="R13" s="21"/>
      <c r="S13" s="2"/>
      <c r="T13" s="2"/>
      <c r="U13" s="2"/>
      <c r="V13" s="21"/>
      <c r="W13" s="2"/>
      <c r="X13" s="2">
        <f t="shared" si="2"/>
        <v>5358.84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1"/>
      <c r="G14" s="2"/>
      <c r="H14" s="2">
        <v>17171</v>
      </c>
      <c r="I14" s="2"/>
      <c r="J14" s="21"/>
      <c r="K14" s="2"/>
      <c r="L14" s="2">
        <f t="shared" si="0"/>
        <v>-17171</v>
      </c>
      <c r="M14" s="2"/>
      <c r="N14" s="21">
        <f t="shared" si="1"/>
        <v>-1</v>
      </c>
      <c r="O14" s="11"/>
      <c r="P14" s="2">
        <f>0</f>
        <v>0</v>
      </c>
      <c r="Q14" s="2"/>
      <c r="R14" s="21"/>
      <c r="S14" s="2"/>
      <c r="T14" s="2">
        <v>23156</v>
      </c>
      <c r="U14" s="2"/>
      <c r="V14" s="21"/>
      <c r="W14" s="2"/>
      <c r="X14" s="2">
        <f t="shared" si="2"/>
        <v>-23156</v>
      </c>
      <c r="Y14" s="2"/>
      <c r="Z14" s="21">
        <f t="shared" si="3"/>
        <v>-1</v>
      </c>
    </row>
    <row r="15" spans="1:26" s="24" customFormat="1" hidden="1" outlineLevel="1" x14ac:dyDescent="0.25">
      <c r="A15" s="46"/>
      <c r="B15" s="11" t="str">
        <f>CONCATENATE("          ", "4132", " - ", "NON-TAXABLE SALES-JUICE")</f>
        <v xml:space="preserve">          4132 - NON-TAXABLE SALES-JUICE</v>
      </c>
      <c r="C15" s="11"/>
      <c r="D15" s="2">
        <f>--12808.91</f>
        <v>12808.91</v>
      </c>
      <c r="E15" s="2"/>
      <c r="F15" s="21"/>
      <c r="G15" s="2"/>
      <c r="H15" s="2"/>
      <c r="I15" s="2"/>
      <c r="J15" s="21"/>
      <c r="K15" s="2"/>
      <c r="L15" s="2">
        <f t="shared" si="0"/>
        <v>12808.91</v>
      </c>
      <c r="M15" s="2"/>
      <c r="N15" s="21">
        <f t="shared" si="1"/>
        <v>0</v>
      </c>
      <c r="O15" s="11"/>
      <c r="P15" s="2">
        <f>--17157.29</f>
        <v>17157.29</v>
      </c>
      <c r="Q15" s="2"/>
      <c r="R15" s="21"/>
      <c r="S15" s="2"/>
      <c r="T15" s="2"/>
      <c r="U15" s="2"/>
      <c r="V15" s="21"/>
      <c r="W15" s="2"/>
      <c r="X15" s="2">
        <f t="shared" si="2"/>
        <v>17157.29</v>
      </c>
      <c r="Y15" s="2"/>
      <c r="Z15" s="21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8063.8000000000011</v>
      </c>
      <c r="E17" s="4"/>
      <c r="F17" s="12">
        <f t="shared" ref="F17:F20" si="4">IF(D$12=0,0,D17/D$12)</f>
        <v>0.47117102693758117</v>
      </c>
      <c r="G17" s="4"/>
      <c r="H17" s="4">
        <f>SUM(OSRRefH16x_0)</f>
        <v>8208</v>
      </c>
      <c r="I17" s="4"/>
      <c r="J17" s="12">
        <f t="shared" ref="J17:J20" si="5">IF(H$12=0,0,H17/H$12)</f>
        <v>0.47801525828431657</v>
      </c>
      <c r="K17" s="4"/>
      <c r="L17" s="4">
        <f t="shared" ref="L17:L20" si="6">+D17-H17</f>
        <v>-144.19999999999891</v>
      </c>
      <c r="M17" s="4"/>
      <c r="N17" s="12">
        <f t="shared" ref="N17:N20" si="7">IF(H17=0,0,L17/H17)</f>
        <v>-1.7568226120857566E-2</v>
      </c>
      <c r="O17" s="10"/>
      <c r="P17" s="4">
        <f>SUM(OSRRefP16x_0)</f>
        <v>10759.530000000002</v>
      </c>
      <c r="Q17" s="4"/>
      <c r="R17" s="12">
        <f t="shared" ref="R17:R20" si="8">IF(P$12=0,0,P17/P$12)</f>
        <v>0.4778587616966149</v>
      </c>
      <c r="S17" s="4"/>
      <c r="T17" s="4">
        <f>SUM(OSRRefT16x_0)</f>
        <v>11069</v>
      </c>
      <c r="U17" s="4"/>
      <c r="V17" s="12">
        <f t="shared" ref="V17:V20" si="9">IF(T$12=0,0,T17/T$12)</f>
        <v>0.47801865607186045</v>
      </c>
      <c r="W17" s="4"/>
      <c r="X17" s="4">
        <f t="shared" ref="X17:X20" si="10">+P17-T17</f>
        <v>-309.46999999999753</v>
      </c>
      <c r="Y17" s="4"/>
      <c r="Z17" s="12">
        <f t="shared" ref="Z17:Z20" si="11">IF(T17=0,0,X17/T17)</f>
        <v>-2.7958261812268275E-2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1">
        <f t="shared" si="4"/>
        <v>0</v>
      </c>
      <c r="G18" s="2"/>
      <c r="H18" s="2">
        <v>8208</v>
      </c>
      <c r="I18" s="2"/>
      <c r="J18" s="21">
        <f t="shared" si="5"/>
        <v>0.47801525828431657</v>
      </c>
      <c r="K18" s="2"/>
      <c r="L18" s="2">
        <f t="shared" si="6"/>
        <v>-8208</v>
      </c>
      <c r="M18" s="2"/>
      <c r="N18" s="21">
        <f t="shared" si="7"/>
        <v>-1</v>
      </c>
      <c r="O18" s="11"/>
      <c r="P18" s="2"/>
      <c r="Q18" s="2"/>
      <c r="R18" s="21">
        <f t="shared" si="8"/>
        <v>0</v>
      </c>
      <c r="S18" s="2"/>
      <c r="T18" s="2">
        <v>11069</v>
      </c>
      <c r="U18" s="2"/>
      <c r="V18" s="21">
        <f t="shared" si="9"/>
        <v>0.47801865607186045</v>
      </c>
      <c r="W18" s="2"/>
      <c r="X18" s="2">
        <f t="shared" si="10"/>
        <v>-11069</v>
      </c>
      <c r="Y18" s="2"/>
      <c r="Z18" s="21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12411.79</v>
      </c>
      <c r="E19" s="2"/>
      <c r="F19" s="21">
        <f t="shared" si="4"/>
        <v>0.72522580426518524</v>
      </c>
      <c r="G19" s="2"/>
      <c r="H19" s="2"/>
      <c r="I19" s="2"/>
      <c r="J19" s="21">
        <f t="shared" si="5"/>
        <v>0</v>
      </c>
      <c r="K19" s="2"/>
      <c r="L19" s="2">
        <f t="shared" si="6"/>
        <v>12411.79</v>
      </c>
      <c r="M19" s="2"/>
      <c r="N19" s="21">
        <f t="shared" si="7"/>
        <v>0</v>
      </c>
      <c r="O19" s="11"/>
      <c r="P19" s="2">
        <v>16773.47</v>
      </c>
      <c r="Q19" s="2"/>
      <c r="R19" s="21">
        <f t="shared" si="8"/>
        <v>0.74495350666388938</v>
      </c>
      <c r="S19" s="2"/>
      <c r="T19" s="2"/>
      <c r="U19" s="2"/>
      <c r="V19" s="21">
        <f t="shared" si="9"/>
        <v>0</v>
      </c>
      <c r="W19" s="2"/>
      <c r="X19" s="2">
        <f t="shared" si="10"/>
        <v>16773.47</v>
      </c>
      <c r="Y19" s="2"/>
      <c r="Z19" s="21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-4347.99</v>
      </c>
      <c r="E20" s="2"/>
      <c r="F20" s="21">
        <f t="shared" si="4"/>
        <v>-0.25405477732760401</v>
      </c>
      <c r="G20" s="2"/>
      <c r="H20" s="2"/>
      <c r="I20" s="2"/>
      <c r="J20" s="21">
        <f t="shared" si="5"/>
        <v>0</v>
      </c>
      <c r="K20" s="2"/>
      <c r="L20" s="2">
        <f t="shared" si="6"/>
        <v>-4347.99</v>
      </c>
      <c r="M20" s="2"/>
      <c r="N20" s="21">
        <f t="shared" si="7"/>
        <v>0</v>
      </c>
      <c r="O20" s="11"/>
      <c r="P20" s="2">
        <v>-6013.94</v>
      </c>
      <c r="Q20" s="2"/>
      <c r="R20" s="21">
        <f t="shared" si="8"/>
        <v>-0.26709474496727453</v>
      </c>
      <c r="S20" s="2"/>
      <c r="T20" s="2"/>
      <c r="U20" s="2"/>
      <c r="V20" s="21">
        <f t="shared" si="9"/>
        <v>0</v>
      </c>
      <c r="W20" s="2"/>
      <c r="X20" s="2">
        <f t="shared" si="10"/>
        <v>-6013.94</v>
      </c>
      <c r="Y20" s="2"/>
      <c r="Z20" s="21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9050.58</v>
      </c>
      <c r="E22" s="14"/>
      <c r="F22" s="20">
        <f>IF(D$12=0,0,D22/D$12)</f>
        <v>0.52882897306241883</v>
      </c>
      <c r="G22" s="14"/>
      <c r="H22" s="22">
        <f>H12-H17</f>
        <v>8963</v>
      </c>
      <c r="I22" s="14"/>
      <c r="J22" s="20">
        <f>IF(H$12=0,0,H22/H$12)</f>
        <v>0.52198474171568343</v>
      </c>
      <c r="K22" s="15"/>
      <c r="L22" s="22">
        <f>+D22-H22</f>
        <v>87.579999999999927</v>
      </c>
      <c r="M22" s="15"/>
      <c r="N22" s="20">
        <f>IF(H22=0,0,L22/H22)</f>
        <v>9.7712819368514919E-3</v>
      </c>
      <c r="O22" s="28"/>
      <c r="P22" s="22">
        <f>P12-P17</f>
        <v>11756.599999999999</v>
      </c>
      <c r="Q22" s="14"/>
      <c r="R22" s="20">
        <f>IF(P$12=0,0,P22/P$12)</f>
        <v>0.5221412383033851</v>
      </c>
      <c r="S22" s="14"/>
      <c r="T22" s="22">
        <f>T12-T17</f>
        <v>12087</v>
      </c>
      <c r="U22" s="14"/>
      <c r="V22" s="20">
        <f>IF(T$12=0,0,T22/T$12)</f>
        <v>0.52198134392813955</v>
      </c>
      <c r="W22" s="15"/>
      <c r="X22" s="22">
        <f>+P22-T22</f>
        <v>-330.40000000000146</v>
      </c>
      <c r="Y22" s="15"/>
      <c r="Z22" s="20">
        <f>IF(T22=0,0,X22/T22)</f>
        <v>-2.733515347067109E-2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19">
        <f>SUM(OSRRefD22x_0)</f>
        <v>8667</v>
      </c>
      <c r="E24" s="19"/>
      <c r="F24" s="34">
        <f t="shared" ref="F24:F33" si="12">IF(D$12=0,0,D24/D$12)</f>
        <v>0.50641624178030398</v>
      </c>
      <c r="G24" s="19"/>
      <c r="H24" s="19">
        <f>SUM(OSRRefH22x_0)</f>
        <v>9279.0891053846208</v>
      </c>
      <c r="I24" s="19"/>
      <c r="J24" s="34">
        <f t="shared" ref="J24:J33" si="13">IF(H$12=0,0,H24/H$12)</f>
        <v>0.54039305255282866</v>
      </c>
      <c r="K24" s="4"/>
      <c r="L24" s="19">
        <f t="shared" ref="L24:L33" si="14">+D24-H24</f>
        <v>-612.08910538462078</v>
      </c>
      <c r="M24" s="4"/>
      <c r="N24" s="34">
        <f t="shared" ref="N24:N33" si="15">IF(H24=0,0,L24/H24)</f>
        <v>-6.5964352581701982E-2</v>
      </c>
      <c r="O24" s="10"/>
      <c r="P24" s="19">
        <f>SUM(OSRRefP22x_0)</f>
        <v>18309.399999999994</v>
      </c>
      <c r="Q24" s="19"/>
      <c r="R24" s="34">
        <f t="shared" ref="R24:R33" si="16">IF(P$12=0,0,P24/P$12)</f>
        <v>0.8131681598924857</v>
      </c>
      <c r="S24" s="19"/>
      <c r="T24" s="19">
        <f>SUM(OSRRefT22x_0)</f>
        <v>16849.493287115391</v>
      </c>
      <c r="U24" s="19"/>
      <c r="V24" s="34">
        <f t="shared" ref="V24:V33" si="17">IF(T$12=0,0,T24/T$12)</f>
        <v>0.72765129068558432</v>
      </c>
      <c r="W24" s="4"/>
      <c r="X24" s="19">
        <f t="shared" ref="X24:X33" si="18">+P24-T24</f>
        <v>1459.9067128846036</v>
      </c>
      <c r="Y24" s="4"/>
      <c r="Z24" s="34">
        <f t="shared" ref="Z24:Z33" si="19">IF(T24=0,0,X24/T24)</f>
        <v>8.664395350102172E-2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1596.2399999999998</v>
      </c>
      <c r="E25" s="1"/>
      <c r="F25" s="5">
        <f t="shared" si="12"/>
        <v>9.3268935246266574E-2</v>
      </c>
      <c r="G25" s="1"/>
      <c r="H25" s="1">
        <f>SUM(OSRRefH22_0x_0)</f>
        <v>1282.8544899999999</v>
      </c>
      <c r="I25" s="1"/>
      <c r="J25" s="5">
        <f t="shared" si="13"/>
        <v>7.4710528798555706E-2</v>
      </c>
      <c r="K25" s="1"/>
      <c r="L25" s="1">
        <f t="shared" si="14"/>
        <v>313.38550999999984</v>
      </c>
      <c r="M25" s="1"/>
      <c r="N25" s="5">
        <f t="shared" si="15"/>
        <v>0.24428765104918473</v>
      </c>
      <c r="O25" s="13"/>
      <c r="P25" s="1">
        <f>SUM(OSRRefP22_0x_0)</f>
        <v>3021.8699999999994</v>
      </c>
      <c r="Q25" s="1"/>
      <c r="R25" s="5">
        <f t="shared" si="16"/>
        <v>0.13420912030619825</v>
      </c>
      <c r="S25" s="1"/>
      <c r="T25" s="1">
        <f>SUM(OSRRefT22_0x_0)</f>
        <v>2780.8404025</v>
      </c>
      <c r="U25" s="1"/>
      <c r="V25" s="5">
        <f t="shared" si="17"/>
        <v>0.12009157032734497</v>
      </c>
      <c r="W25" s="1"/>
      <c r="X25" s="1">
        <f t="shared" si="18"/>
        <v>241.02959749999945</v>
      </c>
      <c r="Y25" s="1"/>
      <c r="Z25" s="5">
        <f t="shared" si="19"/>
        <v>8.6675091919446987E-2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275.95999999999998</v>
      </c>
      <c r="E26" s="2"/>
      <c r="F26" s="7">
        <f t="shared" si="12"/>
        <v>1.6124452068961889E-2</v>
      </c>
      <c r="G26" s="2"/>
      <c r="H26" s="6">
        <v>151.34690538461498</v>
      </c>
      <c r="I26" s="2"/>
      <c r="J26" s="7">
        <f t="shared" si="13"/>
        <v>8.8140996671489721E-3</v>
      </c>
      <c r="K26" s="2"/>
      <c r="L26" s="6">
        <f t="shared" si="14"/>
        <v>124.61309461538499</v>
      </c>
      <c r="M26" s="2"/>
      <c r="N26" s="7">
        <f t="shared" si="15"/>
        <v>0.82336070432829878</v>
      </c>
      <c r="O26" s="11"/>
      <c r="P26" s="6">
        <v>601</v>
      </c>
      <c r="Q26" s="2"/>
      <c r="R26" s="7">
        <f t="shared" si="16"/>
        <v>2.6691975930144298E-2</v>
      </c>
      <c r="S26" s="2"/>
      <c r="T26" s="6">
        <v>477.13658711538403</v>
      </c>
      <c r="U26" s="2"/>
      <c r="V26" s="7">
        <f t="shared" si="17"/>
        <v>2.0605311241811367E-2</v>
      </c>
      <c r="W26" s="2"/>
      <c r="X26" s="6">
        <f t="shared" si="18"/>
        <v>123.86341288461597</v>
      </c>
      <c r="Y26" s="2"/>
      <c r="Z26" s="7">
        <f t="shared" si="19"/>
        <v>0.2595973904106888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78.040000000000006</v>
      </c>
      <c r="E27" s="2"/>
      <c r="F27" s="7">
        <f t="shared" si="12"/>
        <v>4.559908100673235E-3</v>
      </c>
      <c r="G27" s="2"/>
      <c r="H27" s="6">
        <v>85.198192307692295</v>
      </c>
      <c r="I27" s="2"/>
      <c r="J27" s="7">
        <f t="shared" si="13"/>
        <v>4.9617490133185196E-3</v>
      </c>
      <c r="K27" s="2"/>
      <c r="L27" s="6">
        <f t="shared" si="14"/>
        <v>-7.1581923076922891</v>
      </c>
      <c r="M27" s="2"/>
      <c r="N27" s="7">
        <f t="shared" si="15"/>
        <v>-8.4018124255976698E-2</v>
      </c>
      <c r="O27" s="11"/>
      <c r="P27" s="6">
        <v>105.47</v>
      </c>
      <c r="Q27" s="2"/>
      <c r="R27" s="7">
        <f t="shared" si="16"/>
        <v>4.6841975064098491E-3</v>
      </c>
      <c r="S27" s="2"/>
      <c r="T27" s="6">
        <v>166.08155769230771</v>
      </c>
      <c r="U27" s="2"/>
      <c r="V27" s="7">
        <f t="shared" si="17"/>
        <v>7.1722904513865831E-3</v>
      </c>
      <c r="W27" s="2"/>
      <c r="X27" s="6">
        <f t="shared" si="18"/>
        <v>-60.611557692307713</v>
      </c>
      <c r="Y27" s="2"/>
      <c r="Z27" s="7">
        <f t="shared" si="19"/>
        <v>-0.3649505612453382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935.3</v>
      </c>
      <c r="E28" s="2"/>
      <c r="F28" s="7">
        <f t="shared" si="12"/>
        <v>5.4649949340846694E-2</v>
      </c>
      <c r="G28" s="2"/>
      <c r="H28" s="6">
        <v>690.5</v>
      </c>
      <c r="I28" s="2"/>
      <c r="J28" s="7">
        <f t="shared" si="13"/>
        <v>4.0213150078620932E-2</v>
      </c>
      <c r="K28" s="2"/>
      <c r="L28" s="6">
        <f t="shared" si="14"/>
        <v>244.79999999999995</v>
      </c>
      <c r="M28" s="2"/>
      <c r="N28" s="7">
        <f t="shared" si="15"/>
        <v>0.3545257060101375</v>
      </c>
      <c r="O28" s="11"/>
      <c r="P28" s="6">
        <v>1870.6</v>
      </c>
      <c r="Q28" s="2"/>
      <c r="R28" s="7">
        <f t="shared" si="16"/>
        <v>8.3078219925004873E-2</v>
      </c>
      <c r="S28" s="2"/>
      <c r="T28" s="6">
        <v>1381</v>
      </c>
      <c r="U28" s="2"/>
      <c r="V28" s="7">
        <f t="shared" si="17"/>
        <v>5.9638970461219555E-2</v>
      </c>
      <c r="W28" s="2"/>
      <c r="X28" s="6">
        <f t="shared" si="18"/>
        <v>489.59999999999991</v>
      </c>
      <c r="Y28" s="2"/>
      <c r="Z28" s="7">
        <f t="shared" si="19"/>
        <v>0.3545257060101375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10.35</v>
      </c>
      <c r="E29" s="2"/>
      <c r="F29" s="7">
        <f t="shared" si="12"/>
        <v>6.0475459818000996E-4</v>
      </c>
      <c r="G29" s="2"/>
      <c r="H29" s="6">
        <v>11.6587</v>
      </c>
      <c r="I29" s="2"/>
      <c r="J29" s="7">
        <f t="shared" si="13"/>
        <v>6.7897618076990271E-4</v>
      </c>
      <c r="K29" s="2"/>
      <c r="L29" s="6">
        <f t="shared" si="14"/>
        <v>-1.3087</v>
      </c>
      <c r="M29" s="2"/>
      <c r="N29" s="7">
        <f t="shared" si="15"/>
        <v>-0.11225093706845532</v>
      </c>
      <c r="O29" s="11"/>
      <c r="P29" s="6">
        <v>14.1</v>
      </c>
      <c r="Q29" s="2"/>
      <c r="R29" s="7">
        <f t="shared" si="16"/>
        <v>6.2621773812817738E-4</v>
      </c>
      <c r="S29" s="2"/>
      <c r="T29" s="6">
        <v>22.726949999999999</v>
      </c>
      <c r="U29" s="2"/>
      <c r="V29" s="7">
        <f t="shared" si="17"/>
        <v>9.8147132492658481E-4</v>
      </c>
      <c r="W29" s="2"/>
      <c r="X29" s="6">
        <f t="shared" si="18"/>
        <v>-8.626949999999999</v>
      </c>
      <c r="Y29" s="2"/>
      <c r="Z29" s="7">
        <f t="shared" si="19"/>
        <v>-0.37959119019490073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134.11000000000001</v>
      </c>
      <c r="E30" s="2"/>
      <c r="F30" s="7">
        <f t="shared" si="12"/>
        <v>7.8361004021179851E-3</v>
      </c>
      <c r="G30" s="2"/>
      <c r="H30" s="6">
        <v>170.074923076923</v>
      </c>
      <c r="I30" s="2"/>
      <c r="J30" s="7">
        <f t="shared" si="13"/>
        <v>9.9047768375122597E-3</v>
      </c>
      <c r="K30" s="2"/>
      <c r="L30" s="6">
        <f t="shared" si="14"/>
        <v>-35.964923076922986</v>
      </c>
      <c r="M30" s="2"/>
      <c r="N30" s="7">
        <f t="shared" si="15"/>
        <v>-0.21146517326752781</v>
      </c>
      <c r="O30" s="11"/>
      <c r="P30" s="6">
        <v>268.22000000000003</v>
      </c>
      <c r="Q30" s="2"/>
      <c r="R30" s="7">
        <f t="shared" si="16"/>
        <v>1.1912349058208494E-2</v>
      </c>
      <c r="S30" s="2"/>
      <c r="T30" s="6">
        <v>382.66857692307701</v>
      </c>
      <c r="U30" s="2"/>
      <c r="V30" s="7">
        <f t="shared" si="17"/>
        <v>1.6525677013433972E-2</v>
      </c>
      <c r="W30" s="2"/>
      <c r="X30" s="6">
        <f t="shared" si="18"/>
        <v>-114.44857692307698</v>
      </c>
      <c r="Y30" s="2"/>
      <c r="Z30" s="7">
        <f t="shared" si="19"/>
        <v>-0.29908015401558075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73.92</v>
      </c>
      <c r="E32" s="2"/>
      <c r="F32" s="7">
        <f t="shared" si="12"/>
        <v>4.3191748693204189E-3</v>
      </c>
      <c r="G32" s="2"/>
      <c r="H32" s="6">
        <v>39.5523076923077</v>
      </c>
      <c r="I32" s="2"/>
      <c r="J32" s="7">
        <f t="shared" si="13"/>
        <v>2.3034364738400617E-3</v>
      </c>
      <c r="K32" s="2"/>
      <c r="L32" s="6">
        <f t="shared" si="14"/>
        <v>34.367692307692302</v>
      </c>
      <c r="M32" s="2"/>
      <c r="N32" s="7">
        <f t="shared" si="15"/>
        <v>0.86891749970827303</v>
      </c>
      <c r="O32" s="11"/>
      <c r="P32" s="6">
        <v>73.92</v>
      </c>
      <c r="Q32" s="2"/>
      <c r="R32" s="7">
        <f t="shared" si="16"/>
        <v>3.282979801591126E-3</v>
      </c>
      <c r="S32" s="2"/>
      <c r="T32" s="6">
        <v>88.992692307692295</v>
      </c>
      <c r="U32" s="2"/>
      <c r="V32" s="7">
        <f t="shared" si="17"/>
        <v>3.8431807007985961E-3</v>
      </c>
      <c r="W32" s="2"/>
      <c r="X32" s="6">
        <f t="shared" si="18"/>
        <v>-15.072692307692293</v>
      </c>
      <c r="Y32" s="2"/>
      <c r="Z32" s="7">
        <f t="shared" si="19"/>
        <v>-0.16937000012965614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88.56</v>
      </c>
      <c r="E33" s="2"/>
      <c r="F33" s="7">
        <f t="shared" si="12"/>
        <v>5.1745958661663467E-3</v>
      </c>
      <c r="G33" s="2"/>
      <c r="H33" s="6">
        <v>134.52346153846202</v>
      </c>
      <c r="I33" s="2"/>
      <c r="J33" s="7">
        <f t="shared" si="13"/>
        <v>7.8343405473450603E-3</v>
      </c>
      <c r="K33" s="2"/>
      <c r="L33" s="6">
        <f t="shared" si="14"/>
        <v>-45.963461538462013</v>
      </c>
      <c r="M33" s="2"/>
      <c r="N33" s="7">
        <f t="shared" si="15"/>
        <v>-0.34167617315824467</v>
      </c>
      <c r="O33" s="11"/>
      <c r="P33" s="6">
        <v>88.56</v>
      </c>
      <c r="Q33" s="2"/>
      <c r="R33" s="7">
        <f t="shared" si="16"/>
        <v>3.9331803467114465E-3</v>
      </c>
      <c r="S33" s="2"/>
      <c r="T33" s="6">
        <v>262.234038461539</v>
      </c>
      <c r="U33" s="2"/>
      <c r="V33" s="7">
        <f t="shared" si="17"/>
        <v>1.1324669133768311E-2</v>
      </c>
      <c r="W33" s="2"/>
      <c r="X33" s="6">
        <f t="shared" si="18"/>
        <v>-173.674038461539</v>
      </c>
      <c r="Y33" s="2"/>
      <c r="Z33" s="7">
        <f t="shared" si="19"/>
        <v>-0.66228640446694409</v>
      </c>
    </row>
    <row r="34" spans="1:26" s="26" customFormat="1" outlineLevel="1" collapsed="1" x14ac:dyDescent="0.25">
      <c r="A34" s="25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4544.93</v>
      </c>
      <c r="E34" s="1"/>
      <c r="F34" s="5">
        <f t="shared" ref="F34:F44" si="20">IF(D$12=0,0,D34/D$12)</f>
        <v>0.26556205950785244</v>
      </c>
      <c r="G34" s="1"/>
      <c r="H34" s="1">
        <f>SUM(OSRRefH22_1x_0)</f>
        <v>4385.2346153846202</v>
      </c>
      <c r="I34" s="1"/>
      <c r="J34" s="5">
        <f t="shared" ref="J34:J44" si="21">IF(H$12=0,0,H34/H$12)</f>
        <v>0.25538609372690119</v>
      </c>
      <c r="K34" s="1"/>
      <c r="L34" s="1">
        <f t="shared" ref="L34:L44" si="22">+D34-H34</f>
        <v>159.69538461538014</v>
      </c>
      <c r="M34" s="1"/>
      <c r="N34" s="5">
        <f t="shared" ref="N34:N44" si="23">IF(H34=0,0,L34/H34)</f>
        <v>3.6416611338222223E-2</v>
      </c>
      <c r="O34" s="13"/>
      <c r="P34" s="1">
        <f>SUM(OSRRefP22_1x_0)</f>
        <v>9599.65</v>
      </c>
      <c r="Q34" s="1"/>
      <c r="R34" s="5">
        <f t="shared" ref="R34:R44" si="24">IF(P$12=0,0,P34/P$12)</f>
        <v>0.42634546878171337</v>
      </c>
      <c r="S34" s="1"/>
      <c r="T34" s="1">
        <f>SUM(OSRRefT22_1x_0)</f>
        <v>8518.6528846153888</v>
      </c>
      <c r="U34" s="1"/>
      <c r="V34" s="5">
        <f t="shared" ref="V34:V44" si="25">IF(T$12=0,0,T34/T$12)</f>
        <v>0.36788101937361328</v>
      </c>
      <c r="W34" s="1"/>
      <c r="X34" s="1">
        <f t="shared" ref="X34:X44" si="26">+P34-T34</f>
        <v>1080.9971153846109</v>
      </c>
      <c r="Y34" s="1"/>
      <c r="Z34" s="5">
        <f t="shared" ref="Z34:Z44" si="27">IF(T34=0,0,X34/T34)</f>
        <v>0.1268976597622474</v>
      </c>
    </row>
    <row r="35" spans="1:26" s="24" customFormat="1" hidden="1" outlineLevel="2" x14ac:dyDescent="0.25">
      <c r="A35" s="27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1878.7346153846199</v>
      </c>
      <c r="I35" s="2"/>
      <c r="J35" s="7">
        <f t="shared" si="21"/>
        <v>0.10941323250740317</v>
      </c>
      <c r="K35" s="2"/>
      <c r="L35" s="6">
        <f t="shared" si="22"/>
        <v>-1878.7346153846199</v>
      </c>
      <c r="M35" s="2"/>
      <c r="N35" s="7">
        <f t="shared" si="23"/>
        <v>-1</v>
      </c>
      <c r="O35" s="11"/>
      <c r="P35" s="6"/>
      <c r="Q35" s="2"/>
      <c r="R35" s="7">
        <f t="shared" si="24"/>
        <v>0</v>
      </c>
      <c r="S35" s="2"/>
      <c r="T35" s="6">
        <v>4227.1528846153897</v>
      </c>
      <c r="U35" s="2"/>
      <c r="V35" s="7">
        <f t="shared" si="25"/>
        <v>0.18255108328793357</v>
      </c>
      <c r="W35" s="2"/>
      <c r="X35" s="6">
        <f t="shared" si="26"/>
        <v>-4227.1528846153897</v>
      </c>
      <c r="Y35" s="2"/>
      <c r="Z35" s="7">
        <f t="shared" si="27"/>
        <v>-1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6">
        <v>1728</v>
      </c>
      <c r="E36" s="2"/>
      <c r="F36" s="7">
        <f t="shared" si="20"/>
        <v>0.10096772421787993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1728</v>
      </c>
      <c r="M36" s="2"/>
      <c r="N36" s="7">
        <f t="shared" si="23"/>
        <v>0</v>
      </c>
      <c r="O36" s="11"/>
      <c r="P36" s="6">
        <v>4128</v>
      </c>
      <c r="Q36" s="2"/>
      <c r="R36" s="7">
        <f t="shared" si="24"/>
        <v>0.18333523567327067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4128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"6005", " - ", "TEMPORARY WAGES-HOURLY")</f>
        <v xml:space="preserve">          6005 - TEMPORARY WAGES-HOURLY</v>
      </c>
      <c r="C39" s="11"/>
      <c r="D39" s="6">
        <v>757.06</v>
      </c>
      <c r="E39" s="2"/>
      <c r="F39" s="7">
        <f t="shared" si="20"/>
        <v>4.423531556503945E-2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757.06</v>
      </c>
      <c r="M39" s="2"/>
      <c r="N39" s="7">
        <f t="shared" si="23"/>
        <v>0</v>
      </c>
      <c r="O39" s="11"/>
      <c r="P39" s="6">
        <v>1708.78</v>
      </c>
      <c r="Q39" s="2"/>
      <c r="R39" s="7">
        <f t="shared" si="24"/>
        <v>7.5891372096359364E-2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1708.78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"6006", " - ", "TEMPORARY PART TIME")</f>
        <v xml:space="preserve">          6006 - TEMPORARY PART TIME</v>
      </c>
      <c r="C40" s="11"/>
      <c r="D40" s="6">
        <v>226.31</v>
      </c>
      <c r="E40" s="2"/>
      <c r="F40" s="7">
        <f t="shared" si="20"/>
        <v>1.3223382909576625E-2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226.31</v>
      </c>
      <c r="M40" s="2"/>
      <c r="N40" s="7">
        <f t="shared" si="23"/>
        <v>0</v>
      </c>
      <c r="O40" s="11"/>
      <c r="P40" s="6">
        <v>908.43</v>
      </c>
      <c r="Q40" s="2"/>
      <c r="R40" s="7">
        <f t="shared" si="24"/>
        <v>4.0345743251615614E-2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908.43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"6007", " - ", "STUDENT HOURLY")</f>
        <v xml:space="preserve">          6007 - STUDENT HOURLY</v>
      </c>
      <c r="C41" s="11"/>
      <c r="D41" s="6">
        <v>1760.25</v>
      </c>
      <c r="E41" s="2"/>
      <c r="F41" s="7">
        <f t="shared" si="20"/>
        <v>0.10285210448757126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1760.25</v>
      </c>
      <c r="M41" s="2"/>
      <c r="N41" s="7">
        <f t="shared" si="23"/>
        <v>0</v>
      </c>
      <c r="O41" s="11"/>
      <c r="P41" s="6">
        <v>2781.13</v>
      </c>
      <c r="Q41" s="2"/>
      <c r="R41" s="7">
        <f t="shared" si="24"/>
        <v>0.12351722964825661</v>
      </c>
      <c r="S41" s="2"/>
      <c r="T41" s="6">
        <v>1785</v>
      </c>
      <c r="U41" s="2"/>
      <c r="V41" s="7">
        <f t="shared" si="25"/>
        <v>7.7085852478839173E-2</v>
      </c>
      <c r="W41" s="2"/>
      <c r="X41" s="6">
        <f t="shared" si="26"/>
        <v>996.13000000000011</v>
      </c>
      <c r="Y41" s="2"/>
      <c r="Z41" s="7">
        <f t="shared" si="27"/>
        <v>0.55805602240896368</v>
      </c>
    </row>
    <row r="42" spans="1:26" s="24" customFormat="1" hidden="1" outlineLevel="2" x14ac:dyDescent="0.25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6">
        <v>73.31</v>
      </c>
      <c r="E42" s="2"/>
      <c r="F42" s="7">
        <f t="shared" si="20"/>
        <v>4.2835323277851728E-3</v>
      </c>
      <c r="G42" s="2"/>
      <c r="H42" s="6">
        <v>2506.5</v>
      </c>
      <c r="I42" s="2"/>
      <c r="J42" s="7">
        <f t="shared" si="21"/>
        <v>0.14597286121949798</v>
      </c>
      <c r="K42" s="2"/>
      <c r="L42" s="6">
        <f t="shared" si="22"/>
        <v>-2433.19</v>
      </c>
      <c r="M42" s="2"/>
      <c r="N42" s="7">
        <f t="shared" si="23"/>
        <v>-0.97075204468382204</v>
      </c>
      <c r="O42" s="11"/>
      <c r="P42" s="6">
        <v>73.31</v>
      </c>
      <c r="Q42" s="2"/>
      <c r="R42" s="7">
        <f t="shared" si="24"/>
        <v>3.2558881122111125E-3</v>
      </c>
      <c r="S42" s="2"/>
      <c r="T42" s="6">
        <v>2506.5</v>
      </c>
      <c r="U42" s="2"/>
      <c r="V42" s="7">
        <f t="shared" si="25"/>
        <v>0.10824408360684055</v>
      </c>
      <c r="W42" s="2"/>
      <c r="X42" s="6">
        <f t="shared" si="26"/>
        <v>-2433.19</v>
      </c>
      <c r="Y42" s="2"/>
      <c r="Z42" s="7">
        <f t="shared" si="27"/>
        <v>-0.97075204468382204</v>
      </c>
    </row>
    <row r="43" spans="1:26" s="24" customFormat="1" hidden="1" outlineLevel="2" x14ac:dyDescent="0.25">
      <c r="A43" s="27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6" customFormat="1" outlineLevel="1" collapsed="1" x14ac:dyDescent="0.25">
      <c r="A45" s="25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0</v>
      </c>
      <c r="E45" s="1"/>
      <c r="F45" s="5">
        <f t="shared" ref="F45:F61" si="28">IF(D$12=0,0,D45/D$12)</f>
        <v>0</v>
      </c>
      <c r="G45" s="1"/>
      <c r="H45" s="1">
        <f>SUM(OSRRefH22_2x_0)</f>
        <v>0</v>
      </c>
      <c r="I45" s="1"/>
      <c r="J45" s="5">
        <f t="shared" ref="J45:J61" si="29">IF(H$12=0,0,H45/H$12)</f>
        <v>0</v>
      </c>
      <c r="K45" s="1"/>
      <c r="L45" s="1">
        <f t="shared" ref="L45:L61" si="30">+D45-H45</f>
        <v>0</v>
      </c>
      <c r="M45" s="1"/>
      <c r="N45" s="5">
        <f t="shared" ref="N45:N61" si="31">IF(H45=0,0,L45/H45)</f>
        <v>0</v>
      </c>
      <c r="O45" s="13"/>
      <c r="P45" s="1">
        <f>SUM(OSRRefP22_2x_0)</f>
        <v>0</v>
      </c>
      <c r="Q45" s="1"/>
      <c r="R45" s="5">
        <f t="shared" ref="R45:R61" si="32">IF(P$12=0,0,P45/P$12)</f>
        <v>0</v>
      </c>
      <c r="S45" s="1"/>
      <c r="T45" s="1">
        <f>SUM(OSRRefT22_2x_0)</f>
        <v>0</v>
      </c>
      <c r="U45" s="1"/>
      <c r="V45" s="5">
        <f t="shared" ref="V45:V61" si="33">IF(T$12=0,0,T45/T$12)</f>
        <v>0</v>
      </c>
      <c r="W45" s="1"/>
      <c r="X45" s="1">
        <f t="shared" ref="X45:X61" si="34">+P45-T45</f>
        <v>0</v>
      </c>
      <c r="Y45" s="1"/>
      <c r="Z45" s="5">
        <f t="shared" ref="Z45:Z61" si="35">IF(T45=0,0,X45/T45)</f>
        <v>0</v>
      </c>
    </row>
    <row r="46" spans="1:26" s="24" customFormat="1" hidden="1" outlineLevel="2" x14ac:dyDescent="0.25">
      <c r="A46" s="27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8"/>
        <v>0</v>
      </c>
      <c r="G46" s="2"/>
      <c r="H46" s="6">
        <v>0</v>
      </c>
      <c r="I46" s="2"/>
      <c r="J46" s="7">
        <f t="shared" si="29"/>
        <v>0</v>
      </c>
      <c r="K46" s="2"/>
      <c r="L46" s="6">
        <f t="shared" si="30"/>
        <v>0</v>
      </c>
      <c r="M46" s="2"/>
      <c r="N46" s="7">
        <f t="shared" si="31"/>
        <v>0</v>
      </c>
      <c r="O46" s="11"/>
      <c r="P46" s="6"/>
      <c r="Q46" s="2"/>
      <c r="R46" s="7">
        <f t="shared" si="32"/>
        <v>0</v>
      </c>
      <c r="S46" s="2"/>
      <c r="T46" s="6">
        <v>0</v>
      </c>
      <c r="U46" s="2"/>
      <c r="V46" s="7">
        <f t="shared" si="33"/>
        <v>0</v>
      </c>
      <c r="W46" s="2"/>
      <c r="X46" s="6">
        <f t="shared" si="34"/>
        <v>0</v>
      </c>
      <c r="Y46" s="2"/>
      <c r="Z46" s="7">
        <f t="shared" si="35"/>
        <v>0</v>
      </c>
    </row>
    <row r="47" spans="1:26" s="26" customFormat="1" outlineLevel="1" collapsed="1" x14ac:dyDescent="0.25">
      <c r="A47" s="25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-2.52</v>
      </c>
      <c r="E47" s="1"/>
      <c r="F47" s="5">
        <f t="shared" si="28"/>
        <v>-1.4724459781774156E-4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-2.52</v>
      </c>
      <c r="M47" s="1"/>
      <c r="N47" s="5">
        <f t="shared" si="31"/>
        <v>0</v>
      </c>
      <c r="O47" s="13"/>
      <c r="P47" s="1">
        <f>SUM(OSRRefP22_3x_0)</f>
        <v>1.91</v>
      </c>
      <c r="Q47" s="1"/>
      <c r="R47" s="5">
        <f t="shared" si="32"/>
        <v>8.4828076583320477E-5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1.91</v>
      </c>
      <c r="Y47" s="1"/>
      <c r="Z47" s="5">
        <f t="shared" si="35"/>
        <v>0</v>
      </c>
    </row>
    <row r="48" spans="1:26" s="24" customFormat="1" hidden="1" outlineLevel="2" x14ac:dyDescent="0.25">
      <c r="A48" s="27"/>
      <c r="B48" s="11" t="str">
        <f>CONCATENATE("          ", "6272", " - ", "CASH (OVER/SHORT)")</f>
        <v xml:space="preserve">          6272 - CASH (OVER/SHORT)</v>
      </c>
      <c r="C48" s="11"/>
      <c r="D48" s="6">
        <v>-2.52</v>
      </c>
      <c r="E48" s="2"/>
      <c r="F48" s="7">
        <f t="shared" si="28"/>
        <v>-1.4724459781774156E-4</v>
      </c>
      <c r="G48" s="2"/>
      <c r="H48" s="6">
        <v>0</v>
      </c>
      <c r="I48" s="2"/>
      <c r="J48" s="7">
        <f t="shared" si="29"/>
        <v>0</v>
      </c>
      <c r="K48" s="2"/>
      <c r="L48" s="6">
        <f t="shared" si="30"/>
        <v>-2.52</v>
      </c>
      <c r="M48" s="2"/>
      <c r="N48" s="7">
        <f t="shared" si="31"/>
        <v>0</v>
      </c>
      <c r="O48" s="11"/>
      <c r="P48" s="6">
        <v>1.91</v>
      </c>
      <c r="Q48" s="2"/>
      <c r="R48" s="7">
        <f t="shared" si="32"/>
        <v>8.4828076583320477E-5</v>
      </c>
      <c r="S48" s="2"/>
      <c r="T48" s="6">
        <v>0</v>
      </c>
      <c r="U48" s="2"/>
      <c r="V48" s="7">
        <f t="shared" si="33"/>
        <v>0</v>
      </c>
      <c r="W48" s="2"/>
      <c r="X48" s="6">
        <f t="shared" si="34"/>
        <v>1.91</v>
      </c>
      <c r="Y48" s="2"/>
      <c r="Z48" s="7">
        <f t="shared" si="35"/>
        <v>0</v>
      </c>
    </row>
    <row r="49" spans="1:26" s="26" customFormat="1" outlineLevel="1" collapsed="1" x14ac:dyDescent="0.25">
      <c r="A49" s="25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615.33000000000004</v>
      </c>
      <c r="E49" s="1"/>
      <c r="F49" s="5">
        <f t="shared" si="28"/>
        <v>3.5953975545710684E-2</v>
      </c>
      <c r="G49" s="1"/>
      <c r="H49" s="1">
        <f>SUM(OSRRefH22_4x_0)</f>
        <v>527</v>
      </c>
      <c r="I49" s="1"/>
      <c r="J49" s="5">
        <f t="shared" si="29"/>
        <v>3.0691281812358046E-2</v>
      </c>
      <c r="K49" s="1"/>
      <c r="L49" s="1">
        <f t="shared" si="30"/>
        <v>88.330000000000041</v>
      </c>
      <c r="M49" s="1"/>
      <c r="N49" s="5">
        <f t="shared" si="31"/>
        <v>0.16760910815939287</v>
      </c>
      <c r="O49" s="13"/>
      <c r="P49" s="1">
        <f>SUM(OSRRefP22_4x_0)</f>
        <v>749.09</v>
      </c>
      <c r="Q49" s="1"/>
      <c r="R49" s="5">
        <f t="shared" si="32"/>
        <v>3.3269038684711802E-2</v>
      </c>
      <c r="S49" s="1"/>
      <c r="T49" s="1">
        <f>SUM(OSRRefT22_4x_0)</f>
        <v>711</v>
      </c>
      <c r="U49" s="1"/>
      <c r="V49" s="5">
        <f t="shared" si="33"/>
        <v>3.0704784936949388E-2</v>
      </c>
      <c r="W49" s="1"/>
      <c r="X49" s="1">
        <f t="shared" si="34"/>
        <v>38.090000000000032</v>
      </c>
      <c r="Y49" s="1"/>
      <c r="Z49" s="5">
        <f t="shared" si="35"/>
        <v>5.3572433192686404E-2</v>
      </c>
    </row>
    <row r="50" spans="1:26" s="24" customFormat="1" hidden="1" outlineLevel="2" x14ac:dyDescent="0.25">
      <c r="A50" s="27"/>
      <c r="B50" s="11" t="str">
        <f>CONCATENATE("          ", "6381", " - ", "BANK/CREDIT CARD FEES")</f>
        <v xml:space="preserve">          6381 - BANK/CREDIT CARD FEES</v>
      </c>
      <c r="C50" s="11"/>
      <c r="D50" s="6">
        <v>615.33000000000004</v>
      </c>
      <c r="E50" s="2"/>
      <c r="F50" s="7">
        <f t="shared" si="28"/>
        <v>3.5953975545710684E-2</v>
      </c>
      <c r="G50" s="2"/>
      <c r="H50" s="6">
        <v>527</v>
      </c>
      <c r="I50" s="2"/>
      <c r="J50" s="7">
        <f t="shared" si="29"/>
        <v>3.0691281812358046E-2</v>
      </c>
      <c r="K50" s="2"/>
      <c r="L50" s="6">
        <f t="shared" si="30"/>
        <v>88.330000000000041</v>
      </c>
      <c r="M50" s="2"/>
      <c r="N50" s="7">
        <f t="shared" si="31"/>
        <v>0.16760910815939287</v>
      </c>
      <c r="O50" s="11"/>
      <c r="P50" s="6">
        <v>749.09</v>
      </c>
      <c r="Q50" s="2"/>
      <c r="R50" s="7">
        <f t="shared" si="32"/>
        <v>3.3269038684711802E-2</v>
      </c>
      <c r="S50" s="2"/>
      <c r="T50" s="6">
        <v>711</v>
      </c>
      <c r="U50" s="2"/>
      <c r="V50" s="7">
        <f t="shared" si="33"/>
        <v>3.0704784936949388E-2</v>
      </c>
      <c r="W50" s="2"/>
      <c r="X50" s="6">
        <f t="shared" si="34"/>
        <v>38.090000000000032</v>
      </c>
      <c r="Y50" s="2"/>
      <c r="Z50" s="7">
        <f t="shared" si="35"/>
        <v>5.3572433192686404E-2</v>
      </c>
    </row>
    <row r="51" spans="1:26" s="26" customFormat="1" outlineLevel="1" collapsed="1" x14ac:dyDescent="0.25">
      <c r="A51" s="25"/>
      <c r="B51" s="13" t="str">
        <f>CONCATENATE("     ","Depreciation                                      ")</f>
        <v xml:space="preserve">     Depreciation                                      </v>
      </c>
      <c r="C51" s="13"/>
      <c r="D51" s="1">
        <f>SUM(OSRRefD22_5x_0)</f>
        <v>968.86</v>
      </c>
      <c r="E51" s="1"/>
      <c r="F51" s="5">
        <f t="shared" si="28"/>
        <v>5.6610873429244875E-2</v>
      </c>
      <c r="G51" s="1"/>
      <c r="H51" s="1">
        <f>SUM(OSRRefH22_5x_0)</f>
        <v>969</v>
      </c>
      <c r="I51" s="1"/>
      <c r="J51" s="5">
        <f t="shared" si="29"/>
        <v>5.6432356880787377E-2</v>
      </c>
      <c r="K51" s="1"/>
      <c r="L51" s="1">
        <f t="shared" si="30"/>
        <v>-0.13999999999998636</v>
      </c>
      <c r="M51" s="1"/>
      <c r="N51" s="5">
        <f t="shared" si="31"/>
        <v>-1.4447884416923256E-4</v>
      </c>
      <c r="O51" s="13"/>
      <c r="P51" s="1">
        <f>SUM(OSRRefP22_5x_0)</f>
        <v>1937.72</v>
      </c>
      <c r="Q51" s="1"/>
      <c r="R51" s="5">
        <f t="shared" si="32"/>
        <v>8.6059194008917164E-2</v>
      </c>
      <c r="S51" s="1"/>
      <c r="T51" s="1">
        <f>SUM(OSRRefT22_5x_0)</f>
        <v>1938</v>
      </c>
      <c r="U51" s="1"/>
      <c r="V51" s="5">
        <f t="shared" si="33"/>
        <v>8.3693211262739681E-2</v>
      </c>
      <c r="W51" s="1"/>
      <c r="X51" s="1">
        <f t="shared" si="34"/>
        <v>-0.27999999999997272</v>
      </c>
      <c r="Y51" s="1"/>
      <c r="Z51" s="5">
        <f t="shared" si="35"/>
        <v>-1.4447884416923256E-4</v>
      </c>
    </row>
    <row r="52" spans="1:26" s="24" customFormat="1" hidden="1" outlineLevel="2" x14ac:dyDescent="0.25">
      <c r="A52" s="27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968.86</v>
      </c>
      <c r="E52" s="2"/>
      <c r="F52" s="7">
        <f t="shared" si="28"/>
        <v>5.6610873429244875E-2</v>
      </c>
      <c r="G52" s="2"/>
      <c r="H52" s="6">
        <v>969</v>
      </c>
      <c r="I52" s="2"/>
      <c r="J52" s="7">
        <f t="shared" si="29"/>
        <v>5.6432356880787377E-2</v>
      </c>
      <c r="K52" s="2"/>
      <c r="L52" s="6">
        <f t="shared" si="30"/>
        <v>-0.13999999999998636</v>
      </c>
      <c r="M52" s="2"/>
      <c r="N52" s="7">
        <f t="shared" si="31"/>
        <v>-1.4447884416923256E-4</v>
      </c>
      <c r="O52" s="11"/>
      <c r="P52" s="6">
        <v>1937.72</v>
      </c>
      <c r="Q52" s="2"/>
      <c r="R52" s="7">
        <f t="shared" si="32"/>
        <v>8.6059194008917164E-2</v>
      </c>
      <c r="S52" s="2"/>
      <c r="T52" s="6">
        <v>1938</v>
      </c>
      <c r="U52" s="2"/>
      <c r="V52" s="7">
        <f t="shared" si="33"/>
        <v>8.3693211262739681E-2</v>
      </c>
      <c r="W52" s="2"/>
      <c r="X52" s="6">
        <f t="shared" si="34"/>
        <v>-0.27999999999997272</v>
      </c>
      <c r="Y52" s="2"/>
      <c r="Z52" s="7">
        <f t="shared" si="35"/>
        <v>-1.4447884416923256E-4</v>
      </c>
    </row>
    <row r="53" spans="1:26" s="26" customFormat="1" outlineLevel="1" collapsed="1" x14ac:dyDescent="0.25">
      <c r="A53" s="25"/>
      <c r="B53" s="13" t="str">
        <f>CONCATENATE("     ","Employees' Appreciation                           ")</f>
        <v xml:space="preserve">     Employees' Appreciation                           </v>
      </c>
      <c r="C53" s="13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SUM(OSRRefP22_6x_0)</f>
        <v>0</v>
      </c>
      <c r="Q53" s="1"/>
      <c r="R53" s="5">
        <f t="shared" si="32"/>
        <v>0</v>
      </c>
      <c r="S53" s="1"/>
      <c r="T53" s="1">
        <f>SUM(OSRRefT22_6x_0)</f>
        <v>0</v>
      </c>
      <c r="U53" s="1"/>
      <c r="V53" s="5">
        <f t="shared" si="33"/>
        <v>0</v>
      </c>
      <c r="W53" s="1"/>
      <c r="X53" s="1">
        <f t="shared" si="34"/>
        <v>0</v>
      </c>
      <c r="Y53" s="1"/>
      <c r="Z53" s="5">
        <f t="shared" si="35"/>
        <v>0</v>
      </c>
    </row>
    <row r="54" spans="1:26" s="24" customFormat="1" hidden="1" outlineLevel="2" x14ac:dyDescent="0.25">
      <c r="A54" s="27"/>
      <c r="B54" s="11" t="str">
        <f>CONCATENATE("          ", "6277", " - ", "EMPLOYEE APPRECIATION")</f>
        <v xml:space="preserve">          6277 - EMPLOYEE APPRECIATION</v>
      </c>
      <c r="C54" s="11"/>
      <c r="D54" s="6"/>
      <c r="E54" s="2"/>
      <c r="F54" s="7">
        <f t="shared" si="28"/>
        <v>0</v>
      </c>
      <c r="G54" s="2"/>
      <c r="H54" s="6">
        <v>0</v>
      </c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0</v>
      </c>
      <c r="U54" s="2"/>
      <c r="V54" s="7">
        <f t="shared" si="33"/>
        <v>0</v>
      </c>
      <c r="W54" s="2"/>
      <c r="X54" s="6">
        <f t="shared" si="34"/>
        <v>0</v>
      </c>
      <c r="Y54" s="2"/>
      <c r="Z54" s="7">
        <f t="shared" si="35"/>
        <v>0</v>
      </c>
    </row>
    <row r="55" spans="1:26" s="26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SUM(OSRRefD22_7x_0)</f>
        <v>12.25</v>
      </c>
      <c r="E55" s="1"/>
      <c r="F55" s="5">
        <f t="shared" si="28"/>
        <v>7.1577235050291038E-4</v>
      </c>
      <c r="G55" s="1"/>
      <c r="H55" s="1">
        <f>SUM(OSRRefH22_7x_0)</f>
        <v>119</v>
      </c>
      <c r="I55" s="1"/>
      <c r="J55" s="5">
        <f t="shared" si="29"/>
        <v>6.9302894415002037E-3</v>
      </c>
      <c r="K55" s="1"/>
      <c r="L55" s="1">
        <f t="shared" si="30"/>
        <v>-106.75</v>
      </c>
      <c r="M55" s="1"/>
      <c r="N55" s="5">
        <f t="shared" si="31"/>
        <v>-0.8970588235294118</v>
      </c>
      <c r="O55" s="13"/>
      <c r="P55" s="1">
        <f>SUM(OSRRefP22_7x_0)</f>
        <v>746.3</v>
      </c>
      <c r="Q55" s="1"/>
      <c r="R55" s="5">
        <f t="shared" si="32"/>
        <v>3.3145127515252393E-2</v>
      </c>
      <c r="S55" s="1"/>
      <c r="T55" s="1">
        <f>SUM(OSRRefT22_7x_0)</f>
        <v>160</v>
      </c>
      <c r="U55" s="1"/>
      <c r="V55" s="5">
        <f t="shared" si="33"/>
        <v>6.9096562446018311E-3</v>
      </c>
      <c r="W55" s="1"/>
      <c r="X55" s="1">
        <f t="shared" si="34"/>
        <v>586.29999999999995</v>
      </c>
      <c r="Y55" s="1"/>
      <c r="Z55" s="5">
        <f t="shared" si="35"/>
        <v>3.6643749999999997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6">
        <v>12.25</v>
      </c>
      <c r="E56" s="2"/>
      <c r="F56" s="7">
        <f t="shared" si="28"/>
        <v>7.1577235050291038E-4</v>
      </c>
      <c r="G56" s="2"/>
      <c r="H56" s="6">
        <v>119</v>
      </c>
      <c r="I56" s="2"/>
      <c r="J56" s="7">
        <f t="shared" si="29"/>
        <v>6.9302894415002037E-3</v>
      </c>
      <c r="K56" s="2"/>
      <c r="L56" s="6">
        <f t="shared" si="30"/>
        <v>-106.75</v>
      </c>
      <c r="M56" s="2"/>
      <c r="N56" s="7">
        <f t="shared" si="31"/>
        <v>-0.8970588235294118</v>
      </c>
      <c r="O56" s="11"/>
      <c r="P56" s="6">
        <v>746.3</v>
      </c>
      <c r="Q56" s="2"/>
      <c r="R56" s="7">
        <f t="shared" si="32"/>
        <v>3.3145127515252393E-2</v>
      </c>
      <c r="S56" s="2"/>
      <c r="T56" s="6">
        <v>160</v>
      </c>
      <c r="U56" s="2"/>
      <c r="V56" s="7">
        <f t="shared" si="33"/>
        <v>6.9096562446018311E-3</v>
      </c>
      <c r="W56" s="2"/>
      <c r="X56" s="6">
        <f t="shared" si="34"/>
        <v>586.29999999999995</v>
      </c>
      <c r="Y56" s="2"/>
      <c r="Z56" s="7">
        <f t="shared" si="35"/>
        <v>3.6643749999999997</v>
      </c>
    </row>
    <row r="57" spans="1:26" s="26" customFormat="1" outlineLevel="1" collapsed="1" x14ac:dyDescent="0.25">
      <c r="A57" s="25"/>
      <c r="B57" s="13" t="str">
        <f>CONCATENATE("     ","R/H Commissions                                   ")</f>
        <v xml:space="preserve">     R/H Commissions                                   </v>
      </c>
      <c r="C57" s="13"/>
      <c r="D57" s="1">
        <f>SUM(OSRRefD22_8x_0)</f>
        <v>0</v>
      </c>
      <c r="E57" s="1"/>
      <c r="F57" s="5">
        <f t="shared" si="28"/>
        <v>0</v>
      </c>
      <c r="G57" s="1"/>
      <c r="H57" s="1">
        <f>SUM(OSRRefH22_8x_0)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SUM(OSRRefP22_8x_0)</f>
        <v>0</v>
      </c>
      <c r="Q57" s="1"/>
      <c r="R57" s="5">
        <f t="shared" si="32"/>
        <v>0</v>
      </c>
      <c r="S57" s="1"/>
      <c r="T57" s="1">
        <f>SUM(OSRRefT22_8x_0)</f>
        <v>0</v>
      </c>
      <c r="U57" s="1"/>
      <c r="V57" s="5">
        <f t="shared" si="33"/>
        <v>0</v>
      </c>
      <c r="W57" s="1"/>
      <c r="X57" s="1">
        <f t="shared" si="34"/>
        <v>0</v>
      </c>
      <c r="Y57" s="1"/>
      <c r="Z57" s="5">
        <f t="shared" si="35"/>
        <v>0</v>
      </c>
    </row>
    <row r="58" spans="1:26" s="24" customFormat="1" hidden="1" outlineLevel="2" x14ac:dyDescent="0.25">
      <c r="A58" s="27"/>
      <c r="B58" s="11" t="str">
        <f>CONCATENATE("          ", "6387", " - ", "COMMISSION DUE HOUSING")</f>
        <v xml:space="preserve">          6387 - COMMISSION DUE HOUSING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0</v>
      </c>
      <c r="U58" s="2"/>
      <c r="V58" s="7">
        <f t="shared" si="33"/>
        <v>0</v>
      </c>
      <c r="W58" s="2"/>
      <c r="X58" s="6">
        <f t="shared" si="34"/>
        <v>0</v>
      </c>
      <c r="Y58" s="2"/>
      <c r="Z58" s="7">
        <f t="shared" si="35"/>
        <v>0</v>
      </c>
    </row>
    <row r="59" spans="1:26" s="26" customFormat="1" outlineLevel="1" collapsed="1" x14ac:dyDescent="0.25">
      <c r="A59" s="25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SUM(OSRRefD22_9x_0)</f>
        <v>0</v>
      </c>
      <c r="E59" s="1"/>
      <c r="F59" s="5">
        <f t="shared" si="28"/>
        <v>0</v>
      </c>
      <c r="G59" s="1"/>
      <c r="H59" s="1">
        <f>SUM(OSRRefH22_9x_0)</f>
        <v>0</v>
      </c>
      <c r="I59" s="1"/>
      <c r="J59" s="5">
        <f t="shared" si="29"/>
        <v>0</v>
      </c>
      <c r="K59" s="1"/>
      <c r="L59" s="1">
        <f t="shared" si="30"/>
        <v>0</v>
      </c>
      <c r="M59" s="1"/>
      <c r="N59" s="5">
        <f t="shared" si="31"/>
        <v>0</v>
      </c>
      <c r="O59" s="13"/>
      <c r="P59" s="1">
        <f>SUM(OSRRefP22_9x_0)</f>
        <v>36.42</v>
      </c>
      <c r="Q59" s="1"/>
      <c r="R59" s="5">
        <f t="shared" si="32"/>
        <v>1.6175070938034201E-3</v>
      </c>
      <c r="S59" s="1"/>
      <c r="T59" s="1">
        <f>SUM(OSRRefT22_9x_0)</f>
        <v>0</v>
      </c>
      <c r="U59" s="1"/>
      <c r="V59" s="5">
        <f t="shared" si="33"/>
        <v>0</v>
      </c>
      <c r="W59" s="1"/>
      <c r="X59" s="1">
        <f t="shared" si="34"/>
        <v>36.42</v>
      </c>
      <c r="Y59" s="1"/>
      <c r="Z59" s="5">
        <f t="shared" si="35"/>
        <v>0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>
        <v>0</v>
      </c>
      <c r="I60" s="2"/>
      <c r="J60" s="7">
        <f t="shared" si="29"/>
        <v>0</v>
      </c>
      <c r="K60" s="2"/>
      <c r="L60" s="6">
        <f t="shared" si="30"/>
        <v>0</v>
      </c>
      <c r="M60" s="2"/>
      <c r="N60" s="7">
        <f t="shared" si="31"/>
        <v>0</v>
      </c>
      <c r="O60" s="11"/>
      <c r="P60" s="6"/>
      <c r="Q60" s="2"/>
      <c r="R60" s="7">
        <f t="shared" si="32"/>
        <v>0</v>
      </c>
      <c r="S60" s="2"/>
      <c r="T60" s="6">
        <v>0</v>
      </c>
      <c r="U60" s="2"/>
      <c r="V60" s="7">
        <f t="shared" si="33"/>
        <v>0</v>
      </c>
      <c r="W60" s="2"/>
      <c r="X60" s="6">
        <f t="shared" si="34"/>
        <v>0</v>
      </c>
      <c r="Y60" s="2"/>
      <c r="Z60" s="7">
        <f t="shared" si="35"/>
        <v>0</v>
      </c>
    </row>
    <row r="61" spans="1:26" s="24" customFormat="1" hidden="1" outlineLevel="2" x14ac:dyDescent="0.2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6"/>
      <c r="E61" s="2"/>
      <c r="F61" s="7">
        <f t="shared" si="28"/>
        <v>0</v>
      </c>
      <c r="G61" s="2"/>
      <c r="H61" s="6"/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>
        <v>36.42</v>
      </c>
      <c r="Q61" s="2"/>
      <c r="R61" s="7">
        <f t="shared" si="32"/>
        <v>1.6175070938034201E-3</v>
      </c>
      <c r="S61" s="2"/>
      <c r="T61" s="6"/>
      <c r="U61" s="2"/>
      <c r="V61" s="7">
        <f t="shared" si="33"/>
        <v>0</v>
      </c>
      <c r="W61" s="2"/>
      <c r="X61" s="6">
        <f t="shared" si="34"/>
        <v>36.42</v>
      </c>
      <c r="Y61" s="2"/>
      <c r="Z61" s="7">
        <f t="shared" si="35"/>
        <v>0</v>
      </c>
    </row>
    <row r="62" spans="1:26" s="26" customFormat="1" outlineLevel="1" collapsed="1" x14ac:dyDescent="0.25">
      <c r="A62" s="25"/>
      <c r="B62" s="13" t="str">
        <f>CONCATENATE("     ","Royalty &amp; Commissions                             ")</f>
        <v xml:space="preserve">     Royalty &amp; Commissions                             </v>
      </c>
      <c r="C62" s="13"/>
      <c r="D62" s="1">
        <f>SUM(OSRRefD22_10x_0)</f>
        <v>0</v>
      </c>
      <c r="E62" s="1"/>
      <c r="F62" s="5">
        <f t="shared" ref="F62:F66" si="36">IF(D$12=0,0,D62/D$12)</f>
        <v>0</v>
      </c>
      <c r="G62" s="1"/>
      <c r="H62" s="1">
        <f>SUM(OSRRefH22_10x_0)</f>
        <v>1530</v>
      </c>
      <c r="I62" s="1"/>
      <c r="J62" s="5">
        <f t="shared" ref="J62:J66" si="37">IF(H$12=0,0,H62/H$12)</f>
        <v>8.91037213907169E-2</v>
      </c>
      <c r="K62" s="1"/>
      <c r="L62" s="1">
        <f t="shared" ref="L62:L66" si="38">+D62-H62</f>
        <v>-1530</v>
      </c>
      <c r="M62" s="1"/>
      <c r="N62" s="5">
        <f t="shared" ref="N62:N66" si="39">IF(H62=0,0,L62/H62)</f>
        <v>-1</v>
      </c>
      <c r="O62" s="13"/>
      <c r="P62" s="1">
        <f>SUM(OSRRefP22_10x_0)</f>
        <v>0</v>
      </c>
      <c r="Q62" s="1"/>
      <c r="R62" s="5">
        <f t="shared" ref="R62:R66" si="40">IF(P$12=0,0,P62/P$12)</f>
        <v>0</v>
      </c>
      <c r="S62" s="1"/>
      <c r="T62" s="1">
        <f>SUM(OSRRefT22_10x_0)</f>
        <v>2063</v>
      </c>
      <c r="U62" s="1"/>
      <c r="V62" s="5">
        <f t="shared" ref="V62:V66" si="41">IF(T$12=0,0,T62/T$12)</f>
        <v>8.9091380203834863E-2</v>
      </c>
      <c r="W62" s="1"/>
      <c r="X62" s="1">
        <f t="shared" ref="X62:X66" si="42">+P62-T62</f>
        <v>-2063</v>
      </c>
      <c r="Y62" s="1"/>
      <c r="Z62" s="5">
        <f t="shared" ref="Z62:Z66" si="43">IF(T62=0,0,X62/T62)</f>
        <v>-1</v>
      </c>
    </row>
    <row r="63" spans="1:26" s="24" customFormat="1" hidden="1" outlineLevel="2" x14ac:dyDescent="0.25">
      <c r="A63" s="27"/>
      <c r="B63" s="11" t="str">
        <f>CONCATENATE("          ", "6259", " - ", "ROYALTY &amp; COMMISSIONS")</f>
        <v xml:space="preserve">          6259 - ROYALTY &amp; COMMISSIONS</v>
      </c>
      <c r="C63" s="11"/>
      <c r="D63" s="6"/>
      <c r="E63" s="2"/>
      <c r="F63" s="7">
        <f t="shared" si="36"/>
        <v>0</v>
      </c>
      <c r="G63" s="2"/>
      <c r="H63" s="6">
        <v>1530</v>
      </c>
      <c r="I63" s="2"/>
      <c r="J63" s="7">
        <f t="shared" si="37"/>
        <v>8.91037213907169E-2</v>
      </c>
      <c r="K63" s="2"/>
      <c r="L63" s="6">
        <f t="shared" si="38"/>
        <v>-1530</v>
      </c>
      <c r="M63" s="2"/>
      <c r="N63" s="7">
        <f t="shared" si="39"/>
        <v>-1</v>
      </c>
      <c r="O63" s="11"/>
      <c r="P63" s="6"/>
      <c r="Q63" s="2"/>
      <c r="R63" s="7">
        <f t="shared" si="40"/>
        <v>0</v>
      </c>
      <c r="S63" s="2"/>
      <c r="T63" s="6">
        <v>2063</v>
      </c>
      <c r="U63" s="2"/>
      <c r="V63" s="7">
        <f t="shared" si="41"/>
        <v>8.9091380203834863E-2</v>
      </c>
      <c r="W63" s="2"/>
      <c r="X63" s="6">
        <f t="shared" si="42"/>
        <v>-2063</v>
      </c>
      <c r="Y63" s="2"/>
      <c r="Z63" s="7">
        <f t="shared" si="43"/>
        <v>-1</v>
      </c>
    </row>
    <row r="64" spans="1:26" s="26" customFormat="1" outlineLevel="1" collapsed="1" x14ac:dyDescent="0.25">
      <c r="A64" s="25"/>
      <c r="B64" s="13" t="str">
        <f>CONCATENATE("     ","Services                                          ")</f>
        <v xml:space="preserve">     Services                                          </v>
      </c>
      <c r="C64" s="13"/>
      <c r="D64" s="1">
        <f>SUM(OSRRefD22_11x_0)</f>
        <v>174.18</v>
      </c>
      <c r="E64" s="1"/>
      <c r="F64" s="5">
        <f t="shared" si="36"/>
        <v>1.0177406368211994E-2</v>
      </c>
      <c r="G64" s="1"/>
      <c r="H64" s="1">
        <f>SUM(OSRRefH22_11x_0)</f>
        <v>102</v>
      </c>
      <c r="I64" s="1"/>
      <c r="J64" s="5">
        <f t="shared" si="37"/>
        <v>5.9402480927144606E-3</v>
      </c>
      <c r="K64" s="1"/>
      <c r="L64" s="1">
        <f t="shared" si="38"/>
        <v>72.180000000000007</v>
      </c>
      <c r="M64" s="1"/>
      <c r="N64" s="5">
        <f t="shared" si="39"/>
        <v>0.70764705882352952</v>
      </c>
      <c r="O64" s="13"/>
      <c r="P64" s="1">
        <f>SUM(OSRRefP22_11x_0)</f>
        <v>291.18</v>
      </c>
      <c r="Q64" s="1"/>
      <c r="R64" s="5">
        <f t="shared" si="40"/>
        <v>1.2932062481429979E-2</v>
      </c>
      <c r="S64" s="1"/>
      <c r="T64" s="1">
        <f>SUM(OSRRefT22_11x_0)</f>
        <v>138</v>
      </c>
      <c r="U64" s="1"/>
      <c r="V64" s="5">
        <f t="shared" si="41"/>
        <v>5.9595785109690796E-3</v>
      </c>
      <c r="W64" s="1"/>
      <c r="X64" s="1">
        <f t="shared" si="42"/>
        <v>153.18</v>
      </c>
      <c r="Y64" s="1"/>
      <c r="Z64" s="5">
        <f t="shared" si="43"/>
        <v>1.1100000000000001</v>
      </c>
    </row>
    <row r="65" spans="1:26" s="24" customFormat="1" hidden="1" outlineLevel="2" x14ac:dyDescent="0.25">
      <c r="A65" s="27"/>
      <c r="B65" s="11" t="str">
        <f>CONCATENATE("          ", "6285", " - ", "JANITORIAL SERVICES")</f>
        <v xml:space="preserve">          6285 - JANITORIAL SERVICES</v>
      </c>
      <c r="C65" s="11"/>
      <c r="D65" s="6">
        <v>22.62</v>
      </c>
      <c r="E65" s="2"/>
      <c r="F65" s="7">
        <f t="shared" si="36"/>
        <v>1.3216955566021089E-3</v>
      </c>
      <c r="G65" s="2"/>
      <c r="H65" s="6">
        <v>102</v>
      </c>
      <c r="I65" s="2"/>
      <c r="J65" s="7">
        <f t="shared" si="37"/>
        <v>5.9402480927144606E-3</v>
      </c>
      <c r="K65" s="2"/>
      <c r="L65" s="6">
        <f t="shared" si="38"/>
        <v>-79.38</v>
      </c>
      <c r="M65" s="2"/>
      <c r="N65" s="7">
        <f t="shared" si="39"/>
        <v>-0.77823529411764703</v>
      </c>
      <c r="O65" s="11"/>
      <c r="P65" s="6">
        <v>45.24</v>
      </c>
      <c r="Q65" s="2"/>
      <c r="R65" s="7">
        <f t="shared" si="40"/>
        <v>2.0092262746750885E-3</v>
      </c>
      <c r="S65" s="2"/>
      <c r="T65" s="6">
        <v>138</v>
      </c>
      <c r="U65" s="2"/>
      <c r="V65" s="7">
        <f t="shared" si="41"/>
        <v>5.9595785109690796E-3</v>
      </c>
      <c r="W65" s="2"/>
      <c r="X65" s="6">
        <f t="shared" si="42"/>
        <v>-92.759999999999991</v>
      </c>
      <c r="Y65" s="2"/>
      <c r="Z65" s="7">
        <f t="shared" si="43"/>
        <v>-0.67217391304347818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6">
        <v>151.56</v>
      </c>
      <c r="E66" s="2"/>
      <c r="F66" s="7">
        <f t="shared" si="36"/>
        <v>8.8557108116098862E-3</v>
      </c>
      <c r="G66" s="2"/>
      <c r="H66" s="6"/>
      <c r="I66" s="2"/>
      <c r="J66" s="7">
        <f t="shared" si="37"/>
        <v>0</v>
      </c>
      <c r="K66" s="2"/>
      <c r="L66" s="6">
        <f t="shared" si="38"/>
        <v>151.56</v>
      </c>
      <c r="M66" s="2"/>
      <c r="N66" s="7">
        <f t="shared" si="39"/>
        <v>0</v>
      </c>
      <c r="O66" s="11"/>
      <c r="P66" s="6">
        <v>245.94</v>
      </c>
      <c r="Q66" s="2"/>
      <c r="R66" s="7">
        <f t="shared" si="40"/>
        <v>1.0922836206754891E-2</v>
      </c>
      <c r="S66" s="2"/>
      <c r="T66" s="6"/>
      <c r="U66" s="2"/>
      <c r="V66" s="7">
        <f t="shared" si="41"/>
        <v>0</v>
      </c>
      <c r="W66" s="2"/>
      <c r="X66" s="6">
        <f t="shared" si="42"/>
        <v>245.94</v>
      </c>
      <c r="Y66" s="2"/>
      <c r="Z66" s="7">
        <f t="shared" si="43"/>
        <v>0</v>
      </c>
    </row>
    <row r="67" spans="1:26" s="26" customFormat="1" outlineLevel="1" collapsed="1" x14ac:dyDescent="0.25">
      <c r="A67" s="25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SUM(OSRRefD22_12x_0)</f>
        <v>1608.1100000000001</v>
      </c>
      <c r="E67" s="1"/>
      <c r="F67" s="5">
        <f t="shared" ref="F67:F70" si="44">IF(D$12=0,0,D67/D$12)</f>
        <v>9.396250404630492E-2</v>
      </c>
      <c r="G67" s="1"/>
      <c r="H67" s="1">
        <f>SUM(OSRRefH22_12x_0)</f>
        <v>272</v>
      </c>
      <c r="I67" s="1"/>
      <c r="J67" s="5">
        <f t="shared" ref="J67:J70" si="45">IF(H$12=0,0,H67/H$12)</f>
        <v>1.5840661580571895E-2</v>
      </c>
      <c r="K67" s="1"/>
      <c r="L67" s="1">
        <f t="shared" ref="L67:L70" si="46">+D67-H67</f>
        <v>1336.1100000000001</v>
      </c>
      <c r="M67" s="1"/>
      <c r="N67" s="5">
        <f t="shared" ref="N67:N70" si="47">IF(H67=0,0,L67/H67)</f>
        <v>4.9121691176470597</v>
      </c>
      <c r="O67" s="13"/>
      <c r="P67" s="1">
        <f>SUM(OSRRefP22_12x_0)</f>
        <v>2724.64</v>
      </c>
      <c r="Q67" s="1"/>
      <c r="R67" s="5">
        <f t="shared" ref="R67:R70" si="48">IF(P$12=0,0,P67/P$12)</f>
        <v>0.1210083615612452</v>
      </c>
      <c r="S67" s="1"/>
      <c r="T67" s="1">
        <f>SUM(OSRRefT22_12x_0)</f>
        <v>367</v>
      </c>
      <c r="U67" s="1"/>
      <c r="V67" s="5">
        <f t="shared" ref="V67:V70" si="49">IF(T$12=0,0,T67/T$12)</f>
        <v>1.5849024011055451E-2</v>
      </c>
      <c r="W67" s="1"/>
      <c r="X67" s="1">
        <f t="shared" ref="X67:X70" si="50">+P67-T67</f>
        <v>2357.64</v>
      </c>
      <c r="Y67" s="1"/>
      <c r="Z67" s="5">
        <f t="shared" ref="Z67:Z70" si="51">IF(T67=0,0,X67/T67)</f>
        <v>6.4240871934604904</v>
      </c>
    </row>
    <row r="68" spans="1:26" s="24" customFormat="1" hidden="1" outlineLevel="2" x14ac:dyDescent="0.25">
      <c r="A68" s="27"/>
      <c r="B68" s="11" t="str">
        <f>CONCATENATE("          ", "6234", " - ", "EXPENDABLE SUPPLIES &amp; EQUIPMEN")</f>
        <v xml:space="preserve">          6234 - EXPENDABLE SUPPLIES &amp; EQUIPMEN</v>
      </c>
      <c r="C68" s="11"/>
      <c r="D68" s="6">
        <v>354.71</v>
      </c>
      <c r="E68" s="2"/>
      <c r="F68" s="7">
        <f t="shared" si="44"/>
        <v>2.0725845750766313E-2</v>
      </c>
      <c r="G68" s="2"/>
      <c r="H68" s="6"/>
      <c r="I68" s="2"/>
      <c r="J68" s="7">
        <f t="shared" si="45"/>
        <v>0</v>
      </c>
      <c r="K68" s="2"/>
      <c r="L68" s="6">
        <f t="shared" si="46"/>
        <v>354.71</v>
      </c>
      <c r="M68" s="2"/>
      <c r="N68" s="7">
        <f t="shared" si="47"/>
        <v>0</v>
      </c>
      <c r="O68" s="11"/>
      <c r="P68" s="6">
        <v>354.71</v>
      </c>
      <c r="Q68" s="2"/>
      <c r="R68" s="7">
        <f t="shared" si="48"/>
        <v>1.5753595311450055E-2</v>
      </c>
      <c r="S68" s="2"/>
      <c r="T68" s="6"/>
      <c r="U68" s="2"/>
      <c r="V68" s="7">
        <f t="shared" si="49"/>
        <v>0</v>
      </c>
      <c r="W68" s="2"/>
      <c r="X68" s="6">
        <f t="shared" si="50"/>
        <v>354.71</v>
      </c>
      <c r="Y68" s="2"/>
      <c r="Z68" s="7">
        <f t="shared" si="51"/>
        <v>0</v>
      </c>
    </row>
    <row r="69" spans="1:26" s="24" customFormat="1" hidden="1" outlineLevel="2" x14ac:dyDescent="0.25">
      <c r="A69" s="27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>
        <v>20.93</v>
      </c>
      <c r="Q69" s="2"/>
      <c r="R69" s="7">
        <f t="shared" si="48"/>
        <v>9.2955583397324494E-4</v>
      </c>
      <c r="S69" s="2"/>
      <c r="T69" s="6"/>
      <c r="U69" s="2"/>
      <c r="V69" s="7">
        <f t="shared" si="49"/>
        <v>0</v>
      </c>
      <c r="W69" s="2"/>
      <c r="X69" s="6">
        <f t="shared" si="50"/>
        <v>20.93</v>
      </c>
      <c r="Y69" s="2"/>
      <c r="Z69" s="7">
        <f t="shared" si="51"/>
        <v>0</v>
      </c>
    </row>
    <row r="70" spans="1:26" s="24" customFormat="1" hidden="1" outlineLevel="2" x14ac:dyDescent="0.25">
      <c r="A70" s="27"/>
      <c r="B70" s="11" t="str">
        <f>CONCATENATE("          ", "6247", " - ", "STORE SUPPLIES")</f>
        <v xml:space="preserve">          6247 - STORE SUPPLIES</v>
      </c>
      <c r="C70" s="11"/>
      <c r="D70" s="6">
        <v>1253.4000000000001</v>
      </c>
      <c r="E70" s="2"/>
      <c r="F70" s="7">
        <f t="shared" si="44"/>
        <v>7.3236658295538604E-2</v>
      </c>
      <c r="G70" s="2"/>
      <c r="H70" s="6">
        <v>272</v>
      </c>
      <c r="I70" s="2"/>
      <c r="J70" s="7">
        <f t="shared" si="45"/>
        <v>1.5840661580571895E-2</v>
      </c>
      <c r="K70" s="2"/>
      <c r="L70" s="6">
        <f t="shared" si="46"/>
        <v>981.40000000000009</v>
      </c>
      <c r="M70" s="2"/>
      <c r="N70" s="7">
        <f t="shared" si="47"/>
        <v>3.6080882352941179</v>
      </c>
      <c r="O70" s="11"/>
      <c r="P70" s="6">
        <v>2349</v>
      </c>
      <c r="Q70" s="2"/>
      <c r="R70" s="7">
        <f t="shared" si="48"/>
        <v>0.10432521041582189</v>
      </c>
      <c r="S70" s="2"/>
      <c r="T70" s="6">
        <v>367</v>
      </c>
      <c r="U70" s="2"/>
      <c r="V70" s="7">
        <f t="shared" si="49"/>
        <v>1.5849024011055451E-2</v>
      </c>
      <c r="W70" s="2"/>
      <c r="X70" s="6">
        <f t="shared" si="50"/>
        <v>1982</v>
      </c>
      <c r="Y70" s="2"/>
      <c r="Z70" s="7">
        <f t="shared" si="51"/>
        <v>5.400544959128065</v>
      </c>
    </row>
    <row r="71" spans="1:26" s="26" customFormat="1" outlineLevel="1" collapsed="1" x14ac:dyDescent="0.25">
      <c r="A71" s="25"/>
      <c r="B71" s="13" t="str">
        <f>CONCATENATE("     ","Telephone/Data Lines                              ")</f>
        <v xml:space="preserve">     Telephone/Data Lines                              </v>
      </c>
      <c r="C71" s="13"/>
      <c r="D71" s="1">
        <f>SUM(OSRRefD22_13x_0)</f>
        <v>52.5</v>
      </c>
      <c r="E71" s="1"/>
      <c r="F71" s="5">
        <f t="shared" ref="F71:F74" si="52">IF(D$12=0,0,D71/D$12)</f>
        <v>3.0675957878696157E-3</v>
      </c>
      <c r="G71" s="1"/>
      <c r="H71" s="1">
        <f>SUM(OSRRefH22_13x_0)</f>
        <v>75</v>
      </c>
      <c r="I71" s="1"/>
      <c r="J71" s="5">
        <f t="shared" ref="J71:J74" si="53">IF(H$12=0,0,H71/H$12)</f>
        <v>4.3678294799371032E-3</v>
      </c>
      <c r="K71" s="1"/>
      <c r="L71" s="1">
        <f t="shared" ref="L71:L74" si="54">+D71-H71</f>
        <v>-22.5</v>
      </c>
      <c r="M71" s="1"/>
      <c r="N71" s="5">
        <f t="shared" ref="N71:N74" si="55">IF(H71=0,0,L71/H71)</f>
        <v>-0.3</v>
      </c>
      <c r="O71" s="13"/>
      <c r="P71" s="1">
        <f>SUM(OSRRefP22_13x_0)</f>
        <v>97.5</v>
      </c>
      <c r="Q71" s="1"/>
      <c r="R71" s="5">
        <f t="shared" ref="R71:R74" si="56">IF(P$12=0,0,P71/P$12)</f>
        <v>4.3302290402480355E-3</v>
      </c>
      <c r="S71" s="1"/>
      <c r="T71" s="1">
        <f>SUM(OSRRefT22_13x_0)</f>
        <v>150</v>
      </c>
      <c r="U71" s="1"/>
      <c r="V71" s="5">
        <f t="shared" ref="V71:V74" si="57">IF(T$12=0,0,T71/T$12)</f>
        <v>6.477802729314217E-3</v>
      </c>
      <c r="W71" s="1"/>
      <c r="X71" s="1">
        <f t="shared" ref="X71:X74" si="58">+P71-T71</f>
        <v>-52.5</v>
      </c>
      <c r="Y71" s="1"/>
      <c r="Z71" s="5">
        <f t="shared" ref="Z71:Z74" si="59">IF(T71=0,0,X71/T71)</f>
        <v>-0.35</v>
      </c>
    </row>
    <row r="72" spans="1:26" s="24" customFormat="1" hidden="1" outlineLevel="2" x14ac:dyDescent="0.25">
      <c r="A72" s="27"/>
      <c r="B72" s="11" t="str">
        <f>CONCATENATE("          ", "6309", " - ", "TELEPHONE")</f>
        <v xml:space="preserve">          6309 - TELEPHONE</v>
      </c>
      <c r="C72" s="11"/>
      <c r="D72" s="6">
        <v>52.5</v>
      </c>
      <c r="E72" s="2"/>
      <c r="F72" s="7">
        <f t="shared" si="52"/>
        <v>3.0675957878696157E-3</v>
      </c>
      <c r="G72" s="2"/>
      <c r="H72" s="6">
        <v>75</v>
      </c>
      <c r="I72" s="2"/>
      <c r="J72" s="7">
        <f t="shared" si="53"/>
        <v>4.3678294799371032E-3</v>
      </c>
      <c r="K72" s="2"/>
      <c r="L72" s="6">
        <f t="shared" si="54"/>
        <v>-22.5</v>
      </c>
      <c r="M72" s="2"/>
      <c r="N72" s="7">
        <f t="shared" si="55"/>
        <v>-0.3</v>
      </c>
      <c r="O72" s="11"/>
      <c r="P72" s="6">
        <v>97.5</v>
      </c>
      <c r="Q72" s="2"/>
      <c r="R72" s="7">
        <f t="shared" si="56"/>
        <v>4.3302290402480355E-3</v>
      </c>
      <c r="S72" s="2"/>
      <c r="T72" s="6">
        <v>150</v>
      </c>
      <c r="U72" s="2"/>
      <c r="V72" s="7">
        <f t="shared" si="57"/>
        <v>6.477802729314217E-3</v>
      </c>
      <c r="W72" s="2"/>
      <c r="X72" s="6">
        <f t="shared" si="58"/>
        <v>-52.5</v>
      </c>
      <c r="Y72" s="2"/>
      <c r="Z72" s="7">
        <f t="shared" si="59"/>
        <v>-0.35</v>
      </c>
    </row>
    <row r="73" spans="1:26" s="26" customFormat="1" outlineLevel="1" collapsed="1" x14ac:dyDescent="0.25">
      <c r="A73" s="25"/>
      <c r="B73" s="13" t="str">
        <f>CONCATENATE("     ","Utilities                                         ")</f>
        <v xml:space="preserve">     Utilities                                         </v>
      </c>
      <c r="C73" s="13"/>
      <c r="D73" s="1">
        <f>SUM(OSRRefD22_14x_0)</f>
        <v>-902.88</v>
      </c>
      <c r="E73" s="1"/>
      <c r="F73" s="5">
        <f t="shared" si="52"/>
        <v>-5.275563590384226E-2</v>
      </c>
      <c r="G73" s="1"/>
      <c r="H73" s="1">
        <f>SUM(OSRRefH22_14x_0)</f>
        <v>17</v>
      </c>
      <c r="I73" s="1"/>
      <c r="J73" s="5">
        <f t="shared" si="53"/>
        <v>9.9004134878574344E-4</v>
      </c>
      <c r="K73" s="1"/>
      <c r="L73" s="1">
        <f t="shared" si="54"/>
        <v>-919.88</v>
      </c>
      <c r="M73" s="1"/>
      <c r="N73" s="5">
        <f t="shared" si="55"/>
        <v>-54.110588235294117</v>
      </c>
      <c r="O73" s="13"/>
      <c r="P73" s="1">
        <f>SUM(OSRRefP22_14x_0)</f>
        <v>-896.88</v>
      </c>
      <c r="Q73" s="1"/>
      <c r="R73" s="5">
        <f t="shared" si="56"/>
        <v>-3.9832777657617002E-2</v>
      </c>
      <c r="S73" s="1"/>
      <c r="T73" s="1">
        <f>SUM(OSRRefT22_14x_0)</f>
        <v>23</v>
      </c>
      <c r="U73" s="1"/>
      <c r="V73" s="5">
        <f t="shared" si="57"/>
        <v>9.9326308516151313E-4</v>
      </c>
      <c r="W73" s="1"/>
      <c r="X73" s="1">
        <f t="shared" si="58"/>
        <v>-919.88</v>
      </c>
      <c r="Y73" s="1"/>
      <c r="Z73" s="5">
        <f t="shared" si="59"/>
        <v>-39.994782608695651</v>
      </c>
    </row>
    <row r="74" spans="1:26" s="24" customFormat="1" hidden="1" outlineLevel="2" x14ac:dyDescent="0.25">
      <c r="A74" s="27"/>
      <c r="B74" s="11" t="str">
        <f>CONCATENATE("          ", "6274", " - ", "UTILITIES")</f>
        <v xml:space="preserve">          6274 - UTILITIES</v>
      </c>
      <c r="C74" s="11"/>
      <c r="D74" s="6">
        <v>-902.88</v>
      </c>
      <c r="E74" s="2"/>
      <c r="F74" s="7">
        <f t="shared" si="52"/>
        <v>-5.275563590384226E-2</v>
      </c>
      <c r="G74" s="2"/>
      <c r="H74" s="6">
        <v>17</v>
      </c>
      <c r="I74" s="2"/>
      <c r="J74" s="7">
        <f t="shared" si="53"/>
        <v>9.9004134878574344E-4</v>
      </c>
      <c r="K74" s="2"/>
      <c r="L74" s="6">
        <f t="shared" si="54"/>
        <v>-919.88</v>
      </c>
      <c r="M74" s="2"/>
      <c r="N74" s="7">
        <f t="shared" si="55"/>
        <v>-54.110588235294117</v>
      </c>
      <c r="O74" s="11"/>
      <c r="P74" s="6">
        <v>-896.88</v>
      </c>
      <c r="Q74" s="2"/>
      <c r="R74" s="7">
        <f t="shared" si="56"/>
        <v>-3.9832777657617002E-2</v>
      </c>
      <c r="S74" s="2"/>
      <c r="T74" s="6">
        <v>23</v>
      </c>
      <c r="U74" s="2"/>
      <c r="V74" s="7">
        <f t="shared" si="57"/>
        <v>9.9326308516151313E-4</v>
      </c>
      <c r="W74" s="2"/>
      <c r="X74" s="6">
        <f t="shared" si="58"/>
        <v>-919.88</v>
      </c>
      <c r="Y74" s="2"/>
      <c r="Z74" s="7">
        <f t="shared" si="59"/>
        <v>-39.994782608695651</v>
      </c>
    </row>
    <row r="75" spans="1:26" s="63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8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9" t="s">
        <v>3</v>
      </c>
      <c r="C78" s="29"/>
      <c r="D78" s="22">
        <f>+D22-D24+D76</f>
        <v>383.57999999999993</v>
      </c>
      <c r="E78" s="14"/>
      <c r="F78" s="20">
        <f>IF(D$12=0,0,D78/D$12)</f>
        <v>2.2412731282114802E-2</v>
      </c>
      <c r="G78" s="14"/>
      <c r="H78" s="22">
        <f>+H22-H24+H76</f>
        <v>-316.08910538462078</v>
      </c>
      <c r="I78" s="14"/>
      <c r="J78" s="20">
        <f>IF(H$12=0,0,H78/H$12)</f>
        <v>-1.8408310837145232E-2</v>
      </c>
      <c r="K78" s="15"/>
      <c r="L78" s="22">
        <f>+D78-H78</f>
        <v>699.66910538462071</v>
      </c>
      <c r="M78" s="15"/>
      <c r="N78" s="20">
        <f>IF(H78=0,0,L78/H78)</f>
        <v>-2.2135185726608815</v>
      </c>
      <c r="O78" s="28"/>
      <c r="P78" s="22">
        <f>+P22-P24+P76</f>
        <v>-6552.7999999999956</v>
      </c>
      <c r="Q78" s="14"/>
      <c r="R78" s="20">
        <f>IF(P$12=0,0,P78/P$12)</f>
        <v>-0.2910269215891006</v>
      </c>
      <c r="S78" s="14"/>
      <c r="T78" s="22">
        <f>+T22-T24+T76</f>
        <v>-4762.4932871153906</v>
      </c>
      <c r="U78" s="14"/>
      <c r="V78" s="20">
        <f>IF(T$12=0,0,T78/T$12)</f>
        <v>-0.20566994675744474</v>
      </c>
      <c r="W78" s="15"/>
      <c r="X78" s="22">
        <f>+P78-T78</f>
        <v>-1790.3067128846051</v>
      </c>
      <c r="Y78" s="15"/>
      <c r="Z78" s="20">
        <f>IF(T78=0,0,X78/T78)</f>
        <v>0.37591794989573235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>
        <v>1684.17</v>
      </c>
      <c r="E80" s="4"/>
      <c r="F80" s="12">
        <f>IF(D$12=0,0,D80/D$12)</f>
        <v>9.8406719962978506E-2</v>
      </c>
      <c r="G80" s="4"/>
      <c r="H80" s="4">
        <v>2302</v>
      </c>
      <c r="I80" s="4"/>
      <c r="J80" s="12">
        <f>IF(H$12=0,0,H80/H$12)</f>
        <v>0.13406324617086948</v>
      </c>
      <c r="K80" s="4"/>
      <c r="L80" s="4">
        <f>+D80-H80</f>
        <v>-617.82999999999993</v>
      </c>
      <c r="M80" s="4"/>
      <c r="N80" s="12">
        <f>IF(H80=0,0,L80/H80)</f>
        <v>-0.26838835794960902</v>
      </c>
      <c r="O80" s="10"/>
      <c r="P80" s="4">
        <v>2807.35</v>
      </c>
      <c r="Q80" s="4"/>
      <c r="R80" s="12">
        <f>IF(P$12=0,0,P80/P$12)</f>
        <v>0.12468172816554177</v>
      </c>
      <c r="S80" s="4"/>
      <c r="T80" s="4">
        <v>3761</v>
      </c>
      <c r="U80" s="4"/>
      <c r="V80" s="12">
        <f>IF(T$12=0,0,T80/T$12)</f>
        <v>0.16242010709967178</v>
      </c>
      <c r="W80" s="4"/>
      <c r="X80" s="4">
        <f>+P80-T80</f>
        <v>-953.65000000000009</v>
      </c>
      <c r="Y80" s="4"/>
      <c r="Z80" s="12">
        <f>IF(T80=0,0,X80/T80)</f>
        <v>-0.25356288221217765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9" t="s">
        <v>4</v>
      </c>
      <c r="C82" s="29"/>
      <c r="D82" s="31">
        <f>+D78-D80</f>
        <v>-1300.5900000000001</v>
      </c>
      <c r="E82" s="14"/>
      <c r="F82" s="32">
        <f>IF(D$12=0,0,D82/D$12)</f>
        <v>-7.5993988680863697E-2</v>
      </c>
      <c r="G82" s="14"/>
      <c r="H82" s="31">
        <f>+H78-H80</f>
        <v>-2618.0891053846208</v>
      </c>
      <c r="I82" s="14"/>
      <c r="J82" s="32">
        <f>IF(H$12=0,0,H82/H$12)</f>
        <v>-0.15247155700801471</v>
      </c>
      <c r="K82" s="15"/>
      <c r="L82" s="31">
        <f>D82-H82</f>
        <v>1317.4991053846206</v>
      </c>
      <c r="M82" s="15"/>
      <c r="N82" s="32">
        <f>IF(H82=0,0,L82/H82)</f>
        <v>-0.5032292837837038</v>
      </c>
      <c r="O82" s="28"/>
      <c r="P82" s="31">
        <f>+P78-P80</f>
        <v>-9360.149999999996</v>
      </c>
      <c r="Q82" s="14"/>
      <c r="R82" s="32">
        <f>IF(P$12=0,0,P82/P$12)</f>
        <v>-0.41570864975464239</v>
      </c>
      <c r="S82" s="14"/>
      <c r="T82" s="31">
        <f>+T78-T80</f>
        <v>-8523.4932871153906</v>
      </c>
      <c r="U82" s="14"/>
      <c r="V82" s="32">
        <f>IF(T$12=0,0,T82/T$12)</f>
        <v>-0.36809005385711652</v>
      </c>
      <c r="W82" s="15"/>
      <c r="X82" s="31">
        <f>P82-T82</f>
        <v>-836.65671288460544</v>
      </c>
      <c r="Y82" s="15"/>
      <c r="Z82" s="32">
        <f>IF(T82=0,0,X82/T82)</f>
        <v>9.81588985527031E-2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9" t="s">
        <v>5</v>
      </c>
      <c r="C85" s="29"/>
      <c r="D85" s="33">
        <f>SUM(D82:D84)</f>
        <v>-1300.5900000000001</v>
      </c>
      <c r="E85" s="14"/>
      <c r="F85" s="35">
        <f>IF(D$12=0,0,D85/D$12)</f>
        <v>-7.5993988680863697E-2</v>
      </c>
      <c r="G85" s="14"/>
      <c r="H85" s="33">
        <f>SUM(H82:H84)</f>
        <v>-2618.0891053846208</v>
      </c>
      <c r="I85" s="14"/>
      <c r="J85" s="35">
        <f>IF(H$12=0,0,H85/H$12)</f>
        <v>-0.15247155700801471</v>
      </c>
      <c r="K85" s="15"/>
      <c r="L85" s="33">
        <f>+D85-H85</f>
        <v>1317.4991053846206</v>
      </c>
      <c r="M85" s="15"/>
      <c r="N85" s="35">
        <f>IF(H85=0,0,L85/H85)</f>
        <v>-0.5032292837837038</v>
      </c>
      <c r="O85" s="28"/>
      <c r="P85" s="33">
        <f>SUM(P82:P84)</f>
        <v>-9360.149999999996</v>
      </c>
      <c r="Q85" s="14"/>
      <c r="R85" s="35">
        <f>IF(P$12=0,0,P85/P$12)</f>
        <v>-0.41570864975464239</v>
      </c>
      <c r="S85" s="14"/>
      <c r="T85" s="33">
        <f>SUM(T82:T84)</f>
        <v>-8523.4932871153906</v>
      </c>
      <c r="U85" s="14"/>
      <c r="V85" s="35">
        <f>IF(T$12=0,0,T85/T$12)</f>
        <v>-0.36809005385711652</v>
      </c>
      <c r="W85" s="15"/>
      <c r="X85" s="33">
        <f>+P85-T85</f>
        <v>-836.65671288460544</v>
      </c>
      <c r="Y85" s="15"/>
      <c r="Z85" s="35">
        <f>IF(T85=0,0,X85/T85)</f>
        <v>9.81588985527031E-2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61">
        <v>43732.706129629631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A88" s="9"/>
      <c r="B88" s="62" t="s">
        <v>314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58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299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","322", " - ", "Beach Hut")</f>
        <v>Department 322 - Beach Hut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33054.78</v>
      </c>
      <c r="E12" s="4"/>
      <c r="F12" s="12"/>
      <c r="G12" s="4"/>
      <c r="H12" s="4">
        <f>SUM(OSRRefH13x_0)</f>
        <v>38285</v>
      </c>
      <c r="I12" s="4"/>
      <c r="J12" s="12"/>
      <c r="K12" s="4"/>
      <c r="L12" s="4">
        <f t="shared" ref="L12:L15" si="0">+D12-H12</f>
        <v>-5230.2200000000012</v>
      </c>
      <c r="M12" s="4"/>
      <c r="N12" s="12">
        <f t="shared" ref="N12:N15" si="1">IF(H12=0,0,L12/H12)</f>
        <v>-0.13661277262635499</v>
      </c>
      <c r="O12" s="10"/>
      <c r="P12" s="4">
        <f>SUM(OSRRefP13x_0)</f>
        <v>47415.990000000005</v>
      </c>
      <c r="Q12" s="4"/>
      <c r="R12" s="12"/>
      <c r="S12" s="4"/>
      <c r="T12" s="4">
        <f>SUM(OSRRefT13x_0)</f>
        <v>56639</v>
      </c>
      <c r="U12" s="4"/>
      <c r="V12" s="12"/>
      <c r="W12" s="4"/>
      <c r="X12" s="4">
        <f t="shared" ref="X12:X15" si="2">+P12-T12</f>
        <v>-9223.0099999999948</v>
      </c>
      <c r="Y12" s="4"/>
      <c r="Z12" s="12">
        <f t="shared" ref="Z12:Z15" si="3">IF(T12=0,0,X12/T12)</f>
        <v>-0.16283850350465218</v>
      </c>
    </row>
    <row r="13" spans="1:26" s="24" customFormat="1" hidden="1" outlineLevel="1" x14ac:dyDescent="0.25">
      <c r="A13" s="46"/>
      <c r="B13" s="11" t="str">
        <f>CONCATENATE("          ", "4051", " - ", "TAXABLE SALES-FOOD")</f>
        <v xml:space="preserve">          4051 - TAXABLE SALES-FOOD</v>
      </c>
      <c r="C13" s="11"/>
      <c r="D13" s="2">
        <f>--4645.94</f>
        <v>4645.9399999999996</v>
      </c>
      <c r="E13" s="2"/>
      <c r="F13" s="21"/>
      <c r="G13" s="2"/>
      <c r="H13" s="2"/>
      <c r="I13" s="2"/>
      <c r="J13" s="21"/>
      <c r="K13" s="2"/>
      <c r="L13" s="2">
        <f t="shared" si="0"/>
        <v>4645.9399999999996</v>
      </c>
      <c r="M13" s="2"/>
      <c r="N13" s="21">
        <f t="shared" si="1"/>
        <v>0</v>
      </c>
      <c r="O13" s="11"/>
      <c r="P13" s="2">
        <f>--7479.58</f>
        <v>7479.58</v>
      </c>
      <c r="Q13" s="2"/>
      <c r="R13" s="21"/>
      <c r="S13" s="2"/>
      <c r="T13" s="2"/>
      <c r="U13" s="2"/>
      <c r="V13" s="21"/>
      <c r="W13" s="2"/>
      <c r="X13" s="2">
        <f t="shared" si="2"/>
        <v>7479.58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1"/>
      <c r="G14" s="2"/>
      <c r="H14" s="2">
        <v>38285</v>
      </c>
      <c r="I14" s="2"/>
      <c r="J14" s="21"/>
      <c r="K14" s="2"/>
      <c r="L14" s="2">
        <f t="shared" si="0"/>
        <v>-38285</v>
      </c>
      <c r="M14" s="2"/>
      <c r="N14" s="21">
        <f t="shared" si="1"/>
        <v>-1</v>
      </c>
      <c r="O14" s="11"/>
      <c r="P14" s="2">
        <f>0</f>
        <v>0</v>
      </c>
      <c r="Q14" s="2"/>
      <c r="R14" s="21"/>
      <c r="S14" s="2"/>
      <c r="T14" s="2">
        <v>56639</v>
      </c>
      <c r="U14" s="2"/>
      <c r="V14" s="21"/>
      <c r="W14" s="2"/>
      <c r="X14" s="2">
        <f t="shared" si="2"/>
        <v>-56639</v>
      </c>
      <c r="Y14" s="2"/>
      <c r="Z14" s="21">
        <f t="shared" si="3"/>
        <v>-1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--28408.84</f>
        <v>28408.84</v>
      </c>
      <c r="E15" s="2"/>
      <c r="F15" s="21"/>
      <c r="G15" s="2"/>
      <c r="H15" s="2"/>
      <c r="I15" s="2"/>
      <c r="J15" s="21"/>
      <c r="K15" s="2"/>
      <c r="L15" s="2">
        <f t="shared" si="0"/>
        <v>28408.84</v>
      </c>
      <c r="M15" s="2"/>
      <c r="N15" s="21">
        <f t="shared" si="1"/>
        <v>0</v>
      </c>
      <c r="O15" s="11"/>
      <c r="P15" s="2">
        <f>--39936.41</f>
        <v>39936.410000000003</v>
      </c>
      <c r="Q15" s="2"/>
      <c r="R15" s="21"/>
      <c r="S15" s="2"/>
      <c r="T15" s="2"/>
      <c r="U15" s="2"/>
      <c r="V15" s="21"/>
      <c r="W15" s="2"/>
      <c r="X15" s="2">
        <f t="shared" si="2"/>
        <v>39936.410000000003</v>
      </c>
      <c r="Y15" s="2"/>
      <c r="Z15" s="21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19108.699999999997</v>
      </c>
      <c r="E17" s="4"/>
      <c r="F17" s="12">
        <f t="shared" ref="F17:F20" si="4">IF(D$12=0,0,D17/D$12)</f>
        <v>0.57809188262635536</v>
      </c>
      <c r="G17" s="4"/>
      <c r="H17" s="4">
        <f>SUM(OSRRefH16x_0)</f>
        <v>18377</v>
      </c>
      <c r="I17" s="4"/>
      <c r="J17" s="12">
        <f t="shared" ref="J17:J20" si="5">IF(H$12=0,0,H17/H$12)</f>
        <v>0.48000522397805928</v>
      </c>
      <c r="K17" s="4"/>
      <c r="L17" s="4">
        <f t="shared" ref="L17:L20" si="6">+D17-H17</f>
        <v>731.69999999999709</v>
      </c>
      <c r="M17" s="4"/>
      <c r="N17" s="12">
        <f t="shared" ref="N17:N20" si="7">IF(H17=0,0,L17/H17)</f>
        <v>3.9816074440877022E-2</v>
      </c>
      <c r="O17" s="10"/>
      <c r="P17" s="4">
        <f>SUM(OSRRefP16x_0)</f>
        <v>25900.330000000005</v>
      </c>
      <c r="Q17" s="4"/>
      <c r="R17" s="12">
        <f t="shared" ref="R17:R20" si="8">IF(P$12=0,0,P17/P$12)</f>
        <v>0.54623619584870009</v>
      </c>
      <c r="S17" s="4"/>
      <c r="T17" s="4">
        <f>SUM(OSRRefT16x_0)</f>
        <v>27187</v>
      </c>
      <c r="U17" s="4"/>
      <c r="V17" s="12">
        <f t="shared" ref="V17:V20" si="9">IF(T$12=0,0,T17/T$12)</f>
        <v>0.48000494359010576</v>
      </c>
      <c r="W17" s="4"/>
      <c r="X17" s="4">
        <f t="shared" ref="X17:X20" si="10">+P17-T17</f>
        <v>-1286.6699999999946</v>
      </c>
      <c r="Y17" s="4"/>
      <c r="Z17" s="12">
        <f t="shared" ref="Z17:Z20" si="11">IF(T17=0,0,X17/T17)</f>
        <v>-4.732666347886838E-2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1">
        <f t="shared" si="4"/>
        <v>0</v>
      </c>
      <c r="G18" s="2"/>
      <c r="H18" s="2">
        <v>18377</v>
      </c>
      <c r="I18" s="2"/>
      <c r="J18" s="21">
        <f t="shared" si="5"/>
        <v>0.48000522397805928</v>
      </c>
      <c r="K18" s="2"/>
      <c r="L18" s="2">
        <f t="shared" si="6"/>
        <v>-18377</v>
      </c>
      <c r="M18" s="2"/>
      <c r="N18" s="21">
        <f t="shared" si="7"/>
        <v>-1</v>
      </c>
      <c r="O18" s="11"/>
      <c r="P18" s="2"/>
      <c r="Q18" s="2"/>
      <c r="R18" s="21">
        <f t="shared" si="8"/>
        <v>0</v>
      </c>
      <c r="S18" s="2"/>
      <c r="T18" s="2">
        <v>27187</v>
      </c>
      <c r="U18" s="2"/>
      <c r="V18" s="21">
        <f t="shared" si="9"/>
        <v>0.48000494359010576</v>
      </c>
      <c r="W18" s="2"/>
      <c r="X18" s="2">
        <f t="shared" si="10"/>
        <v>-27187</v>
      </c>
      <c r="Y18" s="2"/>
      <c r="Z18" s="21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29344.28</v>
      </c>
      <c r="E19" s="2"/>
      <c r="F19" s="21">
        <f t="shared" si="4"/>
        <v>0.88774694613003025</v>
      </c>
      <c r="G19" s="2"/>
      <c r="H19" s="2"/>
      <c r="I19" s="2"/>
      <c r="J19" s="21">
        <f t="shared" si="5"/>
        <v>0</v>
      </c>
      <c r="K19" s="2"/>
      <c r="L19" s="2">
        <f t="shared" si="6"/>
        <v>29344.28</v>
      </c>
      <c r="M19" s="2"/>
      <c r="N19" s="21">
        <f t="shared" si="7"/>
        <v>0</v>
      </c>
      <c r="O19" s="11"/>
      <c r="P19" s="2">
        <v>41620.700000000004</v>
      </c>
      <c r="Q19" s="2"/>
      <c r="R19" s="21">
        <f t="shared" si="8"/>
        <v>0.87777772856793668</v>
      </c>
      <c r="S19" s="2"/>
      <c r="T19" s="2"/>
      <c r="U19" s="2"/>
      <c r="V19" s="21">
        <f t="shared" si="9"/>
        <v>0</v>
      </c>
      <c r="W19" s="2"/>
      <c r="X19" s="2">
        <f t="shared" si="10"/>
        <v>41620.700000000004</v>
      </c>
      <c r="Y19" s="2"/>
      <c r="Z19" s="21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-10235.58</v>
      </c>
      <c r="E20" s="2"/>
      <c r="F20" s="21">
        <f t="shared" si="4"/>
        <v>-0.30965506350367483</v>
      </c>
      <c r="G20" s="2"/>
      <c r="H20" s="2"/>
      <c r="I20" s="2"/>
      <c r="J20" s="21">
        <f t="shared" si="5"/>
        <v>0</v>
      </c>
      <c r="K20" s="2"/>
      <c r="L20" s="2">
        <f t="shared" si="6"/>
        <v>-10235.58</v>
      </c>
      <c r="M20" s="2"/>
      <c r="N20" s="21">
        <f t="shared" si="7"/>
        <v>0</v>
      </c>
      <c r="O20" s="11"/>
      <c r="P20" s="2">
        <v>-15720.369999999999</v>
      </c>
      <c r="Q20" s="2"/>
      <c r="R20" s="21">
        <f t="shared" si="8"/>
        <v>-0.33154153271923664</v>
      </c>
      <c r="S20" s="2"/>
      <c r="T20" s="2"/>
      <c r="U20" s="2"/>
      <c r="V20" s="21">
        <f t="shared" si="9"/>
        <v>0</v>
      </c>
      <c r="W20" s="2"/>
      <c r="X20" s="2">
        <f t="shared" si="10"/>
        <v>-15720.369999999999</v>
      </c>
      <c r="Y20" s="2"/>
      <c r="Z20" s="21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13946.080000000002</v>
      </c>
      <c r="E22" s="14"/>
      <c r="F22" s="20">
        <f>IF(D$12=0,0,D22/D$12)</f>
        <v>0.42190811737364464</v>
      </c>
      <c r="G22" s="14"/>
      <c r="H22" s="22">
        <f>H12-H17</f>
        <v>19908</v>
      </c>
      <c r="I22" s="14"/>
      <c r="J22" s="20">
        <f>IF(H$12=0,0,H22/H$12)</f>
        <v>0.51999477602194066</v>
      </c>
      <c r="K22" s="15"/>
      <c r="L22" s="22">
        <f>+D22-H22</f>
        <v>-5961.9199999999983</v>
      </c>
      <c r="M22" s="15"/>
      <c r="N22" s="20">
        <f>IF(H22=0,0,L22/H22)</f>
        <v>-0.29947357846092015</v>
      </c>
      <c r="O22" s="28"/>
      <c r="P22" s="22">
        <f>P12-P17</f>
        <v>21515.66</v>
      </c>
      <c r="Q22" s="14"/>
      <c r="R22" s="20">
        <f>IF(P$12=0,0,P22/P$12)</f>
        <v>0.45376380415129997</v>
      </c>
      <c r="S22" s="14"/>
      <c r="T22" s="22">
        <f>T12-T17</f>
        <v>29452</v>
      </c>
      <c r="U22" s="14"/>
      <c r="V22" s="20">
        <f>IF(T$12=0,0,T22/T$12)</f>
        <v>0.5199950564098943</v>
      </c>
      <c r="W22" s="15"/>
      <c r="X22" s="22">
        <f>+P22-T22</f>
        <v>-7936.34</v>
      </c>
      <c r="Y22" s="15"/>
      <c r="Z22" s="20">
        <f>IF(T22=0,0,X22/T22)</f>
        <v>-0.26946692924079857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19">
        <f>SUM(OSRRefD22x_0)</f>
        <v>25051.93</v>
      </c>
      <c r="E24" s="19"/>
      <c r="F24" s="34">
        <f t="shared" ref="F24:F34" si="12">IF(D$12=0,0,D24/D$12)</f>
        <v>0.75789129439070535</v>
      </c>
      <c r="G24" s="19"/>
      <c r="H24" s="19">
        <f>SUM(OSRRefH22x_0)</f>
        <v>20654.813210769229</v>
      </c>
      <c r="I24" s="19"/>
      <c r="J24" s="34">
        <f t="shared" ref="J24:J34" si="13">IF(H$12=0,0,H24/H$12)</f>
        <v>0.53950145515918058</v>
      </c>
      <c r="K24" s="4"/>
      <c r="L24" s="19">
        <f t="shared" ref="L24:L34" si="14">+D24-H24</f>
        <v>4397.1167892307712</v>
      </c>
      <c r="M24" s="4"/>
      <c r="N24" s="34">
        <f t="shared" ref="N24:N34" si="15">IF(H24=0,0,L24/H24)</f>
        <v>0.21288581718754809</v>
      </c>
      <c r="O24" s="10"/>
      <c r="P24" s="19">
        <f>SUM(OSRRefP22x_0)</f>
        <v>45324.36</v>
      </c>
      <c r="Q24" s="19"/>
      <c r="R24" s="34">
        <f t="shared" ref="R24:R34" si="16">IF(P$12=0,0,P24/P$12)</f>
        <v>0.95588766574313844</v>
      </c>
      <c r="S24" s="19"/>
      <c r="T24" s="19">
        <f>SUM(OSRRefT22x_0)</f>
        <v>36492.00563673077</v>
      </c>
      <c r="U24" s="19"/>
      <c r="V24" s="34">
        <f t="shared" ref="V24:V34" si="17">IF(T$12=0,0,T24/T$12)</f>
        <v>0.64429113573210628</v>
      </c>
      <c r="W24" s="4"/>
      <c r="X24" s="19">
        <f t="shared" ref="X24:X34" si="18">+P24-T24</f>
        <v>8832.3543632692308</v>
      </c>
      <c r="Y24" s="4"/>
      <c r="Z24" s="34">
        <f t="shared" ref="Z24:Z34" si="19">IF(T24=0,0,X24/T24)</f>
        <v>0.24203532278256273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2514.02</v>
      </c>
      <c r="E25" s="1"/>
      <c r="F25" s="5">
        <f t="shared" si="12"/>
        <v>7.6056170998566625E-2</v>
      </c>
      <c r="G25" s="1"/>
      <c r="H25" s="1">
        <f>SUM(OSRRefH22_0x_0)</f>
        <v>2081.8439800000001</v>
      </c>
      <c r="I25" s="1"/>
      <c r="J25" s="5">
        <f t="shared" si="13"/>
        <v>5.4377536371947241E-2</v>
      </c>
      <c r="K25" s="1"/>
      <c r="L25" s="1">
        <f t="shared" si="14"/>
        <v>432.17601999999988</v>
      </c>
      <c r="M25" s="1"/>
      <c r="N25" s="5">
        <f t="shared" si="15"/>
        <v>0.20759289560209976</v>
      </c>
      <c r="O25" s="13"/>
      <c r="P25" s="1">
        <f>SUM(OSRRefP22_0x_0)</f>
        <v>4846.1799999999994</v>
      </c>
      <c r="Q25" s="1"/>
      <c r="R25" s="5">
        <f t="shared" si="16"/>
        <v>0.10220560616787711</v>
      </c>
      <c r="S25" s="1"/>
      <c r="T25" s="1">
        <f>SUM(OSRRefT22_0x_0)</f>
        <v>4491.9498675000013</v>
      </c>
      <c r="U25" s="1"/>
      <c r="V25" s="5">
        <f t="shared" si="17"/>
        <v>7.9308424716184989E-2</v>
      </c>
      <c r="W25" s="1"/>
      <c r="X25" s="1">
        <f t="shared" si="18"/>
        <v>354.23013249999804</v>
      </c>
      <c r="Y25" s="1"/>
      <c r="Z25" s="5">
        <f t="shared" si="19"/>
        <v>7.8858879317178388E-2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802</v>
      </c>
      <c r="E26" s="2"/>
      <c r="F26" s="7">
        <f t="shared" si="12"/>
        <v>2.4262754131172556E-2</v>
      </c>
      <c r="G26" s="2"/>
      <c r="H26" s="6">
        <v>302.69381076923099</v>
      </c>
      <c r="I26" s="2"/>
      <c r="J26" s="7">
        <f t="shared" si="13"/>
        <v>7.9063291307099638E-3</v>
      </c>
      <c r="K26" s="2"/>
      <c r="L26" s="6">
        <f t="shared" si="14"/>
        <v>499.30618923076901</v>
      </c>
      <c r="M26" s="2"/>
      <c r="N26" s="7">
        <f t="shared" si="15"/>
        <v>1.6495421163779005</v>
      </c>
      <c r="O26" s="11"/>
      <c r="P26" s="6">
        <v>1521.78</v>
      </c>
      <c r="Q26" s="2"/>
      <c r="R26" s="7">
        <f t="shared" si="16"/>
        <v>3.2094236564500708E-2</v>
      </c>
      <c r="S26" s="2"/>
      <c r="T26" s="6">
        <v>1033.19473673077</v>
      </c>
      <c r="U26" s="2"/>
      <c r="V26" s="7">
        <f t="shared" si="17"/>
        <v>1.8241754563653491E-2</v>
      </c>
      <c r="W26" s="2"/>
      <c r="X26" s="6">
        <f t="shared" si="18"/>
        <v>488.58526326922993</v>
      </c>
      <c r="Y26" s="2"/>
      <c r="Z26" s="7">
        <f t="shared" si="19"/>
        <v>0.4728878747632892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227.01</v>
      </c>
      <c r="E27" s="2"/>
      <c r="F27" s="7">
        <f t="shared" si="12"/>
        <v>6.8676905427898782E-3</v>
      </c>
      <c r="G27" s="2"/>
      <c r="H27" s="6">
        <v>256.60888461538497</v>
      </c>
      <c r="I27" s="2"/>
      <c r="J27" s="7">
        <f t="shared" si="13"/>
        <v>6.7025959152510108E-3</v>
      </c>
      <c r="K27" s="2"/>
      <c r="L27" s="6">
        <f t="shared" si="14"/>
        <v>-29.598884615384975</v>
      </c>
      <c r="M27" s="2"/>
      <c r="N27" s="7">
        <f t="shared" si="15"/>
        <v>-0.11534629699103714</v>
      </c>
      <c r="O27" s="11"/>
      <c r="P27" s="6">
        <v>390.34</v>
      </c>
      <c r="Q27" s="2"/>
      <c r="R27" s="7">
        <f t="shared" si="16"/>
        <v>8.2322440172608417E-3</v>
      </c>
      <c r="S27" s="2"/>
      <c r="T27" s="6">
        <v>437.96936538461597</v>
      </c>
      <c r="U27" s="2"/>
      <c r="V27" s="7">
        <f t="shared" si="17"/>
        <v>7.7326465047867369E-3</v>
      </c>
      <c r="W27" s="2"/>
      <c r="X27" s="6">
        <f t="shared" si="18"/>
        <v>-47.629365384615994</v>
      </c>
      <c r="Y27" s="2"/>
      <c r="Z27" s="7">
        <f t="shared" si="19"/>
        <v>-0.10875044957262897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641.14</v>
      </c>
      <c r="E28" s="2"/>
      <c r="F28" s="7">
        <f t="shared" si="12"/>
        <v>1.9396287012044853E-2</v>
      </c>
      <c r="G28" s="2"/>
      <c r="H28" s="6">
        <v>663</v>
      </c>
      <c r="I28" s="2"/>
      <c r="J28" s="7">
        <f t="shared" si="13"/>
        <v>1.731748726655348E-2</v>
      </c>
      <c r="K28" s="2"/>
      <c r="L28" s="6">
        <f t="shared" si="14"/>
        <v>-21.860000000000014</v>
      </c>
      <c r="M28" s="2"/>
      <c r="N28" s="7">
        <f t="shared" si="15"/>
        <v>-3.2971342383107109E-2</v>
      </c>
      <c r="O28" s="11"/>
      <c r="P28" s="6">
        <v>1282.28</v>
      </c>
      <c r="Q28" s="2"/>
      <c r="R28" s="7">
        <f t="shared" si="16"/>
        <v>2.704319787480974E-2</v>
      </c>
      <c r="S28" s="2"/>
      <c r="T28" s="6">
        <v>1326</v>
      </c>
      <c r="U28" s="2"/>
      <c r="V28" s="7">
        <f t="shared" si="17"/>
        <v>2.3411430286551668E-2</v>
      </c>
      <c r="W28" s="2"/>
      <c r="X28" s="6">
        <f t="shared" si="18"/>
        <v>-43.720000000000027</v>
      </c>
      <c r="Y28" s="2"/>
      <c r="Z28" s="7">
        <f t="shared" si="19"/>
        <v>-3.2971342383107109E-2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27.25</v>
      </c>
      <c r="E29" s="2"/>
      <c r="F29" s="7">
        <f t="shared" si="12"/>
        <v>8.2438908986839422E-4</v>
      </c>
      <c r="G29" s="2"/>
      <c r="H29" s="6">
        <v>35.114899999999999</v>
      </c>
      <c r="I29" s="2"/>
      <c r="J29" s="7">
        <f t="shared" si="13"/>
        <v>9.1719733577118974E-4</v>
      </c>
      <c r="K29" s="2"/>
      <c r="L29" s="6">
        <f t="shared" si="14"/>
        <v>-7.8648999999999987</v>
      </c>
      <c r="M29" s="2"/>
      <c r="N29" s="7">
        <f t="shared" si="15"/>
        <v>-0.22397614687782105</v>
      </c>
      <c r="O29" s="11"/>
      <c r="P29" s="6">
        <v>49.6</v>
      </c>
      <c r="Q29" s="2"/>
      <c r="R29" s="7">
        <f t="shared" si="16"/>
        <v>1.0460606221656449E-3</v>
      </c>
      <c r="S29" s="2"/>
      <c r="T29" s="6">
        <v>59.932650000000002</v>
      </c>
      <c r="U29" s="2"/>
      <c r="V29" s="7">
        <f t="shared" si="17"/>
        <v>1.0581516269708151E-3</v>
      </c>
      <c r="W29" s="2"/>
      <c r="X29" s="6">
        <f t="shared" si="18"/>
        <v>-10.332650000000001</v>
      </c>
      <c r="Y29" s="2"/>
      <c r="Z29" s="7">
        <f t="shared" si="19"/>
        <v>-0.17240435722431763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268.22000000000003</v>
      </c>
      <c r="E30" s="2"/>
      <c r="F30" s="7">
        <f t="shared" si="12"/>
        <v>8.1144088691559903E-3</v>
      </c>
      <c r="G30" s="2"/>
      <c r="H30" s="6">
        <v>340.149846153846</v>
      </c>
      <c r="I30" s="2"/>
      <c r="J30" s="7">
        <f t="shared" si="13"/>
        <v>8.8846766658964606E-3</v>
      </c>
      <c r="K30" s="2"/>
      <c r="L30" s="6">
        <f t="shared" si="14"/>
        <v>-71.929846153845972</v>
      </c>
      <c r="M30" s="2"/>
      <c r="N30" s="7">
        <f t="shared" si="15"/>
        <v>-0.21146517326752781</v>
      </c>
      <c r="O30" s="11"/>
      <c r="P30" s="6">
        <v>536.44000000000005</v>
      </c>
      <c r="Q30" s="2"/>
      <c r="R30" s="7">
        <f t="shared" si="16"/>
        <v>1.1313483067631826E-2</v>
      </c>
      <c r="S30" s="2"/>
      <c r="T30" s="6">
        <v>765.33715384615402</v>
      </c>
      <c r="U30" s="2"/>
      <c r="V30" s="7">
        <f t="shared" si="17"/>
        <v>1.3512547076151663E-2</v>
      </c>
      <c r="W30" s="2"/>
      <c r="X30" s="6">
        <f t="shared" si="18"/>
        <v>-228.89715384615397</v>
      </c>
      <c r="Y30" s="2"/>
      <c r="Z30" s="7">
        <f t="shared" si="19"/>
        <v>-0.29908015401558075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221.28</v>
      </c>
      <c r="E32" s="2"/>
      <c r="F32" s="7">
        <f t="shared" si="12"/>
        <v>6.6943419378377349E-3</v>
      </c>
      <c r="G32" s="2"/>
      <c r="H32" s="6">
        <v>118.65692307692301</v>
      </c>
      <c r="I32" s="2"/>
      <c r="J32" s="7">
        <f t="shared" si="13"/>
        <v>3.0993058136848115E-3</v>
      </c>
      <c r="K32" s="2"/>
      <c r="L32" s="6">
        <f t="shared" si="14"/>
        <v>102.62307692307699</v>
      </c>
      <c r="M32" s="2"/>
      <c r="N32" s="7">
        <f t="shared" si="15"/>
        <v>0.86487222373487993</v>
      </c>
      <c r="O32" s="11"/>
      <c r="P32" s="6">
        <v>442.56</v>
      </c>
      <c r="Q32" s="2"/>
      <c r="R32" s="7">
        <f t="shared" si="16"/>
        <v>9.3335602610005609E-3</v>
      </c>
      <c r="S32" s="2"/>
      <c r="T32" s="6">
        <v>266.97807692307703</v>
      </c>
      <c r="U32" s="2"/>
      <c r="V32" s="7">
        <f t="shared" si="17"/>
        <v>4.7136792126110461E-3</v>
      </c>
      <c r="W32" s="2"/>
      <c r="X32" s="6">
        <f t="shared" si="18"/>
        <v>175.58192307692298</v>
      </c>
      <c r="Y32" s="2"/>
      <c r="Z32" s="7">
        <f t="shared" si="19"/>
        <v>0.65766419887544725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177.12</v>
      </c>
      <c r="E33" s="2"/>
      <c r="F33" s="7">
        <f t="shared" si="12"/>
        <v>5.358377820091376E-3</v>
      </c>
      <c r="G33" s="2"/>
      <c r="H33" s="6">
        <v>365.61961538461503</v>
      </c>
      <c r="I33" s="2"/>
      <c r="J33" s="7">
        <f t="shared" si="13"/>
        <v>9.5499442440803196E-3</v>
      </c>
      <c r="K33" s="2"/>
      <c r="L33" s="6">
        <f t="shared" si="14"/>
        <v>-188.49961538461503</v>
      </c>
      <c r="M33" s="2"/>
      <c r="N33" s="7">
        <f t="shared" si="15"/>
        <v>-0.5155620963780132</v>
      </c>
      <c r="O33" s="11"/>
      <c r="P33" s="6">
        <v>354.24</v>
      </c>
      <c r="Q33" s="2"/>
      <c r="R33" s="7">
        <f t="shared" si="16"/>
        <v>7.4708974757249601E-3</v>
      </c>
      <c r="S33" s="2"/>
      <c r="T33" s="6">
        <v>602.53788461538397</v>
      </c>
      <c r="U33" s="2"/>
      <c r="V33" s="7">
        <f t="shared" si="17"/>
        <v>1.0638215445459559E-2</v>
      </c>
      <c r="W33" s="2"/>
      <c r="X33" s="6">
        <f t="shared" si="18"/>
        <v>-248.29788461538396</v>
      </c>
      <c r="Y33" s="2"/>
      <c r="Z33" s="7">
        <f t="shared" si="19"/>
        <v>-0.41208675994519273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150</v>
      </c>
      <c r="E34" s="2"/>
      <c r="F34" s="7">
        <f t="shared" si="12"/>
        <v>4.5379215956058401E-3</v>
      </c>
      <c r="G34" s="2"/>
      <c r="H34" s="6"/>
      <c r="I34" s="2"/>
      <c r="J34" s="7">
        <f t="shared" si="13"/>
        <v>0</v>
      </c>
      <c r="K34" s="2"/>
      <c r="L34" s="6">
        <f t="shared" si="14"/>
        <v>150</v>
      </c>
      <c r="M34" s="2"/>
      <c r="N34" s="7">
        <f t="shared" si="15"/>
        <v>0</v>
      </c>
      <c r="O34" s="11"/>
      <c r="P34" s="6">
        <v>268.94</v>
      </c>
      <c r="Q34" s="2"/>
      <c r="R34" s="7">
        <f t="shared" si="16"/>
        <v>5.6719262847828335E-3</v>
      </c>
      <c r="S34" s="2"/>
      <c r="T34" s="6"/>
      <c r="U34" s="2"/>
      <c r="V34" s="7">
        <f t="shared" si="17"/>
        <v>0</v>
      </c>
      <c r="W34" s="2"/>
      <c r="X34" s="6">
        <f t="shared" si="18"/>
        <v>268.94</v>
      </c>
      <c r="Y34" s="2"/>
      <c r="Z34" s="7">
        <f t="shared" si="19"/>
        <v>0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12289.45</v>
      </c>
      <c r="E35" s="1"/>
      <c r="F35" s="5">
        <f t="shared" ref="F35:F45" si="20">IF(D$12=0,0,D35/D$12)</f>
        <v>0.37179040368745464</v>
      </c>
      <c r="G35" s="1"/>
      <c r="H35" s="1">
        <f>SUM(OSRRefH22_1x_0)</f>
        <v>13307.969230769229</v>
      </c>
      <c r="I35" s="1"/>
      <c r="J35" s="5">
        <f t="shared" ref="J35:J45" si="21">IF(H$12=0,0,H35/H$12)</f>
        <v>0.34760269637636748</v>
      </c>
      <c r="K35" s="1"/>
      <c r="L35" s="1">
        <f t="shared" ref="L35:L45" si="22">+D35-H35</f>
        <v>-1018.5192307692287</v>
      </c>
      <c r="M35" s="1"/>
      <c r="N35" s="5">
        <f t="shared" ref="N35:N45" si="23">IF(H35=0,0,L35/H35)</f>
        <v>-7.65345345414776E-2</v>
      </c>
      <c r="O35" s="13"/>
      <c r="P35" s="1">
        <f>SUM(OSRRefP22_1x_0)</f>
        <v>23776.95</v>
      </c>
      <c r="Q35" s="1"/>
      <c r="R35" s="5">
        <f t="shared" ref="R35:R45" si="24">IF(P$12=0,0,P35/P$12)</f>
        <v>0.50145425625406104</v>
      </c>
      <c r="S35" s="1"/>
      <c r="T35" s="1">
        <f>SUM(OSRRefT22_1x_0)</f>
        <v>22606.05576923077</v>
      </c>
      <c r="U35" s="1"/>
      <c r="V35" s="5">
        <f t="shared" ref="V35:V45" si="25">IF(T$12=0,0,T35/T$12)</f>
        <v>0.39912526296775669</v>
      </c>
      <c r="W35" s="1"/>
      <c r="X35" s="1">
        <f t="shared" ref="X35:X45" si="26">+P35-T35</f>
        <v>1170.8942307692305</v>
      </c>
      <c r="Y35" s="1"/>
      <c r="Z35" s="5">
        <f t="shared" ref="Z35:Z45" si="27">IF(T35=0,0,X35/T35)</f>
        <v>5.1795600379033885E-2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3757.4692307692299</v>
      </c>
      <c r="I36" s="2"/>
      <c r="J36" s="7">
        <f t="shared" si="21"/>
        <v>9.8144684100019058E-2</v>
      </c>
      <c r="K36" s="2"/>
      <c r="L36" s="6">
        <f t="shared" si="22"/>
        <v>-3757.4692307692299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8454.3057692307702</v>
      </c>
      <c r="U36" s="2"/>
      <c r="V36" s="7">
        <f t="shared" si="25"/>
        <v>0.14926650839934974</v>
      </c>
      <c r="W36" s="2"/>
      <c r="X36" s="6">
        <f t="shared" si="26"/>
        <v>-8454.3057692307702</v>
      </c>
      <c r="Y36" s="2"/>
      <c r="Z36" s="7">
        <f t="shared" si="27"/>
        <v>-1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3072</v>
      </c>
      <c r="E37" s="2"/>
      <c r="F37" s="7">
        <f t="shared" si="20"/>
        <v>9.2936634278007607E-2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3072</v>
      </c>
      <c r="M37" s="2"/>
      <c r="N37" s="7">
        <f t="shared" si="23"/>
        <v>0</v>
      </c>
      <c r="O37" s="11"/>
      <c r="P37" s="6">
        <v>7296</v>
      </c>
      <c r="Q37" s="2"/>
      <c r="R37" s="7">
        <f t="shared" si="24"/>
        <v>0.15387214313146261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7296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1298.5</v>
      </c>
      <c r="E40" s="2"/>
      <c r="F40" s="7">
        <f t="shared" si="20"/>
        <v>3.9283274612627886E-2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1298.5</v>
      </c>
      <c r="M40" s="2"/>
      <c r="N40" s="7">
        <f t="shared" si="23"/>
        <v>0</v>
      </c>
      <c r="O40" s="11"/>
      <c r="P40" s="6">
        <v>2110.5</v>
      </c>
      <c r="Q40" s="2"/>
      <c r="R40" s="7">
        <f t="shared" si="24"/>
        <v>4.4510301271786158E-2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2110.5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7918.95</v>
      </c>
      <c r="E42" s="2"/>
      <c r="F42" s="7">
        <f t="shared" si="20"/>
        <v>0.23957049479681911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7918.95</v>
      </c>
      <c r="M42" s="2"/>
      <c r="N42" s="7">
        <f t="shared" si="23"/>
        <v>0</v>
      </c>
      <c r="O42" s="11"/>
      <c r="P42" s="6">
        <v>14370.45</v>
      </c>
      <c r="Q42" s="2"/>
      <c r="R42" s="7">
        <f t="shared" si="24"/>
        <v>0.30307181185081233</v>
      </c>
      <c r="S42" s="2"/>
      <c r="T42" s="6">
        <v>4601.25</v>
      </c>
      <c r="U42" s="2"/>
      <c r="V42" s="7">
        <f t="shared" si="25"/>
        <v>8.123819276470276E-2</v>
      </c>
      <c r="W42" s="2"/>
      <c r="X42" s="6">
        <f t="shared" si="26"/>
        <v>9769.2000000000007</v>
      </c>
      <c r="Y42" s="2"/>
      <c r="Z42" s="7">
        <f t="shared" si="27"/>
        <v>2.1231621841890793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9550.5</v>
      </c>
      <c r="I43" s="2"/>
      <c r="J43" s="7">
        <f t="shared" si="21"/>
        <v>0.24945801227634845</v>
      </c>
      <c r="K43" s="2"/>
      <c r="L43" s="6">
        <f t="shared" si="22"/>
        <v>-9550.5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9550.5</v>
      </c>
      <c r="U43" s="2"/>
      <c r="V43" s="7">
        <f t="shared" si="25"/>
        <v>0.16862056180370416</v>
      </c>
      <c r="W43" s="2"/>
      <c r="X43" s="6">
        <f t="shared" si="26"/>
        <v>-9550.5</v>
      </c>
      <c r="Y43" s="2"/>
      <c r="Z43" s="7">
        <f t="shared" si="27"/>
        <v>-1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60</v>
      </c>
      <c r="E46" s="1"/>
      <c r="F46" s="5">
        <f t="shared" ref="F46:F62" si="28">IF(D$12=0,0,D46/D$12)</f>
        <v>1.815168638242336E-3</v>
      </c>
      <c r="G46" s="1"/>
      <c r="H46" s="1">
        <f>SUM(OSRRefH22_2x_0)</f>
        <v>0</v>
      </c>
      <c r="I46" s="1"/>
      <c r="J46" s="5">
        <f t="shared" ref="J46:J62" si="29">IF(H$12=0,0,H46/H$12)</f>
        <v>0</v>
      </c>
      <c r="K46" s="1"/>
      <c r="L46" s="1">
        <f t="shared" ref="L46:L62" si="30">+D46-H46</f>
        <v>60</v>
      </c>
      <c r="M46" s="1"/>
      <c r="N46" s="5">
        <f t="shared" ref="N46:N62" si="31">IF(H46=0,0,L46/H46)</f>
        <v>0</v>
      </c>
      <c r="O46" s="13"/>
      <c r="P46" s="1">
        <f>SUM(OSRRefP22_2x_0)</f>
        <v>60</v>
      </c>
      <c r="Q46" s="1"/>
      <c r="R46" s="5">
        <f t="shared" ref="R46:R62" si="32">IF(P$12=0,0,P46/P$12)</f>
        <v>1.2653959139100543E-3</v>
      </c>
      <c r="S46" s="1"/>
      <c r="T46" s="1">
        <f>SUM(OSRRefT22_2x_0)</f>
        <v>0</v>
      </c>
      <c r="U46" s="1"/>
      <c r="V46" s="5">
        <f t="shared" ref="V46:V62" si="33">IF(T$12=0,0,T46/T$12)</f>
        <v>0</v>
      </c>
      <c r="W46" s="1"/>
      <c r="X46" s="1">
        <f t="shared" ref="X46:X62" si="34">+P46-T46</f>
        <v>60</v>
      </c>
      <c r="Y46" s="1"/>
      <c r="Z46" s="5">
        <f t="shared" ref="Z46:Z62" si="35">IF(T46=0,0,X46/T46)</f>
        <v>0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60</v>
      </c>
      <c r="E47" s="2"/>
      <c r="F47" s="7">
        <f t="shared" si="28"/>
        <v>1.815168638242336E-3</v>
      </c>
      <c r="G47" s="2"/>
      <c r="H47" s="6">
        <v>0</v>
      </c>
      <c r="I47" s="2"/>
      <c r="J47" s="7">
        <f t="shared" si="29"/>
        <v>0</v>
      </c>
      <c r="K47" s="2"/>
      <c r="L47" s="6">
        <f t="shared" si="30"/>
        <v>60</v>
      </c>
      <c r="M47" s="2"/>
      <c r="N47" s="7">
        <f t="shared" si="31"/>
        <v>0</v>
      </c>
      <c r="O47" s="11"/>
      <c r="P47" s="6">
        <v>60</v>
      </c>
      <c r="Q47" s="2"/>
      <c r="R47" s="7">
        <f t="shared" si="32"/>
        <v>1.2653959139100543E-3</v>
      </c>
      <c r="S47" s="2"/>
      <c r="T47" s="6">
        <v>0</v>
      </c>
      <c r="U47" s="2"/>
      <c r="V47" s="7">
        <f t="shared" si="33"/>
        <v>0</v>
      </c>
      <c r="W47" s="2"/>
      <c r="X47" s="6">
        <f t="shared" si="34"/>
        <v>60</v>
      </c>
      <c r="Y47" s="2"/>
      <c r="Z47" s="7">
        <f t="shared" si="35"/>
        <v>0</v>
      </c>
    </row>
    <row r="48" spans="1:26" s="26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3.5</v>
      </c>
      <c r="E48" s="1"/>
      <c r="F48" s="5">
        <f t="shared" si="28"/>
        <v>1.0588483723080293E-4</v>
      </c>
      <c r="G48" s="1"/>
      <c r="H48" s="1">
        <f>SUM(OSRRefH22_3x_0)</f>
        <v>0</v>
      </c>
      <c r="I48" s="1"/>
      <c r="J48" s="5">
        <f t="shared" si="29"/>
        <v>0</v>
      </c>
      <c r="K48" s="1"/>
      <c r="L48" s="1">
        <f t="shared" si="30"/>
        <v>3.5</v>
      </c>
      <c r="M48" s="1"/>
      <c r="N48" s="5">
        <f t="shared" si="31"/>
        <v>0</v>
      </c>
      <c r="O48" s="13"/>
      <c r="P48" s="1">
        <f>SUM(OSRRefP22_3x_0)</f>
        <v>-7.84</v>
      </c>
      <c r="Q48" s="1"/>
      <c r="R48" s="5">
        <f t="shared" si="32"/>
        <v>-1.6534506608424708E-4</v>
      </c>
      <c r="S48" s="1"/>
      <c r="T48" s="1">
        <f>SUM(OSRRefT22_3x_0)</f>
        <v>0</v>
      </c>
      <c r="U48" s="1"/>
      <c r="V48" s="5">
        <f t="shared" si="33"/>
        <v>0</v>
      </c>
      <c r="W48" s="1"/>
      <c r="X48" s="1">
        <f t="shared" si="34"/>
        <v>-7.84</v>
      </c>
      <c r="Y48" s="1"/>
      <c r="Z48" s="5">
        <f t="shared" si="35"/>
        <v>0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3.5</v>
      </c>
      <c r="E49" s="2"/>
      <c r="F49" s="7">
        <f t="shared" si="28"/>
        <v>1.0588483723080293E-4</v>
      </c>
      <c r="G49" s="2"/>
      <c r="H49" s="6">
        <v>0</v>
      </c>
      <c r="I49" s="2"/>
      <c r="J49" s="7">
        <f t="shared" si="29"/>
        <v>0</v>
      </c>
      <c r="K49" s="2"/>
      <c r="L49" s="6">
        <f t="shared" si="30"/>
        <v>3.5</v>
      </c>
      <c r="M49" s="2"/>
      <c r="N49" s="7">
        <f t="shared" si="31"/>
        <v>0</v>
      </c>
      <c r="O49" s="11"/>
      <c r="P49" s="6">
        <v>-7.84</v>
      </c>
      <c r="Q49" s="2"/>
      <c r="R49" s="7">
        <f t="shared" si="32"/>
        <v>-1.6534506608424708E-4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-7.84</v>
      </c>
      <c r="Y49" s="2"/>
      <c r="Z49" s="7">
        <f t="shared" si="35"/>
        <v>0</v>
      </c>
    </row>
    <row r="50" spans="1:26" s="26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1110.26</v>
      </c>
      <c r="E50" s="1"/>
      <c r="F50" s="5">
        <f t="shared" si="28"/>
        <v>3.3588485538248933E-2</v>
      </c>
      <c r="G50" s="1"/>
      <c r="H50" s="1">
        <f>SUM(OSRRefH22_4x_0)</f>
        <v>1161</v>
      </c>
      <c r="I50" s="1"/>
      <c r="J50" s="5">
        <f t="shared" si="29"/>
        <v>3.0325192634190937E-2</v>
      </c>
      <c r="K50" s="1"/>
      <c r="L50" s="1">
        <f t="shared" si="30"/>
        <v>-50.740000000000009</v>
      </c>
      <c r="M50" s="1"/>
      <c r="N50" s="5">
        <f t="shared" si="31"/>
        <v>-4.370370370370371E-2</v>
      </c>
      <c r="O50" s="13"/>
      <c r="P50" s="1">
        <f>SUM(OSRRefP22_4x_0)</f>
        <v>1469.52</v>
      </c>
      <c r="Q50" s="1"/>
      <c r="R50" s="5">
        <f t="shared" si="32"/>
        <v>3.099207672348505E-2</v>
      </c>
      <c r="S50" s="1"/>
      <c r="T50" s="1">
        <f>SUM(OSRRefT22_4x_0)</f>
        <v>1718</v>
      </c>
      <c r="U50" s="1"/>
      <c r="V50" s="5">
        <f t="shared" si="33"/>
        <v>3.0332456434612194E-2</v>
      </c>
      <c r="W50" s="1"/>
      <c r="X50" s="1">
        <f t="shared" si="34"/>
        <v>-248.48000000000002</v>
      </c>
      <c r="Y50" s="1"/>
      <c r="Z50" s="5">
        <f t="shared" si="35"/>
        <v>-0.14463329452852156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1110.26</v>
      </c>
      <c r="E51" s="2"/>
      <c r="F51" s="7">
        <f t="shared" si="28"/>
        <v>3.3588485538248933E-2</v>
      </c>
      <c r="G51" s="2"/>
      <c r="H51" s="6">
        <v>1161</v>
      </c>
      <c r="I51" s="2"/>
      <c r="J51" s="7">
        <f t="shared" si="29"/>
        <v>3.0325192634190937E-2</v>
      </c>
      <c r="K51" s="2"/>
      <c r="L51" s="6">
        <f t="shared" si="30"/>
        <v>-50.740000000000009</v>
      </c>
      <c r="M51" s="2"/>
      <c r="N51" s="7">
        <f t="shared" si="31"/>
        <v>-4.370370370370371E-2</v>
      </c>
      <c r="O51" s="11"/>
      <c r="P51" s="6">
        <v>1469.52</v>
      </c>
      <c r="Q51" s="2"/>
      <c r="R51" s="7">
        <f t="shared" si="32"/>
        <v>3.099207672348505E-2</v>
      </c>
      <c r="S51" s="2"/>
      <c r="T51" s="6">
        <v>1718</v>
      </c>
      <c r="U51" s="2"/>
      <c r="V51" s="7">
        <f t="shared" si="33"/>
        <v>3.0332456434612194E-2</v>
      </c>
      <c r="W51" s="2"/>
      <c r="X51" s="6">
        <f t="shared" si="34"/>
        <v>-248.48000000000002</v>
      </c>
      <c r="Y51" s="2"/>
      <c r="Z51" s="7">
        <f t="shared" si="35"/>
        <v>-0.14463329452852156</v>
      </c>
    </row>
    <row r="52" spans="1:26" s="26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1857.58</v>
      </c>
      <c r="E52" s="1"/>
      <c r="F52" s="5">
        <f t="shared" si="28"/>
        <v>5.6197015983769971E-2</v>
      </c>
      <c r="G52" s="1"/>
      <c r="H52" s="1">
        <f>SUM(OSRRefH22_5x_0)</f>
        <v>1858</v>
      </c>
      <c r="I52" s="1"/>
      <c r="J52" s="5">
        <f t="shared" si="29"/>
        <v>4.8530756170824085E-2</v>
      </c>
      <c r="K52" s="1"/>
      <c r="L52" s="1">
        <f t="shared" si="30"/>
        <v>-0.42000000000007276</v>
      </c>
      <c r="M52" s="1"/>
      <c r="N52" s="5">
        <f t="shared" si="31"/>
        <v>-2.2604951560822E-4</v>
      </c>
      <c r="O52" s="13"/>
      <c r="P52" s="1">
        <f>SUM(OSRRefP22_5x_0)</f>
        <v>3715.16</v>
      </c>
      <c r="Q52" s="1"/>
      <c r="R52" s="5">
        <f t="shared" si="32"/>
        <v>7.835247139203462E-2</v>
      </c>
      <c r="S52" s="1"/>
      <c r="T52" s="1">
        <f>SUM(OSRRefT22_5x_0)</f>
        <v>3716</v>
      </c>
      <c r="U52" s="1"/>
      <c r="V52" s="5">
        <f t="shared" si="33"/>
        <v>6.56085029749819E-2</v>
      </c>
      <c r="W52" s="1"/>
      <c r="X52" s="1">
        <f t="shared" si="34"/>
        <v>-0.84000000000014552</v>
      </c>
      <c r="Y52" s="1"/>
      <c r="Z52" s="5">
        <f t="shared" si="35"/>
        <v>-2.2604951560822E-4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1857.58</v>
      </c>
      <c r="E53" s="2"/>
      <c r="F53" s="7">
        <f t="shared" si="28"/>
        <v>5.6197015983769971E-2</v>
      </c>
      <c r="G53" s="2"/>
      <c r="H53" s="6">
        <v>1858</v>
      </c>
      <c r="I53" s="2"/>
      <c r="J53" s="7">
        <f t="shared" si="29"/>
        <v>4.8530756170824085E-2</v>
      </c>
      <c r="K53" s="2"/>
      <c r="L53" s="6">
        <f t="shared" si="30"/>
        <v>-0.42000000000007276</v>
      </c>
      <c r="M53" s="2"/>
      <c r="N53" s="7">
        <f t="shared" si="31"/>
        <v>-2.2604951560822E-4</v>
      </c>
      <c r="O53" s="11"/>
      <c r="P53" s="6">
        <v>3715.16</v>
      </c>
      <c r="Q53" s="2"/>
      <c r="R53" s="7">
        <f t="shared" si="32"/>
        <v>7.835247139203462E-2</v>
      </c>
      <c r="S53" s="2"/>
      <c r="T53" s="6">
        <v>3716</v>
      </c>
      <c r="U53" s="2"/>
      <c r="V53" s="7">
        <f t="shared" si="33"/>
        <v>6.56085029749819E-2</v>
      </c>
      <c r="W53" s="2"/>
      <c r="X53" s="6">
        <f t="shared" si="34"/>
        <v>-0.84000000000014552</v>
      </c>
      <c r="Y53" s="2"/>
      <c r="Z53" s="7">
        <f t="shared" si="35"/>
        <v>-2.2604951560822E-4</v>
      </c>
    </row>
    <row r="54" spans="1:26" s="26" customFormat="1" outlineLevel="1" collapsed="1" x14ac:dyDescent="0.25">
      <c r="A54" s="25"/>
      <c r="B54" s="13" t="str">
        <f>CONCATENATE("     ","Employees' Appreciation                           ")</f>
        <v xml:space="preserve">     Employees' Appreciation                           </v>
      </c>
      <c r="C54" s="13"/>
      <c r="D54" s="1">
        <f>SUM(OSRRefD22_6x_0)</f>
        <v>0</v>
      </c>
      <c r="E54" s="1"/>
      <c r="F54" s="5">
        <f t="shared" si="28"/>
        <v>0</v>
      </c>
      <c r="G54" s="1"/>
      <c r="H54" s="1">
        <f>SUM(OSRRefH22_6x_0)</f>
        <v>0</v>
      </c>
      <c r="I54" s="1"/>
      <c r="J54" s="5">
        <f t="shared" si="29"/>
        <v>0</v>
      </c>
      <c r="K54" s="1"/>
      <c r="L54" s="1">
        <f t="shared" si="30"/>
        <v>0</v>
      </c>
      <c r="M54" s="1"/>
      <c r="N54" s="5">
        <f t="shared" si="31"/>
        <v>0</v>
      </c>
      <c r="O54" s="13"/>
      <c r="P54" s="1">
        <f>SUM(OSRRefP22_6x_0)</f>
        <v>0</v>
      </c>
      <c r="Q54" s="1"/>
      <c r="R54" s="5">
        <f t="shared" si="32"/>
        <v>0</v>
      </c>
      <c r="S54" s="1"/>
      <c r="T54" s="1">
        <f>SUM(OSRRefT22_6x_0)</f>
        <v>0</v>
      </c>
      <c r="U54" s="1"/>
      <c r="V54" s="5">
        <f t="shared" si="33"/>
        <v>0</v>
      </c>
      <c r="W54" s="1"/>
      <c r="X54" s="1">
        <f t="shared" si="34"/>
        <v>0</v>
      </c>
      <c r="Y54" s="1"/>
      <c r="Z54" s="5">
        <f t="shared" si="35"/>
        <v>0</v>
      </c>
    </row>
    <row r="55" spans="1:26" s="24" customFormat="1" hidden="1" outlineLevel="2" x14ac:dyDescent="0.25">
      <c r="A55" s="27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8"/>
        <v>0</v>
      </c>
      <c r="G55" s="2"/>
      <c r="H55" s="6">
        <v>0</v>
      </c>
      <c r="I55" s="2"/>
      <c r="J55" s="7">
        <f t="shared" si="29"/>
        <v>0</v>
      </c>
      <c r="K55" s="2"/>
      <c r="L55" s="6">
        <f t="shared" si="30"/>
        <v>0</v>
      </c>
      <c r="M55" s="2"/>
      <c r="N55" s="7">
        <f t="shared" si="31"/>
        <v>0</v>
      </c>
      <c r="O55" s="11"/>
      <c r="P55" s="6"/>
      <c r="Q55" s="2"/>
      <c r="R55" s="7">
        <f t="shared" si="32"/>
        <v>0</v>
      </c>
      <c r="S55" s="2"/>
      <c r="T55" s="6">
        <v>0</v>
      </c>
      <c r="U55" s="2"/>
      <c r="V55" s="7">
        <f t="shared" si="33"/>
        <v>0</v>
      </c>
      <c r="W55" s="2"/>
      <c r="X55" s="6">
        <f t="shared" si="34"/>
        <v>0</v>
      </c>
      <c r="Y55" s="2"/>
      <c r="Z55" s="7">
        <f t="shared" si="35"/>
        <v>0</v>
      </c>
    </row>
    <row r="56" spans="1:26" s="26" customFormat="1" outlineLevel="1" collapsed="1" x14ac:dyDescent="0.25">
      <c r="A56" s="25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SUM(OSRRefD22_7x_0)</f>
        <v>23.75</v>
      </c>
      <c r="E56" s="1"/>
      <c r="F56" s="5">
        <f t="shared" si="28"/>
        <v>7.1850425263759131E-4</v>
      </c>
      <c r="G56" s="1"/>
      <c r="H56" s="1">
        <f>SUM(OSRRefH22_7x_0)</f>
        <v>106</v>
      </c>
      <c r="I56" s="1"/>
      <c r="J56" s="5">
        <f t="shared" si="29"/>
        <v>2.76870837142484E-3</v>
      </c>
      <c r="K56" s="1"/>
      <c r="L56" s="1">
        <f t="shared" si="30"/>
        <v>-82.25</v>
      </c>
      <c r="M56" s="1"/>
      <c r="N56" s="5">
        <f t="shared" si="31"/>
        <v>-0.77594339622641506</v>
      </c>
      <c r="O56" s="13"/>
      <c r="P56" s="1">
        <f>SUM(OSRRefP22_7x_0)</f>
        <v>768.55</v>
      </c>
      <c r="Q56" s="1"/>
      <c r="R56" s="5">
        <f t="shared" si="32"/>
        <v>1.6208667160592868E-2</v>
      </c>
      <c r="S56" s="1"/>
      <c r="T56" s="1">
        <f>SUM(OSRRefT22_7x_0)</f>
        <v>157</v>
      </c>
      <c r="U56" s="1"/>
      <c r="V56" s="5">
        <f t="shared" si="33"/>
        <v>2.7719415950140363E-3</v>
      </c>
      <c r="W56" s="1"/>
      <c r="X56" s="1">
        <f t="shared" si="34"/>
        <v>611.54999999999995</v>
      </c>
      <c r="Y56" s="1"/>
      <c r="Z56" s="5">
        <f t="shared" si="35"/>
        <v>3.8952229299363053</v>
      </c>
    </row>
    <row r="57" spans="1:26" s="24" customFormat="1" hidden="1" outlineLevel="2" x14ac:dyDescent="0.25">
      <c r="A57" s="27"/>
      <c r="B57" s="11" t="str">
        <f>CONCATENATE("          ", "6279", " - ", "GENERAL EXPENSE")</f>
        <v xml:space="preserve">          6279 - GENERAL EXPENSE</v>
      </c>
      <c r="C57" s="11"/>
      <c r="D57" s="6">
        <v>23.75</v>
      </c>
      <c r="E57" s="2"/>
      <c r="F57" s="7">
        <f t="shared" si="28"/>
        <v>7.1850425263759131E-4</v>
      </c>
      <c r="G57" s="2"/>
      <c r="H57" s="6">
        <v>106</v>
      </c>
      <c r="I57" s="2"/>
      <c r="J57" s="7">
        <f t="shared" si="29"/>
        <v>2.76870837142484E-3</v>
      </c>
      <c r="K57" s="2"/>
      <c r="L57" s="6">
        <f t="shared" si="30"/>
        <v>-82.25</v>
      </c>
      <c r="M57" s="2"/>
      <c r="N57" s="7">
        <f t="shared" si="31"/>
        <v>-0.77594339622641506</v>
      </c>
      <c r="O57" s="11"/>
      <c r="P57" s="6">
        <v>768.55</v>
      </c>
      <c r="Q57" s="2"/>
      <c r="R57" s="7">
        <f t="shared" si="32"/>
        <v>1.6208667160592868E-2</v>
      </c>
      <c r="S57" s="2"/>
      <c r="T57" s="6">
        <v>157</v>
      </c>
      <c r="U57" s="2"/>
      <c r="V57" s="7">
        <f t="shared" si="33"/>
        <v>2.7719415950140363E-3</v>
      </c>
      <c r="W57" s="2"/>
      <c r="X57" s="6">
        <f t="shared" si="34"/>
        <v>611.54999999999995</v>
      </c>
      <c r="Y57" s="2"/>
      <c r="Z57" s="7">
        <f t="shared" si="35"/>
        <v>3.8952229299363053</v>
      </c>
    </row>
    <row r="58" spans="1:26" s="26" customFormat="1" outlineLevel="1" collapsed="1" x14ac:dyDescent="0.25">
      <c r="A58" s="25"/>
      <c r="B58" s="13" t="str">
        <f>CONCATENATE("     ","Rent                                              ")</f>
        <v xml:space="preserve">     Rent                                              </v>
      </c>
      <c r="C58" s="13"/>
      <c r="D58" s="1">
        <f>SUM(OSRRefD22_8x_0)</f>
        <v>1150</v>
      </c>
      <c r="E58" s="1"/>
      <c r="F58" s="5">
        <f t="shared" si="28"/>
        <v>3.4790732232978107E-2</v>
      </c>
      <c r="G58" s="1"/>
      <c r="H58" s="1">
        <f>SUM(OSRRefH22_8x_0)</f>
        <v>1150</v>
      </c>
      <c r="I58" s="1"/>
      <c r="J58" s="5">
        <f t="shared" si="29"/>
        <v>3.0037873840929867E-2</v>
      </c>
      <c r="K58" s="1"/>
      <c r="L58" s="1">
        <f t="shared" si="30"/>
        <v>0</v>
      </c>
      <c r="M58" s="1"/>
      <c r="N58" s="5">
        <f t="shared" si="31"/>
        <v>0</v>
      </c>
      <c r="O58" s="13"/>
      <c r="P58" s="1">
        <f>SUM(OSRRefP22_8x_0)</f>
        <v>2300</v>
      </c>
      <c r="Q58" s="1"/>
      <c r="R58" s="5">
        <f t="shared" si="32"/>
        <v>4.8506843366552081E-2</v>
      </c>
      <c r="S58" s="1"/>
      <c r="T58" s="1">
        <f>SUM(OSRRefT22_8x_0)</f>
        <v>2300</v>
      </c>
      <c r="U58" s="1"/>
      <c r="V58" s="5">
        <f t="shared" si="33"/>
        <v>4.0608061583008177E-2</v>
      </c>
      <c r="W58" s="1"/>
      <c r="X58" s="1">
        <f t="shared" si="34"/>
        <v>0</v>
      </c>
      <c r="Y58" s="1"/>
      <c r="Z58" s="5">
        <f t="shared" si="35"/>
        <v>0</v>
      </c>
    </row>
    <row r="59" spans="1:26" s="24" customFormat="1" hidden="1" outlineLevel="2" x14ac:dyDescent="0.25">
      <c r="A59" s="27"/>
      <c r="B59" s="11" t="str">
        <f>CONCATENATE("          ", "6273", " - ", "RENT")</f>
        <v xml:space="preserve">          6273 - RENT</v>
      </c>
      <c r="C59" s="11"/>
      <c r="D59" s="6">
        <v>1150</v>
      </c>
      <c r="E59" s="2"/>
      <c r="F59" s="7">
        <f t="shared" si="28"/>
        <v>3.4790732232978107E-2</v>
      </c>
      <c r="G59" s="2"/>
      <c r="H59" s="6">
        <v>1150</v>
      </c>
      <c r="I59" s="2"/>
      <c r="J59" s="7">
        <f t="shared" si="29"/>
        <v>3.0037873840929867E-2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2300</v>
      </c>
      <c r="Q59" s="2"/>
      <c r="R59" s="7">
        <f t="shared" si="32"/>
        <v>4.8506843366552081E-2</v>
      </c>
      <c r="S59" s="2"/>
      <c r="T59" s="6">
        <v>2300</v>
      </c>
      <c r="U59" s="2"/>
      <c r="V59" s="7">
        <f t="shared" si="33"/>
        <v>4.0608061583008177E-2</v>
      </c>
      <c r="W59" s="2"/>
      <c r="X59" s="6">
        <f t="shared" si="34"/>
        <v>0</v>
      </c>
      <c r="Y59" s="2"/>
      <c r="Z59" s="7">
        <f t="shared" si="35"/>
        <v>0</v>
      </c>
    </row>
    <row r="60" spans="1:26" s="26" customFormat="1" outlineLevel="1" collapsed="1" x14ac:dyDescent="0.25">
      <c r="A60" s="25"/>
      <c r="B60" s="13" t="str">
        <f>CONCATENATE("     ","Repair and Maintenance                            ")</f>
        <v xml:space="preserve">     Repair and Maintenance                            </v>
      </c>
      <c r="C60" s="13"/>
      <c r="D60" s="1">
        <f>SUM(OSRRefD22_9x_0)</f>
        <v>0</v>
      </c>
      <c r="E60" s="1"/>
      <c r="F60" s="5">
        <f t="shared" si="28"/>
        <v>0</v>
      </c>
      <c r="G60" s="1"/>
      <c r="H60" s="1">
        <f>SUM(OSRRefH22_9x_0)</f>
        <v>176</v>
      </c>
      <c r="I60" s="1"/>
      <c r="J60" s="5">
        <f t="shared" si="29"/>
        <v>4.5971006921770932E-3</v>
      </c>
      <c r="K60" s="1"/>
      <c r="L60" s="1">
        <f t="shared" si="30"/>
        <v>-176</v>
      </c>
      <c r="M60" s="1"/>
      <c r="N60" s="5">
        <f t="shared" si="31"/>
        <v>-1</v>
      </c>
      <c r="O60" s="13"/>
      <c r="P60" s="1">
        <f>SUM(OSRRefP22_9x_0)</f>
        <v>640.13</v>
      </c>
      <c r="Q60" s="1"/>
      <c r="R60" s="5">
        <f t="shared" si="32"/>
        <v>1.3500298106187384E-2</v>
      </c>
      <c r="S60" s="1"/>
      <c r="T60" s="1">
        <f>SUM(OSRRefT22_9x_0)</f>
        <v>260</v>
      </c>
      <c r="U60" s="1"/>
      <c r="V60" s="5">
        <f t="shared" si="33"/>
        <v>4.5904765267748369E-3</v>
      </c>
      <c r="W60" s="1"/>
      <c r="X60" s="1">
        <f t="shared" si="34"/>
        <v>380.13</v>
      </c>
      <c r="Y60" s="1"/>
      <c r="Z60" s="5">
        <f t="shared" si="35"/>
        <v>1.4620384615384616</v>
      </c>
    </row>
    <row r="61" spans="1:26" s="24" customFormat="1" hidden="1" outlineLevel="2" x14ac:dyDescent="0.25">
      <c r="A61" s="27"/>
      <c r="B61" s="11" t="str">
        <f>CONCATENATE("          ", "6371", " - ", "COMPUTER SOFTWARE MAINTENANCE")</f>
        <v xml:space="preserve">          6371 - COMPUTER SOFTWARE MAINTENANCE</v>
      </c>
      <c r="C61" s="11"/>
      <c r="D61" s="6"/>
      <c r="E61" s="2"/>
      <c r="F61" s="7">
        <f t="shared" si="28"/>
        <v>0</v>
      </c>
      <c r="G61" s="2"/>
      <c r="H61" s="6">
        <v>0</v>
      </c>
      <c r="I61" s="2"/>
      <c r="J61" s="7">
        <f t="shared" si="29"/>
        <v>0</v>
      </c>
      <c r="K61" s="2"/>
      <c r="L61" s="6">
        <f t="shared" si="30"/>
        <v>0</v>
      </c>
      <c r="M61" s="2"/>
      <c r="N61" s="7">
        <f t="shared" si="31"/>
        <v>0</v>
      </c>
      <c r="O61" s="11"/>
      <c r="P61" s="6"/>
      <c r="Q61" s="2"/>
      <c r="R61" s="7">
        <f t="shared" si="32"/>
        <v>0</v>
      </c>
      <c r="S61" s="2"/>
      <c r="T61" s="6">
        <v>0</v>
      </c>
      <c r="U61" s="2"/>
      <c r="V61" s="7">
        <f t="shared" si="33"/>
        <v>0</v>
      </c>
      <c r="W61" s="2"/>
      <c r="X61" s="6">
        <f t="shared" si="34"/>
        <v>0</v>
      </c>
      <c r="Y61" s="2"/>
      <c r="Z61" s="7">
        <f t="shared" si="35"/>
        <v>0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>
        <v>176</v>
      </c>
      <c r="I62" s="2"/>
      <c r="J62" s="7">
        <f t="shared" si="29"/>
        <v>4.5971006921770932E-3</v>
      </c>
      <c r="K62" s="2"/>
      <c r="L62" s="6">
        <f t="shared" si="30"/>
        <v>-176</v>
      </c>
      <c r="M62" s="2"/>
      <c r="N62" s="7">
        <f t="shared" si="31"/>
        <v>-1</v>
      </c>
      <c r="O62" s="11"/>
      <c r="P62" s="6">
        <v>640.13</v>
      </c>
      <c r="Q62" s="2"/>
      <c r="R62" s="7">
        <f t="shared" si="32"/>
        <v>1.3500298106187384E-2</v>
      </c>
      <c r="S62" s="2"/>
      <c r="T62" s="6">
        <v>260</v>
      </c>
      <c r="U62" s="2"/>
      <c r="V62" s="7">
        <f t="shared" si="33"/>
        <v>4.5904765267748369E-3</v>
      </c>
      <c r="W62" s="2"/>
      <c r="X62" s="6">
        <f t="shared" si="34"/>
        <v>380.13</v>
      </c>
      <c r="Y62" s="2"/>
      <c r="Z62" s="7">
        <f t="shared" si="35"/>
        <v>1.4620384615384616</v>
      </c>
    </row>
    <row r="63" spans="1:26" s="26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SUM(OSRRefD22_10x_0)</f>
        <v>681.51</v>
      </c>
      <c r="E63" s="1"/>
      <c r="F63" s="5">
        <f t="shared" ref="F63:F66" si="36">IF(D$12=0,0,D63/D$12)</f>
        <v>2.0617592977475573E-2</v>
      </c>
      <c r="G63" s="1"/>
      <c r="H63" s="1">
        <f>SUM(OSRRefH22_10x_0)</f>
        <v>0</v>
      </c>
      <c r="I63" s="1"/>
      <c r="J63" s="5">
        <f t="shared" ref="J63:J66" si="37">IF(H$12=0,0,H63/H$12)</f>
        <v>0</v>
      </c>
      <c r="K63" s="1"/>
      <c r="L63" s="1">
        <f t="shared" ref="L63:L66" si="38">+D63-H63</f>
        <v>681.51</v>
      </c>
      <c r="M63" s="1"/>
      <c r="N63" s="5">
        <f t="shared" ref="N63:N66" si="39">IF(H63=0,0,L63/H63)</f>
        <v>0</v>
      </c>
      <c r="O63" s="13"/>
      <c r="P63" s="1">
        <f>SUM(OSRRefP22_10x_0)</f>
        <v>1095.96</v>
      </c>
      <c r="Q63" s="1"/>
      <c r="R63" s="5">
        <f t="shared" ref="R63:R66" si="40">IF(P$12=0,0,P63/P$12)</f>
        <v>2.3113721763481053E-2</v>
      </c>
      <c r="S63" s="1"/>
      <c r="T63" s="1">
        <f>SUM(OSRRefT22_10x_0)</f>
        <v>0</v>
      </c>
      <c r="U63" s="1"/>
      <c r="V63" s="5">
        <f t="shared" ref="V63:V66" si="41">IF(T$12=0,0,T63/T$12)</f>
        <v>0</v>
      </c>
      <c r="W63" s="1"/>
      <c r="X63" s="1">
        <f t="shared" ref="X63:X66" si="42">+P63-T63</f>
        <v>1095.96</v>
      </c>
      <c r="Y63" s="1"/>
      <c r="Z63" s="5">
        <f t="shared" ref="Z63:Z66" si="43">IF(T63=0,0,X63/T63)</f>
        <v>0</v>
      </c>
    </row>
    <row r="64" spans="1:26" s="24" customFormat="1" hidden="1" outlineLevel="2" x14ac:dyDescent="0.2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233.62</v>
      </c>
      <c r="E64" s="2"/>
      <c r="F64" s="7">
        <f t="shared" si="36"/>
        <v>7.0676616211029089E-3</v>
      </c>
      <c r="G64" s="2"/>
      <c r="H64" s="6"/>
      <c r="I64" s="2"/>
      <c r="J64" s="7">
        <f t="shared" si="37"/>
        <v>0</v>
      </c>
      <c r="K64" s="2"/>
      <c r="L64" s="6">
        <f t="shared" si="38"/>
        <v>233.62</v>
      </c>
      <c r="M64" s="2"/>
      <c r="N64" s="7">
        <f t="shared" si="39"/>
        <v>0</v>
      </c>
      <c r="O64" s="11"/>
      <c r="P64" s="6">
        <v>350.43</v>
      </c>
      <c r="Q64" s="2"/>
      <c r="R64" s="7">
        <f t="shared" si="40"/>
        <v>7.3905448351916717E-3</v>
      </c>
      <c r="S64" s="2"/>
      <c r="T64" s="6"/>
      <c r="U64" s="2"/>
      <c r="V64" s="7">
        <f t="shared" si="41"/>
        <v>0</v>
      </c>
      <c r="W64" s="2"/>
      <c r="X64" s="6">
        <f t="shared" si="42"/>
        <v>350.43</v>
      </c>
      <c r="Y64" s="2"/>
      <c r="Z64" s="7">
        <f t="shared" si="43"/>
        <v>0</v>
      </c>
    </row>
    <row r="65" spans="1:26" s="24" customFormat="1" hidden="1" outlineLevel="2" x14ac:dyDescent="0.25">
      <c r="A65" s="27"/>
      <c r="B65" s="11" t="str">
        <f>CONCATENATE("          ", "6285", " - ", "JANITORIAL SERVICES")</f>
        <v xml:space="preserve">          6285 - JANITORIAL SERVICES</v>
      </c>
      <c r="C65" s="11"/>
      <c r="D65" s="6">
        <v>75.680000000000007</v>
      </c>
      <c r="E65" s="2"/>
      <c r="F65" s="7">
        <f t="shared" si="36"/>
        <v>2.2895327090363335E-3</v>
      </c>
      <c r="G65" s="2"/>
      <c r="H65" s="6"/>
      <c r="I65" s="2"/>
      <c r="J65" s="7">
        <f t="shared" si="37"/>
        <v>0</v>
      </c>
      <c r="K65" s="2"/>
      <c r="L65" s="6">
        <f t="shared" si="38"/>
        <v>75.680000000000007</v>
      </c>
      <c r="M65" s="2"/>
      <c r="N65" s="7">
        <f t="shared" si="39"/>
        <v>0</v>
      </c>
      <c r="O65" s="11"/>
      <c r="P65" s="6">
        <v>75.680000000000007</v>
      </c>
      <c r="Q65" s="2"/>
      <c r="R65" s="7">
        <f t="shared" si="40"/>
        <v>1.5960860460785486E-3</v>
      </c>
      <c r="S65" s="2"/>
      <c r="T65" s="6"/>
      <c r="U65" s="2"/>
      <c r="V65" s="7">
        <f t="shared" si="41"/>
        <v>0</v>
      </c>
      <c r="W65" s="2"/>
      <c r="X65" s="6">
        <f t="shared" si="42"/>
        <v>75.680000000000007</v>
      </c>
      <c r="Y65" s="2"/>
      <c r="Z65" s="7">
        <f t="shared" si="43"/>
        <v>0</v>
      </c>
    </row>
    <row r="66" spans="1:26" s="24" customFormat="1" hidden="1" outlineLevel="2" x14ac:dyDescent="0.25">
      <c r="A66" s="27"/>
      <c r="B66" s="11" t="str">
        <f>CONCATENATE("          ", "6286", " - ", "LAUNDRY EXPENSE")</f>
        <v xml:space="preserve">          6286 - LAUNDRY EXPENSE</v>
      </c>
      <c r="C66" s="11"/>
      <c r="D66" s="6">
        <v>372.21</v>
      </c>
      <c r="E66" s="2"/>
      <c r="F66" s="7">
        <f t="shared" si="36"/>
        <v>1.126039864733633E-2</v>
      </c>
      <c r="G66" s="2"/>
      <c r="H66" s="6"/>
      <c r="I66" s="2"/>
      <c r="J66" s="7">
        <f t="shared" si="37"/>
        <v>0</v>
      </c>
      <c r="K66" s="2"/>
      <c r="L66" s="6">
        <f t="shared" si="38"/>
        <v>372.21</v>
      </c>
      <c r="M66" s="2"/>
      <c r="N66" s="7">
        <f t="shared" si="39"/>
        <v>0</v>
      </c>
      <c r="O66" s="11"/>
      <c r="P66" s="6">
        <v>669.85</v>
      </c>
      <c r="Q66" s="2"/>
      <c r="R66" s="7">
        <f t="shared" si="40"/>
        <v>1.4127090882210831E-2</v>
      </c>
      <c r="S66" s="2"/>
      <c r="T66" s="6"/>
      <c r="U66" s="2"/>
      <c r="V66" s="7">
        <f t="shared" si="41"/>
        <v>0</v>
      </c>
      <c r="W66" s="2"/>
      <c r="X66" s="6">
        <f t="shared" si="42"/>
        <v>669.85</v>
      </c>
      <c r="Y66" s="2"/>
      <c r="Z66" s="7">
        <f t="shared" si="43"/>
        <v>0</v>
      </c>
    </row>
    <row r="67" spans="1:26" s="26" customFormat="1" outlineLevel="1" collapsed="1" x14ac:dyDescent="0.25">
      <c r="A67" s="25"/>
      <c r="B67" s="13" t="str">
        <f>CONCATENATE("     ","Supplies                                          ")</f>
        <v xml:space="preserve">     Supplies                                          </v>
      </c>
      <c r="C67" s="13"/>
      <c r="D67" s="1">
        <f>SUM(OSRRefD22_11x_0)</f>
        <v>5325.8600000000006</v>
      </c>
      <c r="E67" s="1"/>
      <c r="F67" s="5">
        <f t="shared" ref="F67:F72" si="44">IF(D$12=0,0,D67/D$12)</f>
        <v>0.16112223406115547</v>
      </c>
      <c r="G67" s="1"/>
      <c r="H67" s="1">
        <f>SUM(OSRRefH22_11x_0)</f>
        <v>739</v>
      </c>
      <c r="I67" s="1"/>
      <c r="J67" s="5">
        <f t="shared" ref="J67:J72" si="45">IF(H$12=0,0,H67/H$12)</f>
        <v>1.9302598929084498E-2</v>
      </c>
      <c r="K67" s="1"/>
      <c r="L67" s="1">
        <f t="shared" ref="L67:L72" si="46">+D67-H67</f>
        <v>4586.8600000000006</v>
      </c>
      <c r="M67" s="1"/>
      <c r="N67" s="5">
        <f t="shared" ref="N67:N72" si="47">IF(H67=0,0,L67/H67)</f>
        <v>6.2068470906630591</v>
      </c>
      <c r="O67" s="13"/>
      <c r="P67" s="1">
        <f>SUM(OSRRefP22_11x_0)</f>
        <v>6429.75</v>
      </c>
      <c r="Q67" s="1"/>
      <c r="R67" s="5">
        <f t="shared" ref="R67:R72" si="48">IF(P$12=0,0,P67/P$12)</f>
        <v>0.13560298962438619</v>
      </c>
      <c r="S67" s="1"/>
      <c r="T67" s="1">
        <f>SUM(OSRRefT22_11x_0)</f>
        <v>1093</v>
      </c>
      <c r="U67" s="1"/>
      <c r="V67" s="5">
        <f t="shared" ref="V67:V72" si="49">IF(T$12=0,0,T67/T$12)</f>
        <v>1.929765709140345E-2</v>
      </c>
      <c r="W67" s="1"/>
      <c r="X67" s="1">
        <f t="shared" ref="X67:X72" si="50">+P67-T67</f>
        <v>5336.75</v>
      </c>
      <c r="Y67" s="1"/>
      <c r="Z67" s="5">
        <f t="shared" ref="Z67:Z72" si="51">IF(T67=0,0,X67/T67)</f>
        <v>4.882662397072278</v>
      </c>
    </row>
    <row r="68" spans="1:26" s="24" customFormat="1" hidden="1" outlineLevel="2" x14ac:dyDescent="0.25">
      <c r="A68" s="27"/>
      <c r="B68" s="11" t="str">
        <f>CONCATENATE("          ", "6234", " - ", "EXPENDABLE SUPPLIES &amp; EQUIPMEN")</f>
        <v xml:space="preserve">          6234 - EXPENDABLE SUPPLIES &amp; EQUIPMEN</v>
      </c>
      <c r="C68" s="11"/>
      <c r="D68" s="6">
        <v>354.71</v>
      </c>
      <c r="E68" s="2"/>
      <c r="F68" s="7">
        <f t="shared" si="44"/>
        <v>1.0730974461182315E-2</v>
      </c>
      <c r="G68" s="2"/>
      <c r="H68" s="6"/>
      <c r="I68" s="2"/>
      <c r="J68" s="7">
        <f t="shared" si="45"/>
        <v>0</v>
      </c>
      <c r="K68" s="2"/>
      <c r="L68" s="6">
        <f t="shared" si="46"/>
        <v>354.71</v>
      </c>
      <c r="M68" s="2"/>
      <c r="N68" s="7">
        <f t="shared" si="47"/>
        <v>0</v>
      </c>
      <c r="O68" s="11"/>
      <c r="P68" s="6">
        <v>354.71</v>
      </c>
      <c r="Q68" s="2"/>
      <c r="R68" s="7">
        <f t="shared" si="48"/>
        <v>7.480809743717255E-3</v>
      </c>
      <c r="S68" s="2"/>
      <c r="T68" s="6"/>
      <c r="U68" s="2"/>
      <c r="V68" s="7">
        <f t="shared" si="49"/>
        <v>0</v>
      </c>
      <c r="W68" s="2"/>
      <c r="X68" s="6">
        <f t="shared" si="50"/>
        <v>354.71</v>
      </c>
      <c r="Y68" s="2"/>
      <c r="Z68" s="7">
        <f t="shared" si="51"/>
        <v>0</v>
      </c>
    </row>
    <row r="69" spans="1:26" s="24" customFormat="1" hidden="1" outlineLevel="2" x14ac:dyDescent="0.25">
      <c r="A69" s="27"/>
      <c r="B69" s="11" t="str">
        <f>CONCATENATE("          ", "6237", " - ", "JANITORIAL SUPPLIES")</f>
        <v xml:space="preserve">          6237 - JANITORIAL SUPPLIES</v>
      </c>
      <c r="C69" s="11"/>
      <c r="D69" s="6">
        <v>210</v>
      </c>
      <c r="E69" s="2"/>
      <c r="F69" s="7">
        <f t="shared" si="44"/>
        <v>6.3530902338481757E-3</v>
      </c>
      <c r="G69" s="2"/>
      <c r="H69" s="6"/>
      <c r="I69" s="2"/>
      <c r="J69" s="7">
        <f t="shared" si="45"/>
        <v>0</v>
      </c>
      <c r="K69" s="2"/>
      <c r="L69" s="6">
        <f t="shared" si="46"/>
        <v>210</v>
      </c>
      <c r="M69" s="2"/>
      <c r="N69" s="7">
        <f t="shared" si="47"/>
        <v>0</v>
      </c>
      <c r="O69" s="11"/>
      <c r="P69" s="6">
        <v>234.25</v>
      </c>
      <c r="Q69" s="2"/>
      <c r="R69" s="7">
        <f t="shared" si="48"/>
        <v>4.9403165472238367E-3</v>
      </c>
      <c r="S69" s="2"/>
      <c r="T69" s="6"/>
      <c r="U69" s="2"/>
      <c r="V69" s="7">
        <f t="shared" si="49"/>
        <v>0</v>
      </c>
      <c r="W69" s="2"/>
      <c r="X69" s="6">
        <f t="shared" si="50"/>
        <v>234.25</v>
      </c>
      <c r="Y69" s="2"/>
      <c r="Z69" s="7">
        <f t="shared" si="51"/>
        <v>0</v>
      </c>
    </row>
    <row r="70" spans="1:26" s="24" customFormat="1" hidden="1" outlineLevel="2" x14ac:dyDescent="0.25">
      <c r="A70" s="27"/>
      <c r="B70" s="11" t="str">
        <f>CONCATENATE("          ", "6241", " - ", "OFFICE EXPENSE")</f>
        <v xml:space="preserve">          6241 - OFFICE EXPENSE</v>
      </c>
      <c r="C70" s="11"/>
      <c r="D70" s="6">
        <v>221.19</v>
      </c>
      <c r="E70" s="2"/>
      <c r="F70" s="7">
        <f t="shared" si="44"/>
        <v>6.6916191848803716E-3</v>
      </c>
      <c r="G70" s="2"/>
      <c r="H70" s="6"/>
      <c r="I70" s="2"/>
      <c r="J70" s="7">
        <f t="shared" si="45"/>
        <v>0</v>
      </c>
      <c r="K70" s="2"/>
      <c r="L70" s="6">
        <f t="shared" si="46"/>
        <v>221.19</v>
      </c>
      <c r="M70" s="2"/>
      <c r="N70" s="7">
        <f t="shared" si="47"/>
        <v>0</v>
      </c>
      <c r="O70" s="11"/>
      <c r="P70" s="6">
        <v>416.4</v>
      </c>
      <c r="Q70" s="2"/>
      <c r="R70" s="7">
        <f t="shared" si="48"/>
        <v>8.7818476425357752E-3</v>
      </c>
      <c r="S70" s="2"/>
      <c r="T70" s="6"/>
      <c r="U70" s="2"/>
      <c r="V70" s="7">
        <f t="shared" si="49"/>
        <v>0</v>
      </c>
      <c r="W70" s="2"/>
      <c r="X70" s="6">
        <f t="shared" si="50"/>
        <v>416.4</v>
      </c>
      <c r="Y70" s="2"/>
      <c r="Z70" s="7">
        <f t="shared" si="51"/>
        <v>0</v>
      </c>
    </row>
    <row r="71" spans="1:26" s="24" customFormat="1" hidden="1" outlineLevel="2" x14ac:dyDescent="0.25">
      <c r="A71" s="27"/>
      <c r="B71" s="11" t="str">
        <f>CONCATENATE("          ", "6243", " - ", "PAPER SUPPLIES")</f>
        <v xml:space="preserve">          6243 - PAPER SUPPLIES</v>
      </c>
      <c r="C71" s="11"/>
      <c r="D71" s="6">
        <v>110.29</v>
      </c>
      <c r="E71" s="2"/>
      <c r="F71" s="7">
        <f t="shared" si="44"/>
        <v>3.3365824851957875E-3</v>
      </c>
      <c r="G71" s="2"/>
      <c r="H71" s="6"/>
      <c r="I71" s="2"/>
      <c r="J71" s="7">
        <f t="shared" si="45"/>
        <v>0</v>
      </c>
      <c r="K71" s="2"/>
      <c r="L71" s="6">
        <f t="shared" si="46"/>
        <v>110.29</v>
      </c>
      <c r="M71" s="2"/>
      <c r="N71" s="7">
        <f t="shared" si="47"/>
        <v>0</v>
      </c>
      <c r="O71" s="11"/>
      <c r="P71" s="6">
        <v>110.29</v>
      </c>
      <c r="Q71" s="2"/>
      <c r="R71" s="7">
        <f t="shared" si="48"/>
        <v>2.3260085890856649E-3</v>
      </c>
      <c r="S71" s="2"/>
      <c r="T71" s="6"/>
      <c r="U71" s="2"/>
      <c r="V71" s="7">
        <f t="shared" si="49"/>
        <v>0</v>
      </c>
      <c r="W71" s="2"/>
      <c r="X71" s="6">
        <f t="shared" si="50"/>
        <v>110.29</v>
      </c>
      <c r="Y71" s="2"/>
      <c r="Z71" s="7">
        <f t="shared" si="51"/>
        <v>0</v>
      </c>
    </row>
    <row r="72" spans="1:26" s="24" customFormat="1" hidden="1" outlineLevel="2" x14ac:dyDescent="0.25">
      <c r="A72" s="27"/>
      <c r="B72" s="11" t="str">
        <f>CONCATENATE("          ", "6247", " - ", "STORE SUPPLIES")</f>
        <v xml:space="preserve">          6247 - STORE SUPPLIES</v>
      </c>
      <c r="C72" s="11"/>
      <c r="D72" s="6">
        <v>4429.67</v>
      </c>
      <c r="E72" s="2"/>
      <c r="F72" s="7">
        <f t="shared" si="44"/>
        <v>0.13400996769604881</v>
      </c>
      <c r="G72" s="2"/>
      <c r="H72" s="6">
        <v>739</v>
      </c>
      <c r="I72" s="2"/>
      <c r="J72" s="7">
        <f t="shared" si="45"/>
        <v>1.9302598929084498E-2</v>
      </c>
      <c r="K72" s="2"/>
      <c r="L72" s="6">
        <f t="shared" si="46"/>
        <v>3690.67</v>
      </c>
      <c r="M72" s="2"/>
      <c r="N72" s="7">
        <f t="shared" si="47"/>
        <v>4.9941407307171852</v>
      </c>
      <c r="O72" s="11"/>
      <c r="P72" s="6">
        <v>5314.1</v>
      </c>
      <c r="Q72" s="2"/>
      <c r="R72" s="7">
        <f t="shared" si="48"/>
        <v>0.11207400710182366</v>
      </c>
      <c r="S72" s="2"/>
      <c r="T72" s="6">
        <v>1093</v>
      </c>
      <c r="U72" s="2"/>
      <c r="V72" s="7">
        <f t="shared" si="49"/>
        <v>1.929765709140345E-2</v>
      </c>
      <c r="W72" s="2"/>
      <c r="X72" s="6">
        <f t="shared" si="50"/>
        <v>4221.1000000000004</v>
      </c>
      <c r="Y72" s="2"/>
      <c r="Z72" s="7">
        <f t="shared" si="51"/>
        <v>3.8619396157365053</v>
      </c>
    </row>
    <row r="73" spans="1:26" s="26" customFormat="1" outlineLevel="1" collapsed="1" x14ac:dyDescent="0.25">
      <c r="A73" s="25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SUM(OSRRefD22_12x_0)</f>
        <v>36</v>
      </c>
      <c r="E73" s="1"/>
      <c r="F73" s="5">
        <f t="shared" ref="F73:F76" si="52">IF(D$12=0,0,D73/D$12)</f>
        <v>1.0891011829454015E-3</v>
      </c>
      <c r="G73" s="1"/>
      <c r="H73" s="1">
        <f>SUM(OSRRefH22_12x_0)</f>
        <v>75</v>
      </c>
      <c r="I73" s="1"/>
      <c r="J73" s="5">
        <f t="shared" ref="J73:J76" si="53">IF(H$12=0,0,H73/H$12)</f>
        <v>1.9589917722345565E-3</v>
      </c>
      <c r="K73" s="1"/>
      <c r="L73" s="1">
        <f t="shared" ref="L73:L76" si="54">+D73-H73</f>
        <v>-39</v>
      </c>
      <c r="M73" s="1"/>
      <c r="N73" s="5">
        <f t="shared" ref="N73:N76" si="55">IF(H73=0,0,L73/H73)</f>
        <v>-0.52</v>
      </c>
      <c r="O73" s="13"/>
      <c r="P73" s="1">
        <f>SUM(OSRRefP22_12x_0)</f>
        <v>48</v>
      </c>
      <c r="Q73" s="1"/>
      <c r="R73" s="5">
        <f t="shared" ref="R73:R76" si="56">IF(P$12=0,0,P73/P$12)</f>
        <v>1.0123167311280434E-3</v>
      </c>
      <c r="S73" s="1"/>
      <c r="T73" s="1">
        <f>SUM(OSRRefT22_12x_0)</f>
        <v>150</v>
      </c>
      <c r="U73" s="1"/>
      <c r="V73" s="5">
        <f t="shared" ref="V73:V76" si="57">IF(T$12=0,0,T73/T$12)</f>
        <v>2.6483518423700983E-3</v>
      </c>
      <c r="W73" s="1"/>
      <c r="X73" s="1">
        <f t="shared" ref="X73:X76" si="58">+P73-T73</f>
        <v>-102</v>
      </c>
      <c r="Y73" s="1"/>
      <c r="Z73" s="5">
        <f t="shared" ref="Z73:Z76" si="59">IF(T73=0,0,X73/T73)</f>
        <v>-0.68</v>
      </c>
    </row>
    <row r="74" spans="1:26" s="24" customFormat="1" hidden="1" outlineLevel="2" x14ac:dyDescent="0.25">
      <c r="A74" s="27"/>
      <c r="B74" s="11" t="str">
        <f>CONCATENATE("          ", "6309", " - ", "TELEPHONE")</f>
        <v xml:space="preserve">          6309 - TELEPHONE</v>
      </c>
      <c r="C74" s="11"/>
      <c r="D74" s="6">
        <v>36</v>
      </c>
      <c r="E74" s="2"/>
      <c r="F74" s="7">
        <f t="shared" si="52"/>
        <v>1.0891011829454015E-3</v>
      </c>
      <c r="G74" s="2"/>
      <c r="H74" s="6">
        <v>75</v>
      </c>
      <c r="I74" s="2"/>
      <c r="J74" s="7">
        <f t="shared" si="53"/>
        <v>1.9589917722345565E-3</v>
      </c>
      <c r="K74" s="2"/>
      <c r="L74" s="6">
        <f t="shared" si="54"/>
        <v>-39</v>
      </c>
      <c r="M74" s="2"/>
      <c r="N74" s="7">
        <f t="shared" si="55"/>
        <v>-0.52</v>
      </c>
      <c r="O74" s="11"/>
      <c r="P74" s="6">
        <v>48</v>
      </c>
      <c r="Q74" s="2"/>
      <c r="R74" s="7">
        <f t="shared" si="56"/>
        <v>1.0123167311280434E-3</v>
      </c>
      <c r="S74" s="2"/>
      <c r="T74" s="6">
        <v>150</v>
      </c>
      <c r="U74" s="2"/>
      <c r="V74" s="7">
        <f t="shared" si="57"/>
        <v>2.6483518423700983E-3</v>
      </c>
      <c r="W74" s="2"/>
      <c r="X74" s="6">
        <f t="shared" si="58"/>
        <v>-102</v>
      </c>
      <c r="Y74" s="2"/>
      <c r="Z74" s="7">
        <f t="shared" si="59"/>
        <v>-0.68</v>
      </c>
    </row>
    <row r="75" spans="1:26" s="26" customFormat="1" outlineLevel="1" collapsed="1" x14ac:dyDescent="0.25">
      <c r="A75" s="25"/>
      <c r="B75" s="13" t="str">
        <f>CONCATENATE("     ","Utilities                                         ")</f>
        <v xml:space="preserve">     Utilities                                         </v>
      </c>
      <c r="C75" s="13"/>
      <c r="D75" s="1">
        <f>SUM(OSRRefD22_13x_0)</f>
        <v>0</v>
      </c>
      <c r="E75" s="1"/>
      <c r="F75" s="5">
        <f t="shared" si="52"/>
        <v>0</v>
      </c>
      <c r="G75" s="1"/>
      <c r="H75" s="1">
        <f>SUM(OSRRefH22_13x_0)</f>
        <v>0</v>
      </c>
      <c r="I75" s="1"/>
      <c r="J75" s="5">
        <f t="shared" si="53"/>
        <v>0</v>
      </c>
      <c r="K75" s="1"/>
      <c r="L75" s="1">
        <f t="shared" si="54"/>
        <v>0</v>
      </c>
      <c r="M75" s="1"/>
      <c r="N75" s="5">
        <f t="shared" si="55"/>
        <v>0</v>
      </c>
      <c r="O75" s="13"/>
      <c r="P75" s="1">
        <f>SUM(OSRRefP22_13x_0)</f>
        <v>182</v>
      </c>
      <c r="Q75" s="1"/>
      <c r="R75" s="5">
        <f t="shared" si="56"/>
        <v>3.8383676055271645E-3</v>
      </c>
      <c r="S75" s="1"/>
      <c r="T75" s="1">
        <f>SUM(OSRRefT22_13x_0)</f>
        <v>0</v>
      </c>
      <c r="U75" s="1"/>
      <c r="V75" s="5">
        <f t="shared" si="57"/>
        <v>0</v>
      </c>
      <c r="W75" s="1"/>
      <c r="X75" s="1">
        <f t="shared" si="58"/>
        <v>182</v>
      </c>
      <c r="Y75" s="1"/>
      <c r="Z75" s="5">
        <f t="shared" si="59"/>
        <v>0</v>
      </c>
    </row>
    <row r="76" spans="1:26" s="24" customFormat="1" hidden="1" outlineLevel="2" x14ac:dyDescent="0.25">
      <c r="A76" s="27"/>
      <c r="B76" s="11" t="str">
        <f>CONCATENATE("          ", "6274", " - ", "UTILITIES")</f>
        <v xml:space="preserve">          6274 - UTILITIES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>
        <v>182</v>
      </c>
      <c r="Q76" s="2"/>
      <c r="R76" s="7">
        <f t="shared" si="56"/>
        <v>3.8383676055271645E-3</v>
      </c>
      <c r="S76" s="2"/>
      <c r="T76" s="6"/>
      <c r="U76" s="2"/>
      <c r="V76" s="7">
        <f t="shared" si="57"/>
        <v>0</v>
      </c>
      <c r="W76" s="2"/>
      <c r="X76" s="6">
        <f t="shared" si="58"/>
        <v>182</v>
      </c>
      <c r="Y76" s="2"/>
      <c r="Z76" s="7">
        <f t="shared" si="59"/>
        <v>0</v>
      </c>
    </row>
    <row r="77" spans="1:26" s="63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8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2">
        <f>+D22-D24+D78</f>
        <v>-11105.849999999999</v>
      </c>
      <c r="E80" s="14"/>
      <c r="F80" s="20">
        <f>IF(D$12=0,0,D80/D$12)</f>
        <v>-0.33598317701706076</v>
      </c>
      <c r="G80" s="14"/>
      <c r="H80" s="22">
        <f>+H22-H24+H78</f>
        <v>-746.81321076922904</v>
      </c>
      <c r="I80" s="14"/>
      <c r="J80" s="20">
        <f>IF(H$12=0,0,H80/H$12)</f>
        <v>-1.9506679137239885E-2</v>
      </c>
      <c r="K80" s="15"/>
      <c r="L80" s="22">
        <f>+D80-H80</f>
        <v>-10359.03678923077</v>
      </c>
      <c r="M80" s="15"/>
      <c r="N80" s="20">
        <f>IF(H80=0,0,L80/H80)</f>
        <v>13.87098760419731</v>
      </c>
      <c r="O80" s="28"/>
      <c r="P80" s="22">
        <f>+P22-P24+P78</f>
        <v>-23808.7</v>
      </c>
      <c r="Q80" s="14"/>
      <c r="R80" s="20">
        <f>IF(P$12=0,0,P80/P$12)</f>
        <v>-0.50212386159183853</v>
      </c>
      <c r="S80" s="14"/>
      <c r="T80" s="22">
        <f>+T22-T24+T78</f>
        <v>-7040.0056367307698</v>
      </c>
      <c r="U80" s="14"/>
      <c r="V80" s="20">
        <f>IF(T$12=0,0,T80/T$12)</f>
        <v>-0.12429607932221208</v>
      </c>
      <c r="W80" s="15"/>
      <c r="X80" s="22">
        <f>+P80-T80</f>
        <v>-16768.694363269231</v>
      </c>
      <c r="Y80" s="15"/>
      <c r="Z80" s="20">
        <f>IF(T80=0,0,X80/T80)</f>
        <v>2.3819149058318452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2925.79</v>
      </c>
      <c r="E82" s="4"/>
      <c r="F82" s="12">
        <f>IF(D$12=0,0,D82/D$12)</f>
        <v>8.85133708347174E-2</v>
      </c>
      <c r="G82" s="4"/>
      <c r="H82" s="4">
        <v>4725</v>
      </c>
      <c r="I82" s="4"/>
      <c r="J82" s="12">
        <f>IF(H$12=0,0,H82/H$12)</f>
        <v>0.12341648165077707</v>
      </c>
      <c r="K82" s="4"/>
      <c r="L82" s="4">
        <f>+D82-H82</f>
        <v>-1799.21</v>
      </c>
      <c r="M82" s="4"/>
      <c r="N82" s="12">
        <f>IF(H82=0,0,L82/H82)</f>
        <v>-0.38078518518518517</v>
      </c>
      <c r="O82" s="10"/>
      <c r="P82" s="4">
        <v>5911.91</v>
      </c>
      <c r="Q82" s="4"/>
      <c r="R82" s="12">
        <f>IF(P$12=0,0,P82/P$12)</f>
        <v>0.12468177929006648</v>
      </c>
      <c r="S82" s="4"/>
      <c r="T82" s="4">
        <v>9198</v>
      </c>
      <c r="U82" s="4"/>
      <c r="V82" s="12">
        <f>IF(T$12=0,0,T82/T$12)</f>
        <v>0.16239693497413443</v>
      </c>
      <c r="W82" s="4"/>
      <c r="X82" s="4">
        <f>+P82-T82</f>
        <v>-3286.09</v>
      </c>
      <c r="Y82" s="4"/>
      <c r="Z82" s="12">
        <f>IF(T82=0,0,X82/T82)</f>
        <v>-0.35726136116547075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1">
        <f>+D80-D82</f>
        <v>-14031.64</v>
      </c>
      <c r="E84" s="14"/>
      <c r="F84" s="32">
        <f>IF(D$12=0,0,D84/D$12)</f>
        <v>-0.42449654785177815</v>
      </c>
      <c r="G84" s="14"/>
      <c r="H84" s="31">
        <f>+H80-H82</f>
        <v>-5471.813210769229</v>
      </c>
      <c r="I84" s="14"/>
      <c r="J84" s="32">
        <f>IF(H$12=0,0,H84/H$12)</f>
        <v>-0.14292316078801695</v>
      </c>
      <c r="K84" s="15"/>
      <c r="L84" s="31">
        <f>D84-H84</f>
        <v>-8559.8267892307704</v>
      </c>
      <c r="M84" s="15"/>
      <c r="N84" s="32">
        <f>IF(H84=0,0,L84/H84)</f>
        <v>1.564349231144063</v>
      </c>
      <c r="O84" s="28"/>
      <c r="P84" s="31">
        <f>+P80-P82</f>
        <v>-29720.61</v>
      </c>
      <c r="Q84" s="14"/>
      <c r="R84" s="32">
        <f>IF(P$12=0,0,P84/P$12)</f>
        <v>-0.62680564088190494</v>
      </c>
      <c r="S84" s="14"/>
      <c r="T84" s="31">
        <f>+T80-T82</f>
        <v>-16238.00563673077</v>
      </c>
      <c r="U84" s="14"/>
      <c r="V84" s="32">
        <f>IF(T$12=0,0,T84/T$12)</f>
        <v>-0.28669301429634653</v>
      </c>
      <c r="W84" s="15"/>
      <c r="X84" s="31">
        <f>P84-T84</f>
        <v>-13482.604363269231</v>
      </c>
      <c r="Y84" s="15"/>
      <c r="Z84" s="32">
        <f>IF(T84=0,0,X84/T84)</f>
        <v>0.83031159521039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3">
        <f>SUM(D84:D86)</f>
        <v>-14031.64</v>
      </c>
      <c r="E87" s="14"/>
      <c r="F87" s="35">
        <f>IF(D$12=0,0,D87/D$12)</f>
        <v>-0.42449654785177815</v>
      </c>
      <c r="G87" s="14"/>
      <c r="H87" s="33">
        <f>SUM(H84:H86)</f>
        <v>-5471.813210769229</v>
      </c>
      <c r="I87" s="14"/>
      <c r="J87" s="35">
        <f>IF(H$12=0,0,H87/H$12)</f>
        <v>-0.14292316078801695</v>
      </c>
      <c r="K87" s="15"/>
      <c r="L87" s="33">
        <f>+D87-H87</f>
        <v>-8559.8267892307704</v>
      </c>
      <c r="M87" s="15"/>
      <c r="N87" s="35">
        <f>IF(H87=0,0,L87/H87)</f>
        <v>1.564349231144063</v>
      </c>
      <c r="O87" s="28"/>
      <c r="P87" s="33">
        <f>SUM(P84:P86)</f>
        <v>-29720.61</v>
      </c>
      <c r="Q87" s="14"/>
      <c r="R87" s="35">
        <f>IF(P$12=0,0,P87/P$12)</f>
        <v>-0.62680564088190494</v>
      </c>
      <c r="S87" s="14"/>
      <c r="T87" s="33">
        <f>SUM(T84:T86)</f>
        <v>-16238.00563673077</v>
      </c>
      <c r="U87" s="14"/>
      <c r="V87" s="35">
        <f>IF(T$12=0,0,T87/T$12)</f>
        <v>-0.28669301429634653</v>
      </c>
      <c r="W87" s="15"/>
      <c r="X87" s="33">
        <f>+P87-T87</f>
        <v>-13482.604363269231</v>
      </c>
      <c r="Y87" s="15"/>
      <c r="Z87" s="35">
        <f>IF(T87=0,0,X87/T87)</f>
        <v>0.83031159521039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61">
        <v>43732.706147106481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62" t="s">
        <v>314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8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","323", " - ", "Library Copy Center")</f>
        <v>Department 323 - Library Copy Center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SUM(0)</f>
        <v>0</v>
      </c>
      <c r="E18" s="19"/>
      <c r="F18" s="34">
        <f>IF(D$12=0,0,D18/D$12)</f>
        <v>0</v>
      </c>
      <c r="G18" s="19"/>
      <c r="H18" s="19">
        <f>SUM(0)</f>
        <v>0</v>
      </c>
      <c r="I18" s="19"/>
      <c r="J18" s="34">
        <f>IF(H$12=0,0,H18/H$12)</f>
        <v>0</v>
      </c>
      <c r="K18" s="4"/>
      <c r="L18" s="19">
        <f>+D18-H18</f>
        <v>0</v>
      </c>
      <c r="M18" s="4"/>
      <c r="N18" s="34">
        <f>IF(H18=0,0,L18/H18)</f>
        <v>0</v>
      </c>
      <c r="O18" s="10"/>
      <c r="P18" s="19">
        <f>SUM(0)</f>
        <v>0</v>
      </c>
      <c r="Q18" s="19"/>
      <c r="R18" s="34">
        <f>IF(P$12=0,0,P18/P$12)</f>
        <v>0</v>
      </c>
      <c r="S18" s="19"/>
      <c r="T18" s="19">
        <f>SUM(0)</f>
        <v>0</v>
      </c>
      <c r="U18" s="19"/>
      <c r="V18" s="34">
        <f>IF(T$12=0,0,T18/T$12)</f>
        <v>0</v>
      </c>
      <c r="W18" s="4"/>
      <c r="X18" s="19">
        <f>+P18-T18</f>
        <v>0</v>
      </c>
      <c r="Y18" s="4"/>
      <c r="Z18" s="34">
        <f>IF(T18=0,0,X18/T18)</f>
        <v>0</v>
      </c>
    </row>
    <row r="19" spans="1:26" s="6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5"/>
      <c r="L26" s="31">
        <f>D26-H26</f>
        <v>0</v>
      </c>
      <c r="M26" s="15"/>
      <c r="N26" s="32">
        <f>IF(H26=0,0,L26/H26)</f>
        <v>0</v>
      </c>
      <c r="O26" s="28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5"/>
      <c r="X26" s="31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3">
        <f>SUM(D26:D28)</f>
        <v>0</v>
      </c>
      <c r="E29" s="14"/>
      <c r="F29" s="35">
        <f>IF(D$12=0,0,D29/D$12)</f>
        <v>0</v>
      </c>
      <c r="G29" s="14"/>
      <c r="H29" s="33">
        <f>SUM(H26:H28)</f>
        <v>0</v>
      </c>
      <c r="I29" s="14"/>
      <c r="J29" s="35">
        <f>IF(H$12=0,0,H29/H$12)</f>
        <v>0</v>
      </c>
      <c r="K29" s="15"/>
      <c r="L29" s="33">
        <f>+D29-H29</f>
        <v>0</v>
      </c>
      <c r="M29" s="15"/>
      <c r="N29" s="35">
        <f>IF(H29=0,0,L29/H29)</f>
        <v>0</v>
      </c>
      <c r="O29" s="28"/>
      <c r="P29" s="33">
        <f>SUM(P26:P28)</f>
        <v>0</v>
      </c>
      <c r="Q29" s="14"/>
      <c r="R29" s="35">
        <f>IF(P$12=0,0,P29/P$12)</f>
        <v>0</v>
      </c>
      <c r="S29" s="14"/>
      <c r="T29" s="33">
        <f>SUM(T26:T28)</f>
        <v>0</v>
      </c>
      <c r="U29" s="14"/>
      <c r="V29" s="35">
        <f>IF(T$12=0,0,T29/T$12)</f>
        <v>0</v>
      </c>
      <c r="W29" s="15"/>
      <c r="X29" s="33">
        <f>+P29-T29</f>
        <v>0</v>
      </c>
      <c r="Y29" s="15"/>
      <c r="Z29" s="35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2"/>
      <c r="K30" s="17"/>
      <c r="L30" s="17"/>
      <c r="M30" s="17"/>
      <c r="P30" s="17"/>
      <c r="Q30" s="17"/>
      <c r="R30" s="42"/>
      <c r="S30" s="17"/>
      <c r="T30" s="17"/>
      <c r="U30" s="17"/>
      <c r="V30" s="42"/>
      <c r="W30" s="17"/>
      <c r="X30" s="17"/>
    </row>
    <row r="31" spans="1:26" x14ac:dyDescent="0.25">
      <c r="A31" s="9"/>
      <c r="B31" s="61">
        <v>43732.706164467592</v>
      </c>
      <c r="D31" s="17"/>
      <c r="E31" s="17"/>
      <c r="G31" s="17"/>
      <c r="H31" s="17"/>
      <c r="I31" s="17"/>
      <c r="J31" s="42"/>
      <c r="K31" s="17"/>
      <c r="L31" s="17"/>
      <c r="M31" s="17"/>
      <c r="P31" s="17"/>
      <c r="Q31" s="17"/>
      <c r="R31" s="42"/>
      <c r="S31" s="17"/>
      <c r="T31" s="17"/>
      <c r="U31" s="17"/>
      <c r="V31" s="42"/>
      <c r="W31" s="17"/>
      <c r="X31" s="17"/>
    </row>
    <row r="32" spans="1:26" x14ac:dyDescent="0.25">
      <c r="A32" s="9"/>
      <c r="B32" s="62" t="s">
        <v>314</v>
      </c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8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","324", " - ", "Textbook Rental")</f>
        <v>Department 324 - Textbook Rental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692067.47</v>
      </c>
      <c r="E12" s="4"/>
      <c r="F12" s="12"/>
      <c r="G12" s="4"/>
      <c r="H12" s="4">
        <f>SUM(OSRRefH13x_0)</f>
        <v>805000</v>
      </c>
      <c r="I12" s="4"/>
      <c r="J12" s="12"/>
      <c r="K12" s="4"/>
      <c r="L12" s="4">
        <f t="shared" ref="L12:L15" si="0">+D12-H12</f>
        <v>-112932.53000000003</v>
      </c>
      <c r="M12" s="4"/>
      <c r="N12" s="12">
        <f t="shared" ref="N12:N15" si="1">IF(H12=0,0,L12/H12)</f>
        <v>-0.14028885714285719</v>
      </c>
      <c r="O12" s="10"/>
      <c r="P12" s="4">
        <f>SUM(OSRRefP13x_0)</f>
        <v>706664.63</v>
      </c>
      <c r="Q12" s="4"/>
      <c r="R12" s="12"/>
      <c r="S12" s="4"/>
      <c r="T12" s="4">
        <f>SUM(OSRRefT13x_0)</f>
        <v>831500</v>
      </c>
      <c r="U12" s="4"/>
      <c r="V12" s="12"/>
      <c r="W12" s="4"/>
      <c r="X12" s="4">
        <f t="shared" ref="X12:X15" si="2">+P12-T12</f>
        <v>-124835.37</v>
      </c>
      <c r="Y12" s="4"/>
      <c r="Z12" s="12">
        <f t="shared" ref="Z12:Z15" si="3">IF(T12=0,0,X12/T12)</f>
        <v>-0.15013273601924232</v>
      </c>
    </row>
    <row r="13" spans="1:26" s="24" customFormat="1" hidden="1" outlineLevel="1" x14ac:dyDescent="0.25">
      <c r="A13" s="46"/>
      <c r="B13" s="11" t="str">
        <f>CONCATENATE("          ", "4001", " - ", "TAXABLE SALES-NEW TEXT")</f>
        <v xml:space="preserve">          4001 - TAXABLE SALES-NEW TEXT</v>
      </c>
      <c r="C13" s="11"/>
      <c r="D13" s="2">
        <f>--179739.63</f>
        <v>179739.63</v>
      </c>
      <c r="E13" s="2"/>
      <c r="F13" s="21"/>
      <c r="G13" s="2"/>
      <c r="H13" s="2"/>
      <c r="I13" s="2"/>
      <c r="J13" s="21"/>
      <c r="K13" s="2"/>
      <c r="L13" s="2">
        <f t="shared" si="0"/>
        <v>179739.63</v>
      </c>
      <c r="M13" s="2"/>
      <c r="N13" s="21">
        <f t="shared" si="1"/>
        <v>0</v>
      </c>
      <c r="O13" s="11"/>
      <c r="P13" s="2">
        <f>--182113.73</f>
        <v>182113.73</v>
      </c>
      <c r="Q13" s="2"/>
      <c r="R13" s="21"/>
      <c r="S13" s="2"/>
      <c r="T13" s="2"/>
      <c r="U13" s="2"/>
      <c r="V13" s="21"/>
      <c r="W13" s="2"/>
      <c r="X13" s="2">
        <f t="shared" si="2"/>
        <v>182113.73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"4002", " - ", "TAXABLE SALES-USED TEXT")</f>
        <v xml:space="preserve">          4002 - TAXABLE SALES-USED TEXT</v>
      </c>
      <c r="C14" s="11"/>
      <c r="D14" s="2">
        <f>--251075.61</f>
        <v>251075.61</v>
      </c>
      <c r="E14" s="2"/>
      <c r="F14" s="21"/>
      <c r="G14" s="2"/>
      <c r="H14" s="2"/>
      <c r="I14" s="2"/>
      <c r="J14" s="21"/>
      <c r="K14" s="2"/>
      <c r="L14" s="2">
        <f t="shared" si="0"/>
        <v>251075.61</v>
      </c>
      <c r="M14" s="2"/>
      <c r="N14" s="21">
        <f t="shared" si="1"/>
        <v>0</v>
      </c>
      <c r="O14" s="11"/>
      <c r="P14" s="2">
        <f>--259036.47</f>
        <v>259036.47</v>
      </c>
      <c r="Q14" s="2"/>
      <c r="R14" s="21"/>
      <c r="S14" s="2"/>
      <c r="T14" s="2"/>
      <c r="U14" s="2"/>
      <c r="V14" s="21"/>
      <c r="W14" s="2"/>
      <c r="X14" s="2">
        <f t="shared" si="2"/>
        <v>259036.47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--261252.23</f>
        <v>261252.23</v>
      </c>
      <c r="E15" s="2"/>
      <c r="F15" s="21"/>
      <c r="G15" s="2"/>
      <c r="H15" s="2">
        <v>805000</v>
      </c>
      <c r="I15" s="2"/>
      <c r="J15" s="21"/>
      <c r="K15" s="2"/>
      <c r="L15" s="2">
        <f t="shared" si="0"/>
        <v>-543747.77</v>
      </c>
      <c r="M15" s="2"/>
      <c r="N15" s="21">
        <f t="shared" si="1"/>
        <v>-0.67546306832298142</v>
      </c>
      <c r="O15" s="11"/>
      <c r="P15" s="2">
        <f>--265514.43</f>
        <v>265514.43</v>
      </c>
      <c r="Q15" s="2"/>
      <c r="R15" s="21"/>
      <c r="S15" s="2"/>
      <c r="T15" s="2">
        <v>831500</v>
      </c>
      <c r="U15" s="2"/>
      <c r="V15" s="21"/>
      <c r="W15" s="2"/>
      <c r="X15" s="2">
        <f t="shared" si="2"/>
        <v>-565985.57000000007</v>
      </c>
      <c r="Y15" s="2"/>
      <c r="Z15" s="21">
        <f t="shared" si="3"/>
        <v>-0.68068018039687317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522017.38</v>
      </c>
      <c r="E17" s="4"/>
      <c r="F17" s="12">
        <f t="shared" ref="F17:F20" si="4">IF(D$12=0,0,D17/D$12)</f>
        <v>0.75428683275634967</v>
      </c>
      <c r="G17" s="4"/>
      <c r="H17" s="4">
        <f>SUM(OSRRefH16x_0)</f>
        <v>579033.89</v>
      </c>
      <c r="I17" s="4"/>
      <c r="J17" s="12">
        <f t="shared" ref="J17:J20" si="5">IF(H$12=0,0,H17/H$12)</f>
        <v>0.71929675776397517</v>
      </c>
      <c r="K17" s="4"/>
      <c r="L17" s="4">
        <f t="shared" ref="L17:L20" si="6">+D17-H17</f>
        <v>-57016.510000000009</v>
      </c>
      <c r="M17" s="4"/>
      <c r="N17" s="12">
        <f t="shared" ref="N17:N20" si="7">IF(H17=0,0,L17/H17)</f>
        <v>-9.8468346990881667E-2</v>
      </c>
      <c r="O17" s="10"/>
      <c r="P17" s="4">
        <f>SUM(OSRRefP16x_0)</f>
        <v>534720.98</v>
      </c>
      <c r="Q17" s="4"/>
      <c r="R17" s="12">
        <f t="shared" ref="R17:R20" si="8">IF(P$12=0,0,P17/P$12)</f>
        <v>0.75668281289244654</v>
      </c>
      <c r="S17" s="4"/>
      <c r="T17" s="4">
        <f>SUM(OSRRefT16x_0)</f>
        <v>598288.24</v>
      </c>
      <c r="U17" s="4"/>
      <c r="V17" s="12">
        <f t="shared" ref="V17:V20" si="9">IF(T$12=0,0,T17/T$12)</f>
        <v>0.71952885147324108</v>
      </c>
      <c r="W17" s="4"/>
      <c r="X17" s="4">
        <f t="shared" ref="X17:X20" si="10">+P17-T17</f>
        <v>-63567.260000000009</v>
      </c>
      <c r="Y17" s="4"/>
      <c r="Z17" s="12">
        <f t="shared" ref="Z17:Z20" si="11">IF(T17=0,0,X17/T17)</f>
        <v>-0.10624855337286926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1">
        <f t="shared" si="4"/>
        <v>0</v>
      </c>
      <c r="G18" s="2"/>
      <c r="H18" s="2">
        <v>579033.89</v>
      </c>
      <c r="I18" s="2"/>
      <c r="J18" s="21">
        <f t="shared" si="5"/>
        <v>0.71929675776397517</v>
      </c>
      <c r="K18" s="2"/>
      <c r="L18" s="2">
        <f t="shared" si="6"/>
        <v>-579033.89</v>
      </c>
      <c r="M18" s="2"/>
      <c r="N18" s="21">
        <f t="shared" si="7"/>
        <v>-1</v>
      </c>
      <c r="O18" s="11"/>
      <c r="P18" s="2"/>
      <c r="Q18" s="2"/>
      <c r="R18" s="21">
        <f t="shared" si="8"/>
        <v>0</v>
      </c>
      <c r="S18" s="2"/>
      <c r="T18" s="2">
        <v>598288.24</v>
      </c>
      <c r="U18" s="2"/>
      <c r="V18" s="21">
        <f t="shared" si="9"/>
        <v>0.71952885147324108</v>
      </c>
      <c r="W18" s="2"/>
      <c r="X18" s="2">
        <f t="shared" si="10"/>
        <v>-598288.24</v>
      </c>
      <c r="Y18" s="2"/>
      <c r="Z18" s="21">
        <f t="shared" si="11"/>
        <v>-1</v>
      </c>
    </row>
    <row r="19" spans="1:26" s="24" customFormat="1" hidden="1" outlineLevel="1" x14ac:dyDescent="0.25">
      <c r="A19" s="46"/>
      <c r="B19" s="11" t="str">
        <f>CONCATENATE("          ", "5001", " - ", "PURCHASES @ COST-NEW TEXT")</f>
        <v xml:space="preserve">          5001 - PURCHASES @ COST-NEW TEXT</v>
      </c>
      <c r="C19" s="11"/>
      <c r="D19" s="2">
        <v>215433.59</v>
      </c>
      <c r="E19" s="2"/>
      <c r="F19" s="21">
        <f t="shared" si="4"/>
        <v>0.31128986600107067</v>
      </c>
      <c r="G19" s="2"/>
      <c r="H19" s="2"/>
      <c r="I19" s="2"/>
      <c r="J19" s="21">
        <f t="shared" si="5"/>
        <v>0</v>
      </c>
      <c r="K19" s="2"/>
      <c r="L19" s="2">
        <f t="shared" si="6"/>
        <v>215433.59</v>
      </c>
      <c r="M19" s="2"/>
      <c r="N19" s="21">
        <f t="shared" si="7"/>
        <v>0</v>
      </c>
      <c r="O19" s="11"/>
      <c r="P19" s="2">
        <v>218228.1</v>
      </c>
      <c r="Q19" s="2"/>
      <c r="R19" s="21">
        <f t="shared" si="8"/>
        <v>0.30881423908254757</v>
      </c>
      <c r="S19" s="2"/>
      <c r="T19" s="2"/>
      <c r="U19" s="2"/>
      <c r="V19" s="21">
        <f t="shared" si="9"/>
        <v>0</v>
      </c>
      <c r="W19" s="2"/>
      <c r="X19" s="2">
        <f t="shared" si="10"/>
        <v>218228.1</v>
      </c>
      <c r="Y19" s="2"/>
      <c r="Z19" s="21">
        <f t="shared" si="11"/>
        <v>0</v>
      </c>
    </row>
    <row r="20" spans="1:26" s="24" customFormat="1" hidden="1" outlineLevel="1" x14ac:dyDescent="0.25">
      <c r="A20" s="46"/>
      <c r="B20" s="11" t="str">
        <f>CONCATENATE("          ", "5002", " - ", "PURCHASES @ COST-USED TEXT")</f>
        <v xml:space="preserve">          5002 - PURCHASES @ COST-USED TEXT</v>
      </c>
      <c r="C20" s="11"/>
      <c r="D20" s="2">
        <v>306583.78999999998</v>
      </c>
      <c r="E20" s="2"/>
      <c r="F20" s="21">
        <f t="shared" si="4"/>
        <v>0.44299696675527894</v>
      </c>
      <c r="G20" s="2"/>
      <c r="H20" s="2"/>
      <c r="I20" s="2"/>
      <c r="J20" s="21">
        <f t="shared" si="5"/>
        <v>0</v>
      </c>
      <c r="K20" s="2"/>
      <c r="L20" s="2">
        <f t="shared" si="6"/>
        <v>306583.78999999998</v>
      </c>
      <c r="M20" s="2"/>
      <c r="N20" s="21">
        <f t="shared" si="7"/>
        <v>0</v>
      </c>
      <c r="O20" s="11"/>
      <c r="P20" s="2">
        <v>316492.88</v>
      </c>
      <c r="Q20" s="2"/>
      <c r="R20" s="21">
        <f t="shared" si="8"/>
        <v>0.44786857380989903</v>
      </c>
      <c r="S20" s="2"/>
      <c r="T20" s="2"/>
      <c r="U20" s="2"/>
      <c r="V20" s="21">
        <f t="shared" si="9"/>
        <v>0</v>
      </c>
      <c r="W20" s="2"/>
      <c r="X20" s="2">
        <f t="shared" si="10"/>
        <v>316492.88</v>
      </c>
      <c r="Y20" s="2"/>
      <c r="Z20" s="21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170050.08999999997</v>
      </c>
      <c r="E22" s="14"/>
      <c r="F22" s="20">
        <f>IF(D$12=0,0,D22/D$12)</f>
        <v>0.24571316724365036</v>
      </c>
      <c r="G22" s="14"/>
      <c r="H22" s="22">
        <f>H12-H17</f>
        <v>225966.11</v>
      </c>
      <c r="I22" s="14"/>
      <c r="J22" s="20">
        <f>IF(H$12=0,0,H22/H$12)</f>
        <v>0.28070324223602483</v>
      </c>
      <c r="K22" s="15"/>
      <c r="L22" s="22">
        <f>+D22-H22</f>
        <v>-55916.020000000019</v>
      </c>
      <c r="M22" s="15"/>
      <c r="N22" s="20">
        <f>IF(H22=0,0,L22/H22)</f>
        <v>-0.24745312471856962</v>
      </c>
      <c r="O22" s="28"/>
      <c r="P22" s="22">
        <f>P12-P17</f>
        <v>171943.65000000002</v>
      </c>
      <c r="Q22" s="14"/>
      <c r="R22" s="20">
        <f>IF(P$12=0,0,P22/P$12)</f>
        <v>0.24331718710755343</v>
      </c>
      <c r="S22" s="14"/>
      <c r="T22" s="22">
        <f>T12-T17</f>
        <v>233211.76</v>
      </c>
      <c r="U22" s="14"/>
      <c r="V22" s="20">
        <f>IF(T$12=0,0,T22/T$12)</f>
        <v>0.28047114852675886</v>
      </c>
      <c r="W22" s="15"/>
      <c r="X22" s="22">
        <f>+P22-T22</f>
        <v>-61268.109999999986</v>
      </c>
      <c r="Y22" s="15"/>
      <c r="Z22" s="20">
        <f>IF(T22=0,0,X22/T22)</f>
        <v>-0.26271449604428176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19">
        <f>SUM(0)</f>
        <v>0</v>
      </c>
      <c r="E24" s="19"/>
      <c r="F24" s="34">
        <f>IF(D$12=0,0,D24/D$12)</f>
        <v>0</v>
      </c>
      <c r="G24" s="19"/>
      <c r="H24" s="19">
        <f>SUM(0)</f>
        <v>0</v>
      </c>
      <c r="I24" s="19"/>
      <c r="J24" s="34">
        <f>IF(H$12=0,0,H24/H$12)</f>
        <v>0</v>
      </c>
      <c r="K24" s="4"/>
      <c r="L24" s="19">
        <f>+D24-H24</f>
        <v>0</v>
      </c>
      <c r="M24" s="4"/>
      <c r="N24" s="34">
        <f>IF(H24=0,0,L24/H24)</f>
        <v>0</v>
      </c>
      <c r="O24" s="10"/>
      <c r="P24" s="19">
        <f>SUM(0)</f>
        <v>0</v>
      </c>
      <c r="Q24" s="19"/>
      <c r="R24" s="34">
        <f>IF(P$12=0,0,P24/P$12)</f>
        <v>0</v>
      </c>
      <c r="S24" s="19"/>
      <c r="T24" s="19">
        <f>SUM(0)</f>
        <v>0</v>
      </c>
      <c r="U24" s="19"/>
      <c r="V24" s="34">
        <f>IF(T$12=0,0,T24/T$12)</f>
        <v>0</v>
      </c>
      <c r="W24" s="4"/>
      <c r="X24" s="19">
        <f>+P24-T24</f>
        <v>0</v>
      </c>
      <c r="Y24" s="4"/>
      <c r="Z24" s="34">
        <f>IF(T24=0,0,X24/T24)</f>
        <v>0</v>
      </c>
    </row>
    <row r="25" spans="1:26" s="63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3</v>
      </c>
      <c r="C28" s="29"/>
      <c r="D28" s="22">
        <f>+D22-D24+D26</f>
        <v>170050.08999999997</v>
      </c>
      <c r="E28" s="14"/>
      <c r="F28" s="20">
        <f>IF(D$12=0,0,D28/D$12)</f>
        <v>0.24571316724365036</v>
      </c>
      <c r="G28" s="14"/>
      <c r="H28" s="22">
        <f>+H22-H24+H26</f>
        <v>225966.11</v>
      </c>
      <c r="I28" s="14"/>
      <c r="J28" s="20">
        <f>IF(H$12=0,0,H28/H$12)</f>
        <v>0.28070324223602483</v>
      </c>
      <c r="K28" s="15"/>
      <c r="L28" s="22">
        <f>+D28-H28</f>
        <v>-55916.020000000019</v>
      </c>
      <c r="M28" s="15"/>
      <c r="N28" s="20">
        <f>IF(H28=0,0,L28/H28)</f>
        <v>-0.24745312471856962</v>
      </c>
      <c r="O28" s="28"/>
      <c r="P28" s="22">
        <f>+P22-P24+P26</f>
        <v>171943.65000000002</v>
      </c>
      <c r="Q28" s="14"/>
      <c r="R28" s="20">
        <f>IF(P$12=0,0,P28/P$12)</f>
        <v>0.24331718710755343</v>
      </c>
      <c r="S28" s="14"/>
      <c r="T28" s="22">
        <f>+T22-T24+T26</f>
        <v>233211.76</v>
      </c>
      <c r="U28" s="14"/>
      <c r="V28" s="20">
        <f>IF(T$12=0,0,T28/T$12)</f>
        <v>0.28047114852675886</v>
      </c>
      <c r="W28" s="15"/>
      <c r="X28" s="22">
        <f>+P28-T28</f>
        <v>-61268.109999999986</v>
      </c>
      <c r="Y28" s="15"/>
      <c r="Z28" s="20">
        <f>IF(T28=0,0,X28/T28)</f>
        <v>-0.26271449604428176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85073.010000000009</v>
      </c>
      <c r="E30" s="4"/>
      <c r="F30" s="12">
        <f>IF(D$12=0,0,D30/D$12)</f>
        <v>0.12292589044822468</v>
      </c>
      <c r="G30" s="4"/>
      <c r="H30" s="4">
        <v>128580</v>
      </c>
      <c r="I30" s="4"/>
      <c r="J30" s="12">
        <f>IF(H$12=0,0,H30/H$12)</f>
        <v>0.15972670807453415</v>
      </c>
      <c r="K30" s="4"/>
      <c r="L30" s="4">
        <f>+D30-H30</f>
        <v>-43506.989999999991</v>
      </c>
      <c r="M30" s="4"/>
      <c r="N30" s="12">
        <f>IF(H30=0,0,L30/H30)</f>
        <v>-0.33836514232384501</v>
      </c>
      <c r="O30" s="10"/>
      <c r="P30" s="4">
        <v>88108.19</v>
      </c>
      <c r="Q30" s="4"/>
      <c r="R30" s="12">
        <f>IF(P$12=0,0,P30/P$12)</f>
        <v>0.12468176028563932</v>
      </c>
      <c r="S30" s="4"/>
      <c r="T30" s="4">
        <v>135038</v>
      </c>
      <c r="U30" s="4"/>
      <c r="V30" s="12">
        <f>IF(T$12=0,0,T30/T$12)</f>
        <v>0.16240288634996994</v>
      </c>
      <c r="W30" s="4"/>
      <c r="X30" s="4">
        <f>+P30-T30</f>
        <v>-46929.81</v>
      </c>
      <c r="Y30" s="4"/>
      <c r="Z30" s="12">
        <f>IF(T30=0,0,X30/T30)</f>
        <v>-0.34753039885069387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9" t="s">
        <v>4</v>
      </c>
      <c r="C32" s="29"/>
      <c r="D32" s="31">
        <f>+D28-D30</f>
        <v>84977.079999999958</v>
      </c>
      <c r="E32" s="14"/>
      <c r="F32" s="32">
        <f>IF(D$12=0,0,D32/D$12)</f>
        <v>0.12278727679542568</v>
      </c>
      <c r="G32" s="14"/>
      <c r="H32" s="31">
        <f>+H28-H30</f>
        <v>97386.109999999986</v>
      </c>
      <c r="I32" s="14"/>
      <c r="J32" s="32">
        <f>IF(H$12=0,0,H32/H$12)</f>
        <v>0.12097653416149066</v>
      </c>
      <c r="K32" s="15"/>
      <c r="L32" s="31">
        <f>D32-H32</f>
        <v>-12409.030000000028</v>
      </c>
      <c r="M32" s="15"/>
      <c r="N32" s="32">
        <f>IF(H32=0,0,L32/H32)</f>
        <v>-0.12742094329468576</v>
      </c>
      <c r="O32" s="28"/>
      <c r="P32" s="31">
        <f>+P28-P30</f>
        <v>83835.460000000021</v>
      </c>
      <c r="Q32" s="14"/>
      <c r="R32" s="32">
        <f>IF(P$12=0,0,P32/P$12)</f>
        <v>0.11863542682191412</v>
      </c>
      <c r="S32" s="14"/>
      <c r="T32" s="31">
        <f>+T28-T30</f>
        <v>98173.760000000009</v>
      </c>
      <c r="U32" s="14"/>
      <c r="V32" s="32">
        <f>IF(T$12=0,0,T32/T$12)</f>
        <v>0.11806826217678895</v>
      </c>
      <c r="W32" s="15"/>
      <c r="X32" s="31">
        <f>P32-T32</f>
        <v>-14338.299999999988</v>
      </c>
      <c r="Y32" s="15"/>
      <c r="Z32" s="32">
        <f>IF(T32=0,0,X32/T32)</f>
        <v>-0.14605022767794559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9" t="s">
        <v>5</v>
      </c>
      <c r="C35" s="29"/>
      <c r="D35" s="33">
        <f>SUM(D32:D34)</f>
        <v>84977.079999999958</v>
      </c>
      <c r="E35" s="14"/>
      <c r="F35" s="35">
        <f>IF(D$12=0,0,D35/D$12)</f>
        <v>0.12278727679542568</v>
      </c>
      <c r="G35" s="14"/>
      <c r="H35" s="33">
        <f>SUM(H32:H34)</f>
        <v>97386.109999999986</v>
      </c>
      <c r="I35" s="14"/>
      <c r="J35" s="35">
        <f>IF(H$12=0,0,H35/H$12)</f>
        <v>0.12097653416149066</v>
      </c>
      <c r="K35" s="15"/>
      <c r="L35" s="33">
        <f>+D35-H35</f>
        <v>-12409.030000000028</v>
      </c>
      <c r="M35" s="15"/>
      <c r="N35" s="35">
        <f>IF(H35=0,0,L35/H35)</f>
        <v>-0.12742094329468576</v>
      </c>
      <c r="O35" s="28"/>
      <c r="P35" s="33">
        <f>SUM(P32:P34)</f>
        <v>83835.460000000021</v>
      </c>
      <c r="Q35" s="14"/>
      <c r="R35" s="35">
        <f>IF(P$12=0,0,P35/P$12)</f>
        <v>0.11863542682191412</v>
      </c>
      <c r="S35" s="14"/>
      <c r="T35" s="33">
        <f>SUM(T32:T34)</f>
        <v>98173.760000000009</v>
      </c>
      <c r="U35" s="14"/>
      <c r="V35" s="35">
        <f>IF(T$12=0,0,T35/T$12)</f>
        <v>0.11806826217678895</v>
      </c>
      <c r="W35" s="15"/>
      <c r="X35" s="33">
        <f>+P35-T35</f>
        <v>-14338.299999999988</v>
      </c>
      <c r="Y35" s="15"/>
      <c r="Z35" s="35">
        <f>IF(T35=0,0,X35/T35)</f>
        <v>-0.14605022767794559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25">
      <c r="A37" s="9"/>
      <c r="B37" s="61">
        <v>43732.706180127316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s">
        <v>314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","325", " - ", "Outpost C-Store")</f>
        <v>Department 325 - Outpost C-Store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31515.97</v>
      </c>
      <c r="E12" s="4"/>
      <c r="F12" s="12"/>
      <c r="G12" s="4"/>
      <c r="H12" s="4">
        <f>SUM(OSRRefH13x_0)</f>
        <v>32462</v>
      </c>
      <c r="I12" s="4"/>
      <c r="J12" s="12"/>
      <c r="K12" s="4"/>
      <c r="L12" s="4">
        <f t="shared" ref="L12:L15" si="0">+D12-H12</f>
        <v>-946.02999999999884</v>
      </c>
      <c r="M12" s="4"/>
      <c r="N12" s="12">
        <f t="shared" ref="N12:N15" si="1">IF(H12=0,0,L12/H12)</f>
        <v>-2.9142689914361371E-2</v>
      </c>
      <c r="O12" s="10"/>
      <c r="P12" s="4">
        <f>SUM(OSRRefP13x_0)</f>
        <v>46007.670000000006</v>
      </c>
      <c r="Q12" s="4"/>
      <c r="R12" s="12"/>
      <c r="S12" s="4"/>
      <c r="T12" s="4">
        <f>SUM(OSRRefT13x_0)</f>
        <v>46650.2</v>
      </c>
      <c r="U12" s="4"/>
      <c r="V12" s="12"/>
      <c r="W12" s="4"/>
      <c r="X12" s="4">
        <f t="shared" ref="X12:X15" si="2">+P12-T12</f>
        <v>-642.52999999999156</v>
      </c>
      <c r="Y12" s="4"/>
      <c r="Z12" s="12">
        <f t="shared" ref="Z12:Z15" si="3">IF(T12=0,0,X12/T12)</f>
        <v>-1.3773360028467008E-2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32462</v>
      </c>
      <c r="I13" s="2"/>
      <c r="J13" s="21"/>
      <c r="K13" s="2"/>
      <c r="L13" s="2">
        <f t="shared" si="0"/>
        <v>-32462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46650.2</v>
      </c>
      <c r="U13" s="2"/>
      <c r="V13" s="21"/>
      <c r="W13" s="2"/>
      <c r="X13" s="2">
        <f t="shared" si="2"/>
        <v>-46650.2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"4032", " - ", "TAXABLE SALES-JUICE")</f>
        <v xml:space="preserve">          4032 - TAXABLE SALES-JUICE</v>
      </c>
      <c r="C14" s="11"/>
      <c r="D14" s="2">
        <f>--6989.82</f>
        <v>6989.82</v>
      </c>
      <c r="E14" s="2"/>
      <c r="F14" s="21"/>
      <c r="G14" s="2"/>
      <c r="H14" s="2"/>
      <c r="I14" s="2"/>
      <c r="J14" s="21"/>
      <c r="K14" s="2"/>
      <c r="L14" s="2">
        <f t="shared" si="0"/>
        <v>6989.82</v>
      </c>
      <c r="M14" s="2"/>
      <c r="N14" s="21">
        <f t="shared" si="1"/>
        <v>0</v>
      </c>
      <c r="O14" s="11"/>
      <c r="P14" s="2">
        <f>--9122.19</f>
        <v>9122.19</v>
      </c>
      <c r="Q14" s="2"/>
      <c r="R14" s="21"/>
      <c r="S14" s="2"/>
      <c r="T14" s="2"/>
      <c r="U14" s="2"/>
      <c r="V14" s="21"/>
      <c r="W14" s="2"/>
      <c r="X14" s="2">
        <f t="shared" si="2"/>
        <v>9122.19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"4132", " - ", "NON-TAXABLE SALES-JUICE")</f>
        <v xml:space="preserve">          4132 - NON-TAXABLE SALES-JUICE</v>
      </c>
      <c r="C15" s="11"/>
      <c r="D15" s="2">
        <f>--24526.15</f>
        <v>24526.15</v>
      </c>
      <c r="E15" s="2"/>
      <c r="F15" s="21"/>
      <c r="G15" s="2"/>
      <c r="H15" s="2"/>
      <c r="I15" s="2"/>
      <c r="J15" s="21"/>
      <c r="K15" s="2"/>
      <c r="L15" s="2">
        <f t="shared" si="0"/>
        <v>24526.15</v>
      </c>
      <c r="M15" s="2"/>
      <c r="N15" s="21">
        <f t="shared" si="1"/>
        <v>0</v>
      </c>
      <c r="O15" s="11"/>
      <c r="P15" s="2">
        <f>--36885.48</f>
        <v>36885.480000000003</v>
      </c>
      <c r="Q15" s="2"/>
      <c r="R15" s="21"/>
      <c r="S15" s="2"/>
      <c r="T15" s="2"/>
      <c r="U15" s="2"/>
      <c r="V15" s="21"/>
      <c r="W15" s="2"/>
      <c r="X15" s="2">
        <f t="shared" si="2"/>
        <v>36885.480000000003</v>
      </c>
      <c r="Y15" s="2"/>
      <c r="Z15" s="21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14254.190000000002</v>
      </c>
      <c r="E17" s="4"/>
      <c r="F17" s="12">
        <f t="shared" ref="F17:F20" si="4">IF(D$12=0,0,D17/D$12)</f>
        <v>0.45228466710686682</v>
      </c>
      <c r="G17" s="4"/>
      <c r="H17" s="4">
        <f>SUM(OSRRefH16x_0)</f>
        <v>15580</v>
      </c>
      <c r="I17" s="4"/>
      <c r="J17" s="12">
        <f t="shared" ref="J17:J20" si="5">IF(H$12=0,0,H17/H$12)</f>
        <v>0.47994578276138256</v>
      </c>
      <c r="K17" s="4"/>
      <c r="L17" s="4">
        <f t="shared" ref="L17:L20" si="6">+D17-H17</f>
        <v>-1325.8099999999977</v>
      </c>
      <c r="M17" s="4"/>
      <c r="N17" s="12">
        <f t="shared" ref="N17:N20" si="7">IF(H17=0,0,L17/H17)</f>
        <v>-8.5096919127085863E-2</v>
      </c>
      <c r="O17" s="10"/>
      <c r="P17" s="4">
        <f>SUM(OSRRefP16x_0)</f>
        <v>20883.269999999997</v>
      </c>
      <c r="Q17" s="4"/>
      <c r="R17" s="12">
        <f t="shared" ref="R17:R20" si="8">IF(P$12=0,0,P17/P$12)</f>
        <v>0.45390844613517689</v>
      </c>
      <c r="S17" s="4"/>
      <c r="T17" s="4">
        <f>SUM(OSRRefT16x_0)</f>
        <v>22390</v>
      </c>
      <c r="U17" s="4"/>
      <c r="V17" s="12">
        <f t="shared" ref="V17:V20" si="9">IF(T$12=0,0,T17/T$12)</f>
        <v>0.47995506986036507</v>
      </c>
      <c r="W17" s="4"/>
      <c r="X17" s="4">
        <f t="shared" ref="X17:X20" si="10">+P17-T17</f>
        <v>-1506.7300000000032</v>
      </c>
      <c r="Y17" s="4"/>
      <c r="Z17" s="12">
        <f t="shared" ref="Z17:Z20" si="11">IF(T17=0,0,X17/T17)</f>
        <v>-6.7294774452880887E-2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1">
        <f t="shared" si="4"/>
        <v>0</v>
      </c>
      <c r="G18" s="2"/>
      <c r="H18" s="2">
        <v>15580</v>
      </c>
      <c r="I18" s="2"/>
      <c r="J18" s="21">
        <f t="shared" si="5"/>
        <v>0.47994578276138256</v>
      </c>
      <c r="K18" s="2"/>
      <c r="L18" s="2">
        <f t="shared" si="6"/>
        <v>-15580</v>
      </c>
      <c r="M18" s="2"/>
      <c r="N18" s="21">
        <f t="shared" si="7"/>
        <v>-1</v>
      </c>
      <c r="O18" s="11"/>
      <c r="P18" s="2"/>
      <c r="Q18" s="2"/>
      <c r="R18" s="21">
        <f t="shared" si="8"/>
        <v>0</v>
      </c>
      <c r="S18" s="2"/>
      <c r="T18" s="2">
        <v>22390</v>
      </c>
      <c r="U18" s="2"/>
      <c r="V18" s="21">
        <f t="shared" si="9"/>
        <v>0.47995506986036507</v>
      </c>
      <c r="W18" s="2"/>
      <c r="X18" s="2">
        <f t="shared" si="10"/>
        <v>-22390</v>
      </c>
      <c r="Y18" s="2"/>
      <c r="Z18" s="21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19405.230000000003</v>
      </c>
      <c r="E19" s="2"/>
      <c r="F19" s="21">
        <f t="shared" si="4"/>
        <v>0.61572688386237207</v>
      </c>
      <c r="G19" s="2"/>
      <c r="H19" s="2"/>
      <c r="I19" s="2"/>
      <c r="J19" s="21">
        <f t="shared" si="5"/>
        <v>0</v>
      </c>
      <c r="K19" s="2"/>
      <c r="L19" s="2">
        <f t="shared" si="6"/>
        <v>19405.230000000003</v>
      </c>
      <c r="M19" s="2"/>
      <c r="N19" s="21">
        <f t="shared" si="7"/>
        <v>0</v>
      </c>
      <c r="O19" s="11"/>
      <c r="P19" s="2">
        <v>27083.94</v>
      </c>
      <c r="Q19" s="2"/>
      <c r="R19" s="21">
        <f t="shared" si="8"/>
        <v>0.58868314783165487</v>
      </c>
      <c r="S19" s="2"/>
      <c r="T19" s="2"/>
      <c r="U19" s="2"/>
      <c r="V19" s="21">
        <f t="shared" si="9"/>
        <v>0</v>
      </c>
      <c r="W19" s="2"/>
      <c r="X19" s="2">
        <f t="shared" si="10"/>
        <v>27083.94</v>
      </c>
      <c r="Y19" s="2"/>
      <c r="Z19" s="21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-5151.04</v>
      </c>
      <c r="E20" s="2"/>
      <c r="F20" s="21">
        <f t="shared" si="4"/>
        <v>-0.16344221675550522</v>
      </c>
      <c r="G20" s="2"/>
      <c r="H20" s="2"/>
      <c r="I20" s="2"/>
      <c r="J20" s="21">
        <f t="shared" si="5"/>
        <v>0</v>
      </c>
      <c r="K20" s="2"/>
      <c r="L20" s="2">
        <f t="shared" si="6"/>
        <v>-5151.04</v>
      </c>
      <c r="M20" s="2"/>
      <c r="N20" s="21">
        <f t="shared" si="7"/>
        <v>0</v>
      </c>
      <c r="O20" s="11"/>
      <c r="P20" s="2">
        <v>-6200.67</v>
      </c>
      <c r="Q20" s="2"/>
      <c r="R20" s="21">
        <f t="shared" si="8"/>
        <v>-0.13477470169647798</v>
      </c>
      <c r="S20" s="2"/>
      <c r="T20" s="2"/>
      <c r="U20" s="2"/>
      <c r="V20" s="21">
        <f t="shared" si="9"/>
        <v>0</v>
      </c>
      <c r="W20" s="2"/>
      <c r="X20" s="2">
        <f t="shared" si="10"/>
        <v>-6200.67</v>
      </c>
      <c r="Y20" s="2"/>
      <c r="Z20" s="21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17261.78</v>
      </c>
      <c r="E22" s="14"/>
      <c r="F22" s="20">
        <f>IF(D$12=0,0,D22/D$12)</f>
        <v>0.54771533289313312</v>
      </c>
      <c r="G22" s="14"/>
      <c r="H22" s="22">
        <f>H12-H17</f>
        <v>16882</v>
      </c>
      <c r="I22" s="14"/>
      <c r="J22" s="20">
        <f>IF(H$12=0,0,H22/H$12)</f>
        <v>0.52005421723861744</v>
      </c>
      <c r="K22" s="15"/>
      <c r="L22" s="22">
        <f>+D22-H22</f>
        <v>379.77999999999884</v>
      </c>
      <c r="M22" s="15"/>
      <c r="N22" s="20">
        <f>IF(H22=0,0,L22/H22)</f>
        <v>2.2496149745290774E-2</v>
      </c>
      <c r="O22" s="28"/>
      <c r="P22" s="22">
        <f>P12-P17</f>
        <v>25124.400000000009</v>
      </c>
      <c r="Q22" s="14"/>
      <c r="R22" s="20">
        <f>IF(P$12=0,0,P22/P$12)</f>
        <v>0.54609155386482311</v>
      </c>
      <c r="S22" s="14"/>
      <c r="T22" s="22">
        <f>T12-T17</f>
        <v>24260.199999999997</v>
      </c>
      <c r="U22" s="14"/>
      <c r="V22" s="20">
        <f>IF(T$12=0,0,T22/T$12)</f>
        <v>0.52004493013963493</v>
      </c>
      <c r="W22" s="15"/>
      <c r="X22" s="22">
        <f>+P22-T22</f>
        <v>864.20000000001164</v>
      </c>
      <c r="Y22" s="15"/>
      <c r="Z22" s="20">
        <f>IF(T22=0,0,X22/T22)</f>
        <v>3.5622130073124363E-2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19">
        <f>SUM(OSRRefD22x_0)</f>
        <v>24867.320000000003</v>
      </c>
      <c r="E24" s="19"/>
      <c r="F24" s="34">
        <f t="shared" ref="F24:F34" si="12">IF(D$12=0,0,D24/D$12)</f>
        <v>0.78903870006222254</v>
      </c>
      <c r="G24" s="19"/>
      <c r="H24" s="19">
        <f>SUM(OSRRefH22x_0)</f>
        <v>24403.544107250003</v>
      </c>
      <c r="I24" s="19"/>
      <c r="J24" s="34">
        <f t="shared" ref="J24:J34" si="13">IF(H$12=0,0,H24/H$12)</f>
        <v>0.7517572579400531</v>
      </c>
      <c r="K24" s="4"/>
      <c r="L24" s="19">
        <f t="shared" ref="L24:L34" si="14">+D24-H24</f>
        <v>463.77589274999991</v>
      </c>
      <c r="M24" s="4"/>
      <c r="N24" s="34">
        <f t="shared" ref="N24:N34" si="15">IF(H24=0,0,L24/H24)</f>
        <v>1.9004448317497358E-2</v>
      </c>
      <c r="O24" s="10"/>
      <c r="P24" s="19">
        <f>SUM(OSRRefP22x_0)</f>
        <v>48698.740000000005</v>
      </c>
      <c r="Q24" s="19"/>
      <c r="R24" s="34">
        <f t="shared" ref="R24:R34" si="16">IF(P$12=0,0,P24/P$12)</f>
        <v>1.0584917688724511</v>
      </c>
      <c r="S24" s="19"/>
      <c r="T24" s="19">
        <f>SUM(OSRRefT22x_0)</f>
        <v>53154.027514749992</v>
      </c>
      <c r="U24" s="19"/>
      <c r="V24" s="34">
        <f t="shared" ref="V24:V34" si="17">IF(T$12=0,0,T24/T$12)</f>
        <v>1.1394169267173559</v>
      </c>
      <c r="W24" s="4"/>
      <c r="X24" s="19">
        <f t="shared" ref="X24:X34" si="18">+P24-T24</f>
        <v>-4455.2875147499872</v>
      </c>
      <c r="Y24" s="4"/>
      <c r="Z24" s="34">
        <f t="shared" ref="Z24:Z34" si="19">IF(T24=0,0,X24/T24)</f>
        <v>-8.3818437154431352E-2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3591.38</v>
      </c>
      <c r="E25" s="1"/>
      <c r="F25" s="5">
        <f t="shared" si="12"/>
        <v>0.11395429047559062</v>
      </c>
      <c r="G25" s="1"/>
      <c r="H25" s="1">
        <f>SUM(OSRRefH22_0x_0)</f>
        <v>3458.5778572500003</v>
      </c>
      <c r="I25" s="1"/>
      <c r="J25" s="5">
        <f t="shared" si="13"/>
        <v>0.10654235282022058</v>
      </c>
      <c r="K25" s="1"/>
      <c r="L25" s="1">
        <f t="shared" si="14"/>
        <v>132.8021427499998</v>
      </c>
      <c r="M25" s="1"/>
      <c r="N25" s="5">
        <f t="shared" si="15"/>
        <v>3.8397904639218973E-2</v>
      </c>
      <c r="O25" s="13"/>
      <c r="P25" s="1">
        <f>SUM(OSRRefP22_0x_0)</f>
        <v>7554.9299999999994</v>
      </c>
      <c r="Q25" s="1"/>
      <c r="R25" s="5">
        <f t="shared" si="16"/>
        <v>0.16421022842495606</v>
      </c>
      <c r="S25" s="1"/>
      <c r="T25" s="1">
        <f>SUM(OSRRefT22_0x_0)</f>
        <v>7169.5237647499998</v>
      </c>
      <c r="U25" s="1"/>
      <c r="V25" s="5">
        <f t="shared" si="17"/>
        <v>0.15368688161572727</v>
      </c>
      <c r="W25" s="1"/>
      <c r="X25" s="1">
        <f t="shared" si="18"/>
        <v>385.40623524999955</v>
      </c>
      <c r="Y25" s="1"/>
      <c r="Z25" s="5">
        <f t="shared" si="19"/>
        <v>5.3756183520153045E-2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553.1</v>
      </c>
      <c r="E26" s="2"/>
      <c r="F26" s="7">
        <f t="shared" si="12"/>
        <v>1.7549832672134159E-2</v>
      </c>
      <c r="G26" s="2"/>
      <c r="H26" s="6">
        <v>446.61568724999995</v>
      </c>
      <c r="I26" s="2"/>
      <c r="J26" s="7">
        <f t="shared" si="13"/>
        <v>1.3758107548826318E-2</v>
      </c>
      <c r="K26" s="2"/>
      <c r="L26" s="6">
        <f t="shared" si="14"/>
        <v>106.48431275000007</v>
      </c>
      <c r="M26" s="2"/>
      <c r="N26" s="7">
        <f t="shared" si="15"/>
        <v>0.2384249272695024</v>
      </c>
      <c r="O26" s="11"/>
      <c r="P26" s="6">
        <v>1014.55</v>
      </c>
      <c r="Q26" s="2"/>
      <c r="R26" s="7">
        <f t="shared" si="16"/>
        <v>2.2051757891673275E-2</v>
      </c>
      <c r="S26" s="2"/>
      <c r="T26" s="6">
        <v>946.94969474999994</v>
      </c>
      <c r="U26" s="2"/>
      <c r="V26" s="7">
        <f t="shared" si="17"/>
        <v>2.0298941799820794E-2</v>
      </c>
      <c r="W26" s="2"/>
      <c r="X26" s="6">
        <f t="shared" si="18"/>
        <v>67.600305250000019</v>
      </c>
      <c r="Y26" s="2"/>
      <c r="Z26" s="7">
        <f t="shared" si="19"/>
        <v>7.138743021385828E-2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205.47</v>
      </c>
      <c r="E27" s="2"/>
      <c r="F27" s="7">
        <f t="shared" si="12"/>
        <v>6.5195518335624762E-3</v>
      </c>
      <c r="G27" s="2"/>
      <c r="H27" s="6">
        <v>153.89667499999999</v>
      </c>
      <c r="I27" s="2"/>
      <c r="J27" s="7">
        <f t="shared" si="13"/>
        <v>4.7408254266527016E-3</v>
      </c>
      <c r="K27" s="2"/>
      <c r="L27" s="6">
        <f t="shared" si="14"/>
        <v>51.573325000000011</v>
      </c>
      <c r="M27" s="2"/>
      <c r="N27" s="7">
        <f t="shared" si="15"/>
        <v>0.33511656440920518</v>
      </c>
      <c r="O27" s="11"/>
      <c r="P27" s="6">
        <v>408.03</v>
      </c>
      <c r="Q27" s="2"/>
      <c r="R27" s="7">
        <f t="shared" si="16"/>
        <v>8.8687386255378708E-3</v>
      </c>
      <c r="S27" s="2"/>
      <c r="T27" s="6">
        <v>278.11392499999999</v>
      </c>
      <c r="U27" s="2"/>
      <c r="V27" s="7">
        <f t="shared" si="17"/>
        <v>5.96168773124231E-3</v>
      </c>
      <c r="W27" s="2"/>
      <c r="X27" s="6">
        <f t="shared" si="18"/>
        <v>129.91607499999998</v>
      </c>
      <c r="Y27" s="2"/>
      <c r="Z27" s="7">
        <f t="shared" si="19"/>
        <v>0.46713257885235332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1815.82</v>
      </c>
      <c r="E28" s="2"/>
      <c r="F28" s="7">
        <f t="shared" si="12"/>
        <v>5.761586903401672E-2</v>
      </c>
      <c r="G28" s="2"/>
      <c r="H28" s="6">
        <v>1977</v>
      </c>
      <c r="I28" s="2"/>
      <c r="J28" s="7">
        <f t="shared" si="13"/>
        <v>6.0901977696999572E-2</v>
      </c>
      <c r="K28" s="2"/>
      <c r="L28" s="6">
        <f t="shared" si="14"/>
        <v>-161.18000000000006</v>
      </c>
      <c r="M28" s="2"/>
      <c r="N28" s="7">
        <f t="shared" si="15"/>
        <v>-8.1527567020738531E-2</v>
      </c>
      <c r="O28" s="11"/>
      <c r="P28" s="6">
        <v>4099.29</v>
      </c>
      <c r="Q28" s="2"/>
      <c r="R28" s="7">
        <f t="shared" si="16"/>
        <v>8.9100143519547925E-2</v>
      </c>
      <c r="S28" s="2"/>
      <c r="T28" s="6">
        <v>3954</v>
      </c>
      <c r="U28" s="2"/>
      <c r="V28" s="7">
        <f t="shared" si="17"/>
        <v>8.4758479063326633E-2</v>
      </c>
      <c r="W28" s="2"/>
      <c r="X28" s="6">
        <f t="shared" si="18"/>
        <v>145.28999999999996</v>
      </c>
      <c r="Y28" s="2"/>
      <c r="Z28" s="7">
        <f t="shared" si="19"/>
        <v>3.6745068285280721E-2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17.57</v>
      </c>
      <c r="E29" s="2"/>
      <c r="F29" s="7">
        <f t="shared" si="12"/>
        <v>5.5749513659265448E-4</v>
      </c>
      <c r="G29" s="2"/>
      <c r="H29" s="6">
        <v>21.059545</v>
      </c>
      <c r="I29" s="2"/>
      <c r="J29" s="7">
        <f t="shared" si="13"/>
        <v>6.4874453206826448E-4</v>
      </c>
      <c r="K29" s="2"/>
      <c r="L29" s="6">
        <f t="shared" si="14"/>
        <v>-3.4895449999999997</v>
      </c>
      <c r="M29" s="2"/>
      <c r="N29" s="7">
        <f t="shared" si="15"/>
        <v>-0.1656989740281663</v>
      </c>
      <c r="O29" s="11"/>
      <c r="P29" s="6">
        <v>34.880000000000003</v>
      </c>
      <c r="Q29" s="2"/>
      <c r="R29" s="7">
        <f t="shared" si="16"/>
        <v>7.5813445888479024E-4</v>
      </c>
      <c r="S29" s="2"/>
      <c r="T29" s="6">
        <v>38.057695000000002</v>
      </c>
      <c r="U29" s="2"/>
      <c r="V29" s="7">
        <f t="shared" si="17"/>
        <v>8.1580990006473728E-4</v>
      </c>
      <c r="W29" s="2"/>
      <c r="X29" s="6">
        <f t="shared" si="18"/>
        <v>-3.1776949999999999</v>
      </c>
      <c r="Y29" s="2"/>
      <c r="Z29" s="7">
        <f t="shared" si="19"/>
        <v>-8.3496780348888702E-2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392.49</v>
      </c>
      <c r="E30" s="2"/>
      <c r="F30" s="7">
        <f t="shared" si="12"/>
        <v>1.2453686178784914E-2</v>
      </c>
      <c r="G30" s="2"/>
      <c r="H30" s="6">
        <v>340.1472</v>
      </c>
      <c r="I30" s="2"/>
      <c r="J30" s="7">
        <f t="shared" si="13"/>
        <v>1.0478319265602859E-2</v>
      </c>
      <c r="K30" s="2"/>
      <c r="L30" s="6">
        <f t="shared" si="14"/>
        <v>52.342800000000011</v>
      </c>
      <c r="M30" s="2"/>
      <c r="N30" s="7">
        <f t="shared" si="15"/>
        <v>0.15388278956875145</v>
      </c>
      <c r="O30" s="11"/>
      <c r="P30" s="6">
        <v>784.98</v>
      </c>
      <c r="Q30" s="2"/>
      <c r="R30" s="7">
        <f t="shared" si="16"/>
        <v>1.7061937716037347E-2</v>
      </c>
      <c r="S30" s="2"/>
      <c r="T30" s="6">
        <v>765.33119999999997</v>
      </c>
      <c r="U30" s="2"/>
      <c r="V30" s="7">
        <f t="shared" si="17"/>
        <v>1.6405743169375479E-2</v>
      </c>
      <c r="W30" s="2"/>
      <c r="X30" s="6">
        <f t="shared" si="18"/>
        <v>19.648800000000051</v>
      </c>
      <c r="Y30" s="2"/>
      <c r="Z30" s="7">
        <f t="shared" si="19"/>
        <v>2.56735907277791E-2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280.8</v>
      </c>
      <c r="E32" s="2"/>
      <c r="F32" s="7">
        <f t="shared" si="12"/>
        <v>8.909768603028877E-3</v>
      </c>
      <c r="G32" s="2"/>
      <c r="H32" s="6">
        <v>197.76</v>
      </c>
      <c r="I32" s="2"/>
      <c r="J32" s="7">
        <f t="shared" si="13"/>
        <v>6.0920460846528249E-3</v>
      </c>
      <c r="K32" s="2"/>
      <c r="L32" s="6">
        <f t="shared" si="14"/>
        <v>83.04000000000002</v>
      </c>
      <c r="M32" s="2"/>
      <c r="N32" s="7">
        <f t="shared" si="15"/>
        <v>0.41990291262135937</v>
      </c>
      <c r="O32" s="11"/>
      <c r="P32" s="6">
        <v>561.6</v>
      </c>
      <c r="Q32" s="2"/>
      <c r="R32" s="7">
        <f t="shared" si="16"/>
        <v>1.2206660324245935E-2</v>
      </c>
      <c r="S32" s="2"/>
      <c r="T32" s="6">
        <v>444.96</v>
      </c>
      <c r="U32" s="2"/>
      <c r="V32" s="7">
        <f t="shared" si="17"/>
        <v>9.538222772892721E-3</v>
      </c>
      <c r="W32" s="2"/>
      <c r="X32" s="6">
        <f t="shared" si="18"/>
        <v>116.64000000000004</v>
      </c>
      <c r="Y32" s="2"/>
      <c r="Z32" s="7">
        <f t="shared" si="19"/>
        <v>0.26213592233009719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177.12</v>
      </c>
      <c r="E33" s="2"/>
      <c r="F33" s="7">
        <f t="shared" si="12"/>
        <v>5.6200078880643684E-3</v>
      </c>
      <c r="G33" s="2"/>
      <c r="H33" s="6">
        <v>322.09875</v>
      </c>
      <c r="I33" s="2"/>
      <c r="J33" s="7">
        <f t="shared" si="13"/>
        <v>9.9223322654180268E-3</v>
      </c>
      <c r="K33" s="2"/>
      <c r="L33" s="6">
        <f t="shared" si="14"/>
        <v>-144.97874999999999</v>
      </c>
      <c r="M33" s="2"/>
      <c r="N33" s="7">
        <f t="shared" si="15"/>
        <v>-0.45010652788935068</v>
      </c>
      <c r="O33" s="11"/>
      <c r="P33" s="6">
        <v>354.24</v>
      </c>
      <c r="Q33" s="2"/>
      <c r="R33" s="7">
        <f t="shared" si="16"/>
        <v>7.6995857429858969E-3</v>
      </c>
      <c r="S33" s="2"/>
      <c r="T33" s="6">
        <v>617.11125000000004</v>
      </c>
      <c r="U33" s="2"/>
      <c r="V33" s="7">
        <f t="shared" si="17"/>
        <v>1.322848026375021E-2</v>
      </c>
      <c r="W33" s="2"/>
      <c r="X33" s="6">
        <f t="shared" si="18"/>
        <v>-262.87125000000003</v>
      </c>
      <c r="Y33" s="2"/>
      <c r="Z33" s="7">
        <f t="shared" si="19"/>
        <v>-0.42597060092487377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149.01</v>
      </c>
      <c r="E34" s="2"/>
      <c r="F34" s="7">
        <f t="shared" si="12"/>
        <v>4.7280791294064557E-3</v>
      </c>
      <c r="G34" s="2"/>
      <c r="H34" s="6"/>
      <c r="I34" s="2"/>
      <c r="J34" s="7">
        <f t="shared" si="13"/>
        <v>0</v>
      </c>
      <c r="K34" s="2"/>
      <c r="L34" s="6">
        <f t="shared" si="14"/>
        <v>149.01</v>
      </c>
      <c r="M34" s="2"/>
      <c r="N34" s="7">
        <f t="shared" si="15"/>
        <v>0</v>
      </c>
      <c r="O34" s="11"/>
      <c r="P34" s="6">
        <v>297.36</v>
      </c>
      <c r="Q34" s="2"/>
      <c r="R34" s="7">
        <f t="shared" si="16"/>
        <v>6.4632701460430398E-3</v>
      </c>
      <c r="S34" s="2"/>
      <c r="T34" s="6">
        <v>125</v>
      </c>
      <c r="U34" s="2"/>
      <c r="V34" s="7">
        <f t="shared" si="17"/>
        <v>2.679516915254383E-3</v>
      </c>
      <c r="W34" s="2"/>
      <c r="X34" s="6">
        <f t="shared" si="18"/>
        <v>172.36</v>
      </c>
      <c r="Y34" s="2"/>
      <c r="Z34" s="7">
        <f t="shared" si="19"/>
        <v>1.3788800000000001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8627.64</v>
      </c>
      <c r="E35" s="1"/>
      <c r="F35" s="5">
        <f t="shared" ref="F35:F45" si="20">IF(D$12=0,0,D35/D$12)</f>
        <v>0.27375454412477229</v>
      </c>
      <c r="G35" s="1"/>
      <c r="H35" s="1">
        <f>SUM(OSRRefH22_1x_0)</f>
        <v>7579.9662499999995</v>
      </c>
      <c r="I35" s="1"/>
      <c r="J35" s="5">
        <f t="shared" ref="J35:J45" si="21">IF(H$12=0,0,H35/H$12)</f>
        <v>0.23350274936849238</v>
      </c>
      <c r="K35" s="1"/>
      <c r="L35" s="1">
        <f t="shared" ref="L35:L45" si="22">+D35-H35</f>
        <v>1047.6737499999999</v>
      </c>
      <c r="M35" s="1"/>
      <c r="N35" s="5">
        <f t="shared" ref="N35:N45" si="23">IF(H35=0,0,L35/H35)</f>
        <v>0.13821614970910986</v>
      </c>
      <c r="O35" s="13"/>
      <c r="P35" s="1">
        <f>SUM(OSRRefP22_1x_0)</f>
        <v>15739.58</v>
      </c>
      <c r="Q35" s="1"/>
      <c r="R35" s="5">
        <f t="shared" ref="R35:R45" si="24">IF(P$12=0,0,P35/P$12)</f>
        <v>0.34210773986163606</v>
      </c>
      <c r="S35" s="1"/>
      <c r="T35" s="1">
        <f>SUM(OSRRefT22_1x_0)</f>
        <v>13575.503750000002</v>
      </c>
      <c r="U35" s="1"/>
      <c r="V35" s="5">
        <f t="shared" ref="V35:V45" si="25">IF(T$12=0,0,T35/T$12)</f>
        <v>0.29100633544979448</v>
      </c>
      <c r="W35" s="1"/>
      <c r="X35" s="1">
        <f t="shared" ref="X35:X45" si="26">+P35-T35</f>
        <v>2164.0762499999983</v>
      </c>
      <c r="Y35" s="1"/>
      <c r="Z35" s="5">
        <f t="shared" ref="Z35:Z45" si="27">IF(T35=0,0,X35/T35)</f>
        <v>0.1594103828375428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3648</v>
      </c>
      <c r="E37" s="2"/>
      <c r="F37" s="7">
        <f t="shared" si="20"/>
        <v>0.11575083997097345</v>
      </c>
      <c r="G37" s="2"/>
      <c r="H37" s="6">
        <v>3559.68</v>
      </c>
      <c r="I37" s="2"/>
      <c r="J37" s="7">
        <f t="shared" si="21"/>
        <v>0.10965682952375085</v>
      </c>
      <c r="K37" s="2"/>
      <c r="L37" s="6">
        <f t="shared" si="22"/>
        <v>88.320000000000164</v>
      </c>
      <c r="M37" s="2"/>
      <c r="N37" s="7">
        <f t="shared" si="23"/>
        <v>2.4811218985976314E-2</v>
      </c>
      <c r="O37" s="11"/>
      <c r="P37" s="6">
        <v>7872</v>
      </c>
      <c r="Q37" s="2"/>
      <c r="R37" s="7">
        <f t="shared" si="24"/>
        <v>0.17110190539968659</v>
      </c>
      <c r="S37" s="2"/>
      <c r="T37" s="6">
        <v>8009.28</v>
      </c>
      <c r="U37" s="2"/>
      <c r="V37" s="7">
        <f t="shared" si="25"/>
        <v>0.17168800991206898</v>
      </c>
      <c r="W37" s="2"/>
      <c r="X37" s="6">
        <f t="shared" si="26"/>
        <v>-137.27999999999975</v>
      </c>
      <c r="Y37" s="2"/>
      <c r="Z37" s="7">
        <f t="shared" si="27"/>
        <v>-1.7140117463742027E-2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>
        <v>254.64</v>
      </c>
      <c r="E39" s="2"/>
      <c r="F39" s="7">
        <f t="shared" si="20"/>
        <v>8.0797132374475535E-3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254.64</v>
      </c>
      <c r="M39" s="2"/>
      <c r="N39" s="7">
        <f t="shared" si="23"/>
        <v>0</v>
      </c>
      <c r="O39" s="11"/>
      <c r="P39" s="6">
        <v>254.64</v>
      </c>
      <c r="Q39" s="2"/>
      <c r="R39" s="7">
        <f t="shared" si="24"/>
        <v>5.5347293179593745E-3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254.64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1157.25</v>
      </c>
      <c r="E40" s="2"/>
      <c r="F40" s="7">
        <f t="shared" si="20"/>
        <v>3.6719479045068261E-2</v>
      </c>
      <c r="G40" s="2"/>
      <c r="H40" s="6">
        <v>787.64</v>
      </c>
      <c r="I40" s="2"/>
      <c r="J40" s="7">
        <f t="shared" si="21"/>
        <v>2.4263446491282113E-2</v>
      </c>
      <c r="K40" s="2"/>
      <c r="L40" s="6">
        <f t="shared" si="22"/>
        <v>369.61</v>
      </c>
      <c r="M40" s="2"/>
      <c r="N40" s="7">
        <f t="shared" si="23"/>
        <v>0.4692626072825149</v>
      </c>
      <c r="O40" s="11"/>
      <c r="P40" s="6">
        <v>1219.94</v>
      </c>
      <c r="Q40" s="2"/>
      <c r="R40" s="7">
        <f t="shared" si="24"/>
        <v>2.6516013525570842E-2</v>
      </c>
      <c r="S40" s="2"/>
      <c r="T40" s="6">
        <v>787.64</v>
      </c>
      <c r="U40" s="2"/>
      <c r="V40" s="7">
        <f t="shared" si="25"/>
        <v>1.6883957625047696E-2</v>
      </c>
      <c r="W40" s="2"/>
      <c r="X40" s="6">
        <f t="shared" si="26"/>
        <v>432.30000000000007</v>
      </c>
      <c r="Y40" s="2"/>
      <c r="Z40" s="7">
        <f t="shared" si="27"/>
        <v>0.54885480676451182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3567.75</v>
      </c>
      <c r="E42" s="2"/>
      <c r="F42" s="7">
        <f t="shared" si="20"/>
        <v>0.11320451187128303</v>
      </c>
      <c r="G42" s="2"/>
      <c r="H42" s="6">
        <v>1824.20625</v>
      </c>
      <c r="I42" s="2"/>
      <c r="J42" s="7">
        <f t="shared" si="21"/>
        <v>5.619512814983673E-2</v>
      </c>
      <c r="K42" s="2"/>
      <c r="L42" s="6">
        <f t="shared" si="22"/>
        <v>1743.54375</v>
      </c>
      <c r="M42" s="2"/>
      <c r="N42" s="7">
        <f t="shared" si="23"/>
        <v>0.95578213812171742</v>
      </c>
      <c r="O42" s="11"/>
      <c r="P42" s="6">
        <v>6285</v>
      </c>
      <c r="Q42" s="2"/>
      <c r="R42" s="7">
        <f t="shared" si="24"/>
        <v>0.13660765694067967</v>
      </c>
      <c r="S42" s="2"/>
      <c r="T42" s="6">
        <v>3370.1437500000002</v>
      </c>
      <c r="U42" s="2"/>
      <c r="V42" s="7">
        <f t="shared" si="25"/>
        <v>7.2242857479710709E-2</v>
      </c>
      <c r="W42" s="2"/>
      <c r="X42" s="6">
        <f t="shared" si="26"/>
        <v>2914.8562499999998</v>
      </c>
      <c r="Y42" s="2"/>
      <c r="Z42" s="7">
        <f t="shared" si="27"/>
        <v>0.86490561418930567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1408.44</v>
      </c>
      <c r="I43" s="2"/>
      <c r="J43" s="7">
        <f t="shared" si="21"/>
        <v>4.3387345203622696E-2</v>
      </c>
      <c r="K43" s="2"/>
      <c r="L43" s="6">
        <f t="shared" si="22"/>
        <v>-1408.44</v>
      </c>
      <c r="M43" s="2"/>
      <c r="N43" s="7">
        <f t="shared" si="23"/>
        <v>-1</v>
      </c>
      <c r="O43" s="11"/>
      <c r="P43" s="6">
        <v>108</v>
      </c>
      <c r="Q43" s="2"/>
      <c r="R43" s="7">
        <f t="shared" si="24"/>
        <v>2.3474346777396025E-3</v>
      </c>
      <c r="S43" s="2"/>
      <c r="T43" s="6">
        <v>1408.44</v>
      </c>
      <c r="U43" s="2"/>
      <c r="V43" s="7">
        <f t="shared" si="25"/>
        <v>3.0191510432967063E-2</v>
      </c>
      <c r="W43" s="2"/>
      <c r="X43" s="6">
        <f t="shared" si="26"/>
        <v>-1300.44</v>
      </c>
      <c r="Y43" s="2"/>
      <c r="Z43" s="7">
        <f t="shared" si="27"/>
        <v>-0.92331941722757094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79.78</v>
      </c>
      <c r="E46" s="1"/>
      <c r="F46" s="5">
        <f t="shared" ref="F46:F54" si="28">IF(D$12=0,0,D46/D$12)</f>
        <v>2.5314150254616944E-3</v>
      </c>
      <c r="G46" s="1"/>
      <c r="H46" s="1">
        <f>SUM(OSRRefH22_2x_0)</f>
        <v>150</v>
      </c>
      <c r="I46" s="1"/>
      <c r="J46" s="5">
        <f t="shared" ref="J46:J54" si="29">IF(H$12=0,0,H46/H$12)</f>
        <v>4.6207873821699219E-3</v>
      </c>
      <c r="K46" s="1"/>
      <c r="L46" s="1">
        <f t="shared" ref="L46:L54" si="30">+D46-H46</f>
        <v>-70.22</v>
      </c>
      <c r="M46" s="1"/>
      <c r="N46" s="5">
        <f t="shared" ref="N46:N54" si="31">IF(H46=0,0,L46/H46)</f>
        <v>-0.46813333333333335</v>
      </c>
      <c r="O46" s="13"/>
      <c r="P46" s="1">
        <f>SUM(OSRRefP22_2x_0)</f>
        <v>79.78</v>
      </c>
      <c r="Q46" s="1"/>
      <c r="R46" s="5">
        <f t="shared" ref="R46:R54" si="32">IF(P$12=0,0,P46/P$12)</f>
        <v>1.7340586906487547E-3</v>
      </c>
      <c r="S46" s="1"/>
      <c r="T46" s="1">
        <f>SUM(OSRRefT22_2x_0)</f>
        <v>225</v>
      </c>
      <c r="U46" s="1"/>
      <c r="V46" s="5">
        <f t="shared" ref="V46:V54" si="33">IF(T$12=0,0,T46/T$12)</f>
        <v>4.8231304474578894E-3</v>
      </c>
      <c r="W46" s="1"/>
      <c r="X46" s="1">
        <f t="shared" ref="X46:X54" si="34">+P46-T46</f>
        <v>-145.22</v>
      </c>
      <c r="Y46" s="1"/>
      <c r="Z46" s="5">
        <f t="shared" ref="Z46:Z54" si="35">IF(T46=0,0,X46/T46)</f>
        <v>-0.64542222222222223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79.78</v>
      </c>
      <c r="E47" s="2"/>
      <c r="F47" s="7">
        <f t="shared" si="28"/>
        <v>2.5314150254616944E-3</v>
      </c>
      <c r="G47" s="2"/>
      <c r="H47" s="6">
        <v>150</v>
      </c>
      <c r="I47" s="2"/>
      <c r="J47" s="7">
        <f t="shared" si="29"/>
        <v>4.6207873821699219E-3</v>
      </c>
      <c r="K47" s="2"/>
      <c r="L47" s="6">
        <f t="shared" si="30"/>
        <v>-70.22</v>
      </c>
      <c r="M47" s="2"/>
      <c r="N47" s="7">
        <f t="shared" si="31"/>
        <v>-0.46813333333333335</v>
      </c>
      <c r="O47" s="11"/>
      <c r="P47" s="6">
        <v>79.78</v>
      </c>
      <c r="Q47" s="2"/>
      <c r="R47" s="7">
        <f t="shared" si="32"/>
        <v>1.7340586906487547E-3</v>
      </c>
      <c r="S47" s="2"/>
      <c r="T47" s="6">
        <v>225</v>
      </c>
      <c r="U47" s="2"/>
      <c r="V47" s="7">
        <f t="shared" si="33"/>
        <v>4.8231304474578894E-3</v>
      </c>
      <c r="W47" s="2"/>
      <c r="X47" s="6">
        <f t="shared" si="34"/>
        <v>-145.22</v>
      </c>
      <c r="Y47" s="2"/>
      <c r="Z47" s="7">
        <f t="shared" si="35"/>
        <v>-0.64542222222222223</v>
      </c>
    </row>
    <row r="48" spans="1:26" s="26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-5.98</v>
      </c>
      <c r="E48" s="1"/>
      <c r="F48" s="5">
        <f t="shared" si="28"/>
        <v>-1.8974507210154092E-4</v>
      </c>
      <c r="G48" s="1"/>
      <c r="H48" s="1">
        <f>SUM(OSRRefH22_3x_0)</f>
        <v>10</v>
      </c>
      <c r="I48" s="1"/>
      <c r="J48" s="5">
        <f t="shared" si="29"/>
        <v>3.0805249214466146E-4</v>
      </c>
      <c r="K48" s="1"/>
      <c r="L48" s="1">
        <f t="shared" si="30"/>
        <v>-15.98</v>
      </c>
      <c r="M48" s="1"/>
      <c r="N48" s="5">
        <f t="shared" si="31"/>
        <v>-1.5980000000000001</v>
      </c>
      <c r="O48" s="13"/>
      <c r="P48" s="1">
        <f>SUM(OSRRefP22_3x_0)</f>
        <v>-13.75</v>
      </c>
      <c r="Q48" s="1"/>
      <c r="R48" s="5">
        <f t="shared" si="32"/>
        <v>-2.9886321128629203E-4</v>
      </c>
      <c r="S48" s="1"/>
      <c r="T48" s="1">
        <f>SUM(OSRRefT22_3x_0)</f>
        <v>20</v>
      </c>
      <c r="U48" s="1"/>
      <c r="V48" s="5">
        <f t="shared" si="33"/>
        <v>4.2872270644070127E-4</v>
      </c>
      <c r="W48" s="1"/>
      <c r="X48" s="1">
        <f t="shared" si="34"/>
        <v>-33.75</v>
      </c>
      <c r="Y48" s="1"/>
      <c r="Z48" s="5">
        <f t="shared" si="35"/>
        <v>-1.6875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-5.98</v>
      </c>
      <c r="E49" s="2"/>
      <c r="F49" s="7">
        <f t="shared" si="28"/>
        <v>-1.8974507210154092E-4</v>
      </c>
      <c r="G49" s="2"/>
      <c r="H49" s="6">
        <v>10</v>
      </c>
      <c r="I49" s="2"/>
      <c r="J49" s="7">
        <f t="shared" si="29"/>
        <v>3.0805249214466146E-4</v>
      </c>
      <c r="K49" s="2"/>
      <c r="L49" s="6">
        <f t="shared" si="30"/>
        <v>-15.98</v>
      </c>
      <c r="M49" s="2"/>
      <c r="N49" s="7">
        <f t="shared" si="31"/>
        <v>-1.5980000000000001</v>
      </c>
      <c r="O49" s="11"/>
      <c r="P49" s="6">
        <v>-13.75</v>
      </c>
      <c r="Q49" s="2"/>
      <c r="R49" s="7">
        <f t="shared" si="32"/>
        <v>-2.9886321128629203E-4</v>
      </c>
      <c r="S49" s="2"/>
      <c r="T49" s="6">
        <v>20</v>
      </c>
      <c r="U49" s="2"/>
      <c r="V49" s="7">
        <f t="shared" si="33"/>
        <v>4.2872270644070127E-4</v>
      </c>
      <c r="W49" s="2"/>
      <c r="X49" s="6">
        <f t="shared" si="34"/>
        <v>-33.75</v>
      </c>
      <c r="Y49" s="2"/>
      <c r="Z49" s="7">
        <f t="shared" si="35"/>
        <v>-1.6875</v>
      </c>
    </row>
    <row r="50" spans="1:26" s="26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1079.27</v>
      </c>
      <c r="E50" s="1"/>
      <c r="F50" s="5">
        <f t="shared" si="28"/>
        <v>3.4245177920908032E-2</v>
      </c>
      <c r="G50" s="1"/>
      <c r="H50" s="1">
        <f>SUM(OSRRefH22_4x_0)</f>
        <v>1071</v>
      </c>
      <c r="I50" s="1"/>
      <c r="J50" s="5">
        <f t="shared" si="29"/>
        <v>3.299242190869324E-2</v>
      </c>
      <c r="K50" s="1"/>
      <c r="L50" s="1">
        <f t="shared" si="30"/>
        <v>8.2699999999999818</v>
      </c>
      <c r="M50" s="1"/>
      <c r="N50" s="5">
        <f t="shared" si="31"/>
        <v>7.7217553688141757E-3</v>
      </c>
      <c r="O50" s="13"/>
      <c r="P50" s="1">
        <f>SUM(OSRRefP22_4x_0)</f>
        <v>1483.02</v>
      </c>
      <c r="Q50" s="1"/>
      <c r="R50" s="5">
        <f t="shared" si="32"/>
        <v>3.2234190516494308E-2</v>
      </c>
      <c r="S50" s="1"/>
      <c r="T50" s="1">
        <f>SUM(OSRRefT22_4x_0)</f>
        <v>1386</v>
      </c>
      <c r="U50" s="1"/>
      <c r="V50" s="5">
        <f t="shared" si="33"/>
        <v>2.9710483556340598E-2</v>
      </c>
      <c r="W50" s="1"/>
      <c r="X50" s="1">
        <f t="shared" si="34"/>
        <v>97.019999999999982</v>
      </c>
      <c r="Y50" s="1"/>
      <c r="Z50" s="5">
        <f t="shared" si="35"/>
        <v>6.9999999999999993E-2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1079.27</v>
      </c>
      <c r="E51" s="2"/>
      <c r="F51" s="7">
        <f t="shared" si="28"/>
        <v>3.4245177920908032E-2</v>
      </c>
      <c r="G51" s="2"/>
      <c r="H51" s="6">
        <v>1071</v>
      </c>
      <c r="I51" s="2"/>
      <c r="J51" s="7">
        <f t="shared" si="29"/>
        <v>3.299242190869324E-2</v>
      </c>
      <c r="K51" s="2"/>
      <c r="L51" s="6">
        <f t="shared" si="30"/>
        <v>8.2699999999999818</v>
      </c>
      <c r="M51" s="2"/>
      <c r="N51" s="7">
        <f t="shared" si="31"/>
        <v>7.7217553688141757E-3</v>
      </c>
      <c r="O51" s="11"/>
      <c r="P51" s="6">
        <v>1483.02</v>
      </c>
      <c r="Q51" s="2"/>
      <c r="R51" s="7">
        <f t="shared" si="32"/>
        <v>3.2234190516494308E-2</v>
      </c>
      <c r="S51" s="2"/>
      <c r="T51" s="6">
        <v>1386</v>
      </c>
      <c r="U51" s="2"/>
      <c r="V51" s="7">
        <f t="shared" si="33"/>
        <v>2.9710483556340598E-2</v>
      </c>
      <c r="W51" s="2"/>
      <c r="X51" s="6">
        <f t="shared" si="34"/>
        <v>97.019999999999982</v>
      </c>
      <c r="Y51" s="2"/>
      <c r="Z51" s="7">
        <f t="shared" si="35"/>
        <v>6.9999999999999993E-2</v>
      </c>
    </row>
    <row r="52" spans="1:26" s="26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5421.37</v>
      </c>
      <c r="E52" s="1"/>
      <c r="F52" s="5">
        <f t="shared" si="28"/>
        <v>0.17201977283263056</v>
      </c>
      <c r="G52" s="1"/>
      <c r="H52" s="1">
        <f>SUM(OSRRefH22_5x_0)</f>
        <v>5429</v>
      </c>
      <c r="I52" s="1"/>
      <c r="J52" s="5">
        <f t="shared" si="29"/>
        <v>0.1672416979853367</v>
      </c>
      <c r="K52" s="1"/>
      <c r="L52" s="1">
        <f t="shared" si="30"/>
        <v>-7.6300000000001091</v>
      </c>
      <c r="M52" s="1"/>
      <c r="N52" s="5">
        <f t="shared" si="31"/>
        <v>-1.4054153619451296E-3</v>
      </c>
      <c r="O52" s="13"/>
      <c r="P52" s="1">
        <f>SUM(OSRRefP22_5x_0)</f>
        <v>10842.74</v>
      </c>
      <c r="Q52" s="1"/>
      <c r="R52" s="5">
        <f t="shared" si="32"/>
        <v>0.23567244331216944</v>
      </c>
      <c r="S52" s="1"/>
      <c r="T52" s="1">
        <f>SUM(OSRRefT22_5x_0)</f>
        <v>10858</v>
      </c>
      <c r="U52" s="1"/>
      <c r="V52" s="5">
        <f t="shared" si="33"/>
        <v>0.2327535573266567</v>
      </c>
      <c r="W52" s="1"/>
      <c r="X52" s="1">
        <f t="shared" si="34"/>
        <v>-15.260000000000218</v>
      </c>
      <c r="Y52" s="1"/>
      <c r="Z52" s="5">
        <f t="shared" si="35"/>
        <v>-1.4054153619451296E-3</v>
      </c>
    </row>
    <row r="53" spans="1:26" s="24" customFormat="1" hidden="1" outlineLevel="2" x14ac:dyDescent="0.25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5080.51</v>
      </c>
      <c r="E53" s="2"/>
      <c r="F53" s="7">
        <f t="shared" si="28"/>
        <v>0.16120430372284275</v>
      </c>
      <c r="G53" s="2"/>
      <c r="H53" s="6">
        <v>5081</v>
      </c>
      <c r="I53" s="2"/>
      <c r="J53" s="7">
        <f t="shared" si="29"/>
        <v>0.15652147125870247</v>
      </c>
      <c r="K53" s="2"/>
      <c r="L53" s="6">
        <f t="shared" si="30"/>
        <v>-0.48999999999978172</v>
      </c>
      <c r="M53" s="2"/>
      <c r="N53" s="7">
        <f t="shared" si="31"/>
        <v>-9.6437709112336489E-5</v>
      </c>
      <c r="O53" s="11"/>
      <c r="P53" s="6">
        <v>10161.02</v>
      </c>
      <c r="Q53" s="2"/>
      <c r="R53" s="7">
        <f t="shared" si="32"/>
        <v>0.22085491397412646</v>
      </c>
      <c r="S53" s="2"/>
      <c r="T53" s="6">
        <v>10162</v>
      </c>
      <c r="U53" s="2"/>
      <c r="V53" s="7">
        <f t="shared" si="33"/>
        <v>0.2178340071425203</v>
      </c>
      <c r="W53" s="2"/>
      <c r="X53" s="6">
        <f t="shared" si="34"/>
        <v>-0.97999999999956344</v>
      </c>
      <c r="Y53" s="2"/>
      <c r="Z53" s="7">
        <f t="shared" si="35"/>
        <v>-9.6437709112336489E-5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340.86</v>
      </c>
      <c r="E54" s="2"/>
      <c r="F54" s="7">
        <f t="shared" si="28"/>
        <v>1.0815469109787831E-2</v>
      </c>
      <c r="G54" s="2"/>
      <c r="H54" s="6">
        <v>348</v>
      </c>
      <c r="I54" s="2"/>
      <c r="J54" s="7">
        <f t="shared" si="29"/>
        <v>1.0720226726634219E-2</v>
      </c>
      <c r="K54" s="2"/>
      <c r="L54" s="6">
        <f t="shared" si="30"/>
        <v>-7.1399999999999864</v>
      </c>
      <c r="M54" s="2"/>
      <c r="N54" s="7">
        <f t="shared" si="31"/>
        <v>-2.0517241379310304E-2</v>
      </c>
      <c r="O54" s="11"/>
      <c r="P54" s="6">
        <v>681.72</v>
      </c>
      <c r="Q54" s="2"/>
      <c r="R54" s="7">
        <f t="shared" si="32"/>
        <v>1.4817529338042982E-2</v>
      </c>
      <c r="S54" s="2"/>
      <c r="T54" s="6">
        <v>696</v>
      </c>
      <c r="U54" s="2"/>
      <c r="V54" s="7">
        <f t="shared" si="33"/>
        <v>1.4919550184136404E-2</v>
      </c>
      <c r="W54" s="2"/>
      <c r="X54" s="6">
        <f t="shared" si="34"/>
        <v>-14.279999999999973</v>
      </c>
      <c r="Y54" s="2"/>
      <c r="Z54" s="7">
        <f t="shared" si="35"/>
        <v>-2.0517241379310304E-2</v>
      </c>
    </row>
    <row r="55" spans="1:26" s="26" customFormat="1" outlineLevel="1" collapsed="1" x14ac:dyDescent="0.25">
      <c r="A55" s="25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7" si="36">IF(D$12=0,0,D55/D$12)</f>
        <v>0</v>
      </c>
      <c r="G55" s="1"/>
      <c r="H55" s="1">
        <f>SUM(OSRRefH22_6x_0)</f>
        <v>25</v>
      </c>
      <c r="I55" s="1"/>
      <c r="J55" s="5">
        <f t="shared" ref="J55:J67" si="37">IF(H$12=0,0,H55/H$12)</f>
        <v>7.7013123036165365E-4</v>
      </c>
      <c r="K55" s="1"/>
      <c r="L55" s="1">
        <f t="shared" ref="L55:L67" si="38">+D55-H55</f>
        <v>-25</v>
      </c>
      <c r="M55" s="1"/>
      <c r="N55" s="5">
        <f t="shared" ref="N55:N67" si="39">IF(H55=0,0,L55/H55)</f>
        <v>-1</v>
      </c>
      <c r="O55" s="13"/>
      <c r="P55" s="1">
        <f>SUM(OSRRefP22_6x_0)</f>
        <v>0</v>
      </c>
      <c r="Q55" s="1"/>
      <c r="R55" s="5">
        <f t="shared" ref="R55:R67" si="40">IF(P$12=0,0,P55/P$12)</f>
        <v>0</v>
      </c>
      <c r="S55" s="1"/>
      <c r="T55" s="1">
        <f>SUM(OSRRefT22_6x_0)</f>
        <v>50</v>
      </c>
      <c r="U55" s="1"/>
      <c r="V55" s="5">
        <f t="shared" ref="V55:V67" si="41">IF(T$12=0,0,T55/T$12)</f>
        <v>1.071806766101753E-3</v>
      </c>
      <c r="W55" s="1"/>
      <c r="X55" s="1">
        <f t="shared" ref="X55:X67" si="42">+P55-T55</f>
        <v>-50</v>
      </c>
      <c r="Y55" s="1"/>
      <c r="Z55" s="5">
        <f t="shared" ref="Z55:Z67" si="43">IF(T55=0,0,X55/T55)</f>
        <v>-1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25</v>
      </c>
      <c r="I56" s="2"/>
      <c r="J56" s="7">
        <f t="shared" si="37"/>
        <v>7.7013123036165365E-4</v>
      </c>
      <c r="K56" s="2"/>
      <c r="L56" s="6">
        <f t="shared" si="38"/>
        <v>-25</v>
      </c>
      <c r="M56" s="2"/>
      <c r="N56" s="7">
        <f t="shared" si="39"/>
        <v>-1</v>
      </c>
      <c r="O56" s="11"/>
      <c r="P56" s="6"/>
      <c r="Q56" s="2"/>
      <c r="R56" s="7">
        <f t="shared" si="40"/>
        <v>0</v>
      </c>
      <c r="S56" s="2"/>
      <c r="T56" s="6">
        <v>50</v>
      </c>
      <c r="U56" s="2"/>
      <c r="V56" s="7">
        <f t="shared" si="41"/>
        <v>1.071806766101753E-3</v>
      </c>
      <c r="W56" s="2"/>
      <c r="X56" s="6">
        <f t="shared" si="42"/>
        <v>-50</v>
      </c>
      <c r="Y56" s="2"/>
      <c r="Z56" s="7">
        <f t="shared" si="43"/>
        <v>-1</v>
      </c>
    </row>
    <row r="57" spans="1:26" s="26" customFormat="1" outlineLevel="1" collapsed="1" x14ac:dyDescent="0.25">
      <c r="A57" s="25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SUM(OSRRefD22_7x_0)</f>
        <v>146.05000000000001</v>
      </c>
      <c r="E57" s="1"/>
      <c r="F57" s="5">
        <f t="shared" si="36"/>
        <v>4.6341584917107105E-3</v>
      </c>
      <c r="G57" s="1"/>
      <c r="H57" s="1">
        <f>SUM(OSRRefH22_7x_0)</f>
        <v>80</v>
      </c>
      <c r="I57" s="1"/>
      <c r="J57" s="5">
        <f t="shared" si="37"/>
        <v>2.4644199371572917E-3</v>
      </c>
      <c r="K57" s="1"/>
      <c r="L57" s="1">
        <f t="shared" si="38"/>
        <v>66.050000000000011</v>
      </c>
      <c r="M57" s="1"/>
      <c r="N57" s="5">
        <f t="shared" si="39"/>
        <v>0.82562500000000016</v>
      </c>
      <c r="O57" s="13"/>
      <c r="P57" s="1">
        <f>SUM(OSRRefP22_7x_0)</f>
        <v>292.52</v>
      </c>
      <c r="Q57" s="1"/>
      <c r="R57" s="5">
        <f t="shared" si="40"/>
        <v>6.3580702956702638E-3</v>
      </c>
      <c r="S57" s="1"/>
      <c r="T57" s="1">
        <f>SUM(OSRRefT22_7x_0)</f>
        <v>160</v>
      </c>
      <c r="U57" s="1"/>
      <c r="V57" s="5">
        <f t="shared" si="41"/>
        <v>3.4297816515256102E-3</v>
      </c>
      <c r="W57" s="1"/>
      <c r="X57" s="1">
        <f t="shared" si="42"/>
        <v>132.51999999999998</v>
      </c>
      <c r="Y57" s="1"/>
      <c r="Z57" s="5">
        <f t="shared" si="43"/>
        <v>0.82824999999999993</v>
      </c>
    </row>
    <row r="58" spans="1:26" s="24" customFormat="1" hidden="1" outlineLevel="2" x14ac:dyDescent="0.25">
      <c r="A58" s="27"/>
      <c r="B58" s="11" t="str">
        <f>CONCATENATE("          ", "6351", " - ", "EQUIPMENT RENTAL")</f>
        <v xml:space="preserve">          6351 - EQUIPMENT RENTAL</v>
      </c>
      <c r="C58" s="11"/>
      <c r="D58" s="6">
        <v>146.05000000000001</v>
      </c>
      <c r="E58" s="2"/>
      <c r="F58" s="7">
        <f t="shared" si="36"/>
        <v>4.6341584917107105E-3</v>
      </c>
      <c r="G58" s="2"/>
      <c r="H58" s="6">
        <v>80</v>
      </c>
      <c r="I58" s="2"/>
      <c r="J58" s="7">
        <f t="shared" si="37"/>
        <v>2.4644199371572917E-3</v>
      </c>
      <c r="K58" s="2"/>
      <c r="L58" s="6">
        <f t="shared" si="38"/>
        <v>66.050000000000011</v>
      </c>
      <c r="M58" s="2"/>
      <c r="N58" s="7">
        <f t="shared" si="39"/>
        <v>0.82562500000000016</v>
      </c>
      <c r="O58" s="11"/>
      <c r="P58" s="6">
        <v>292.52</v>
      </c>
      <c r="Q58" s="2"/>
      <c r="R58" s="7">
        <f t="shared" si="40"/>
        <v>6.3580702956702638E-3</v>
      </c>
      <c r="S58" s="2"/>
      <c r="T58" s="6">
        <v>160</v>
      </c>
      <c r="U58" s="2"/>
      <c r="V58" s="7">
        <f t="shared" si="41"/>
        <v>3.4297816515256102E-3</v>
      </c>
      <c r="W58" s="2"/>
      <c r="X58" s="6">
        <f t="shared" si="42"/>
        <v>132.51999999999998</v>
      </c>
      <c r="Y58" s="2"/>
      <c r="Z58" s="7">
        <f t="shared" si="43"/>
        <v>0.82824999999999993</v>
      </c>
    </row>
    <row r="59" spans="1:26" s="26" customFormat="1" outlineLevel="1" collapsed="1" x14ac:dyDescent="0.25">
      <c r="A59" s="25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SUM(OSRRefD22_8x_0)</f>
        <v>10.75</v>
      </c>
      <c r="E59" s="1"/>
      <c r="F59" s="5">
        <f t="shared" si="36"/>
        <v>3.4109691055042888E-4</v>
      </c>
      <c r="G59" s="1"/>
      <c r="H59" s="1">
        <f>SUM(OSRRefH22_8x_0)</f>
        <v>0</v>
      </c>
      <c r="I59" s="1"/>
      <c r="J59" s="5">
        <f t="shared" si="37"/>
        <v>0</v>
      </c>
      <c r="K59" s="1"/>
      <c r="L59" s="1">
        <f t="shared" si="38"/>
        <v>10.75</v>
      </c>
      <c r="M59" s="1"/>
      <c r="N59" s="5">
        <f t="shared" si="39"/>
        <v>0</v>
      </c>
      <c r="O59" s="13"/>
      <c r="P59" s="1">
        <f>SUM(OSRRefP22_8x_0)</f>
        <v>751.05</v>
      </c>
      <c r="Q59" s="1"/>
      <c r="R59" s="5">
        <f t="shared" si="40"/>
        <v>1.6324451988114153E-2</v>
      </c>
      <c r="S59" s="1"/>
      <c r="T59" s="1">
        <f>SUM(OSRRefT22_8x_0)</f>
        <v>400</v>
      </c>
      <c r="U59" s="1"/>
      <c r="V59" s="5">
        <f t="shared" si="41"/>
        <v>8.5744541288140241E-3</v>
      </c>
      <c r="W59" s="1"/>
      <c r="X59" s="1">
        <f t="shared" si="42"/>
        <v>351.04999999999995</v>
      </c>
      <c r="Y59" s="1"/>
      <c r="Z59" s="5">
        <f t="shared" si="43"/>
        <v>0.87762499999999988</v>
      </c>
    </row>
    <row r="60" spans="1:26" s="24" customFormat="1" hidden="1" outlineLevel="2" x14ac:dyDescent="0.25">
      <c r="A60" s="27"/>
      <c r="B60" s="11" t="str">
        <f>CONCATENATE("          ", "6279", " - ", "GENERAL EXPENSE")</f>
        <v xml:space="preserve">          6279 - GENERAL EXPENSE</v>
      </c>
      <c r="C60" s="11"/>
      <c r="D60" s="6">
        <v>10.75</v>
      </c>
      <c r="E60" s="2"/>
      <c r="F60" s="7">
        <f t="shared" si="36"/>
        <v>3.4109691055042888E-4</v>
      </c>
      <c r="G60" s="2"/>
      <c r="H60" s="6"/>
      <c r="I60" s="2"/>
      <c r="J60" s="7">
        <f t="shared" si="37"/>
        <v>0</v>
      </c>
      <c r="K60" s="2"/>
      <c r="L60" s="6">
        <f t="shared" si="38"/>
        <v>10.75</v>
      </c>
      <c r="M60" s="2"/>
      <c r="N60" s="7">
        <f t="shared" si="39"/>
        <v>0</v>
      </c>
      <c r="O60" s="11"/>
      <c r="P60" s="6">
        <v>751.05</v>
      </c>
      <c r="Q60" s="2"/>
      <c r="R60" s="7">
        <f t="shared" si="40"/>
        <v>1.6324451988114153E-2</v>
      </c>
      <c r="S60" s="2"/>
      <c r="T60" s="6">
        <v>400</v>
      </c>
      <c r="U60" s="2"/>
      <c r="V60" s="7">
        <f t="shared" si="41"/>
        <v>8.5744541288140241E-3</v>
      </c>
      <c r="W60" s="2"/>
      <c r="X60" s="6">
        <f t="shared" si="42"/>
        <v>351.04999999999995</v>
      </c>
      <c r="Y60" s="2"/>
      <c r="Z60" s="7">
        <f t="shared" si="43"/>
        <v>0.87762499999999988</v>
      </c>
    </row>
    <row r="61" spans="1:26" s="26" customFormat="1" outlineLevel="1" collapsed="1" x14ac:dyDescent="0.25">
      <c r="A61" s="25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SUM(OSRRefD22_9x_0)</f>
        <v>243.54</v>
      </c>
      <c r="E61" s="1"/>
      <c r="F61" s="5">
        <f t="shared" si="36"/>
        <v>7.7275108460885065E-3</v>
      </c>
      <c r="G61" s="1"/>
      <c r="H61" s="1">
        <f>SUM(OSRRefH22_9x_0)</f>
        <v>230</v>
      </c>
      <c r="I61" s="1"/>
      <c r="J61" s="5">
        <f t="shared" si="37"/>
        <v>7.0852073193272136E-3</v>
      </c>
      <c r="K61" s="1"/>
      <c r="L61" s="1">
        <f t="shared" si="38"/>
        <v>13.539999999999992</v>
      </c>
      <c r="M61" s="1"/>
      <c r="N61" s="5">
        <f t="shared" si="39"/>
        <v>5.886956521739127E-2</v>
      </c>
      <c r="O61" s="13"/>
      <c r="P61" s="1">
        <f>SUM(OSRRefP22_9x_0)</f>
        <v>487.08</v>
      </c>
      <c r="Q61" s="1"/>
      <c r="R61" s="5">
        <f t="shared" si="40"/>
        <v>1.0586930396605607E-2</v>
      </c>
      <c r="S61" s="1"/>
      <c r="T61" s="1">
        <f>SUM(OSRRefT22_9x_0)</f>
        <v>460</v>
      </c>
      <c r="U61" s="1"/>
      <c r="V61" s="5">
        <f t="shared" si="41"/>
        <v>9.8606222481361291E-3</v>
      </c>
      <c r="W61" s="1"/>
      <c r="X61" s="1">
        <f t="shared" si="42"/>
        <v>27.079999999999984</v>
      </c>
      <c r="Y61" s="1"/>
      <c r="Z61" s="5">
        <f t="shared" si="43"/>
        <v>5.886956521739127E-2</v>
      </c>
    </row>
    <row r="62" spans="1:26" s="24" customFormat="1" hidden="1" outlineLevel="2" x14ac:dyDescent="0.25">
      <c r="A62" s="27"/>
      <c r="B62" s="11" t="str">
        <f>CONCATENATE("          ", "6314", " - ", "LIABILITY INSURANCE")</f>
        <v xml:space="preserve">          6314 - LIABILITY INSURANCE</v>
      </c>
      <c r="C62" s="11"/>
      <c r="D62" s="6">
        <v>243.54</v>
      </c>
      <c r="E62" s="2"/>
      <c r="F62" s="7">
        <f t="shared" si="36"/>
        <v>7.7275108460885065E-3</v>
      </c>
      <c r="G62" s="2"/>
      <c r="H62" s="6">
        <v>230</v>
      </c>
      <c r="I62" s="2"/>
      <c r="J62" s="7">
        <f t="shared" si="37"/>
        <v>7.0852073193272136E-3</v>
      </c>
      <c r="K62" s="2"/>
      <c r="L62" s="6">
        <f t="shared" si="38"/>
        <v>13.539999999999992</v>
      </c>
      <c r="M62" s="2"/>
      <c r="N62" s="7">
        <f t="shared" si="39"/>
        <v>5.886956521739127E-2</v>
      </c>
      <c r="O62" s="11"/>
      <c r="P62" s="6">
        <v>487.08</v>
      </c>
      <c r="Q62" s="2"/>
      <c r="R62" s="7">
        <f t="shared" si="40"/>
        <v>1.0586930396605607E-2</v>
      </c>
      <c r="S62" s="2"/>
      <c r="T62" s="6">
        <v>460</v>
      </c>
      <c r="U62" s="2"/>
      <c r="V62" s="7">
        <f t="shared" si="41"/>
        <v>9.8606222481361291E-3</v>
      </c>
      <c r="W62" s="2"/>
      <c r="X62" s="6">
        <f t="shared" si="42"/>
        <v>27.079999999999984</v>
      </c>
      <c r="Y62" s="2"/>
      <c r="Z62" s="7">
        <f t="shared" si="43"/>
        <v>5.886956521739127E-2</v>
      </c>
    </row>
    <row r="63" spans="1:26" s="26" customFormat="1" outlineLevel="1" collapsed="1" x14ac:dyDescent="0.25">
      <c r="A63" s="25"/>
      <c r="B63" s="13" t="str">
        <f>CONCATENATE("     ","Interest                                          ")</f>
        <v xml:space="preserve">     Interest                                          </v>
      </c>
      <c r="C63" s="13"/>
      <c r="D63" s="1">
        <f>SUM(OSRRefD22_10x_0)</f>
        <v>4110</v>
      </c>
      <c r="E63" s="1"/>
      <c r="F63" s="5">
        <f t="shared" si="36"/>
        <v>0.13041007463835003</v>
      </c>
      <c r="G63" s="1"/>
      <c r="H63" s="1">
        <f>SUM(OSRRefH22_10x_0)</f>
        <v>4175</v>
      </c>
      <c r="I63" s="1"/>
      <c r="J63" s="5">
        <f t="shared" si="37"/>
        <v>0.12861191547039616</v>
      </c>
      <c r="K63" s="1"/>
      <c r="L63" s="1">
        <f t="shared" si="38"/>
        <v>-65</v>
      </c>
      <c r="M63" s="1"/>
      <c r="N63" s="5">
        <f t="shared" si="39"/>
        <v>-1.5568862275449102E-2</v>
      </c>
      <c r="O63" s="13"/>
      <c r="P63" s="1">
        <f>SUM(OSRRefP22_10x_0)</f>
        <v>8220</v>
      </c>
      <c r="Q63" s="1"/>
      <c r="R63" s="5">
        <f t="shared" si="40"/>
        <v>0.17866586158351422</v>
      </c>
      <c r="S63" s="1"/>
      <c r="T63" s="1">
        <f>SUM(OSRRefT22_10x_0)</f>
        <v>8350</v>
      </c>
      <c r="U63" s="1"/>
      <c r="V63" s="5">
        <f t="shared" si="41"/>
        <v>0.17899172993899276</v>
      </c>
      <c r="W63" s="1"/>
      <c r="X63" s="1">
        <f t="shared" si="42"/>
        <v>-130</v>
      </c>
      <c r="Y63" s="1"/>
      <c r="Z63" s="5">
        <f t="shared" si="43"/>
        <v>-1.5568862275449102E-2</v>
      </c>
    </row>
    <row r="64" spans="1:26" s="24" customFormat="1" hidden="1" outlineLevel="2" x14ac:dyDescent="0.25">
      <c r="A64" s="27"/>
      <c r="B64" s="11" t="str">
        <f>CONCATENATE("          ", "6401", " - ", "INTEREST EXPENSE")</f>
        <v xml:space="preserve">          6401 - INTEREST EXPENSE</v>
      </c>
      <c r="C64" s="11"/>
      <c r="D64" s="6">
        <v>4110</v>
      </c>
      <c r="E64" s="2"/>
      <c r="F64" s="7">
        <f t="shared" si="36"/>
        <v>0.13041007463835003</v>
      </c>
      <c r="G64" s="2"/>
      <c r="H64" s="6">
        <v>4175</v>
      </c>
      <c r="I64" s="2"/>
      <c r="J64" s="7">
        <f t="shared" si="37"/>
        <v>0.12861191547039616</v>
      </c>
      <c r="K64" s="2"/>
      <c r="L64" s="6">
        <f t="shared" si="38"/>
        <v>-65</v>
      </c>
      <c r="M64" s="2"/>
      <c r="N64" s="7">
        <f t="shared" si="39"/>
        <v>-1.5568862275449102E-2</v>
      </c>
      <c r="O64" s="11"/>
      <c r="P64" s="6">
        <v>8220</v>
      </c>
      <c r="Q64" s="2"/>
      <c r="R64" s="7">
        <f t="shared" si="40"/>
        <v>0.17866586158351422</v>
      </c>
      <c r="S64" s="2"/>
      <c r="T64" s="6">
        <v>8350</v>
      </c>
      <c r="U64" s="2"/>
      <c r="V64" s="7">
        <f t="shared" si="41"/>
        <v>0.17899172993899276</v>
      </c>
      <c r="W64" s="2"/>
      <c r="X64" s="6">
        <f t="shared" si="42"/>
        <v>-130</v>
      </c>
      <c r="Y64" s="2"/>
      <c r="Z64" s="7">
        <f t="shared" si="43"/>
        <v>-1.5568862275449102E-2</v>
      </c>
    </row>
    <row r="65" spans="1:26" s="26" customFormat="1" outlineLevel="1" collapsed="1" x14ac:dyDescent="0.25">
      <c r="A65" s="25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SUM(OSRRefD22_11x_0)</f>
        <v>75.27</v>
      </c>
      <c r="E65" s="1"/>
      <c r="F65" s="5">
        <f t="shared" si="36"/>
        <v>2.3883129727563517E-3</v>
      </c>
      <c r="G65" s="1"/>
      <c r="H65" s="1">
        <f>SUM(OSRRefH22_11x_0)</f>
        <v>200</v>
      </c>
      <c r="I65" s="1"/>
      <c r="J65" s="5">
        <f t="shared" si="37"/>
        <v>6.1610498428932292E-3</v>
      </c>
      <c r="K65" s="1"/>
      <c r="L65" s="1">
        <f t="shared" si="38"/>
        <v>-124.73</v>
      </c>
      <c r="M65" s="1"/>
      <c r="N65" s="5">
        <f t="shared" si="39"/>
        <v>-0.62365000000000004</v>
      </c>
      <c r="O65" s="13"/>
      <c r="P65" s="1">
        <f>SUM(OSRRefP22_11x_0)</f>
        <v>75.27</v>
      </c>
      <c r="Q65" s="1"/>
      <c r="R65" s="5">
        <f t="shared" si="40"/>
        <v>1.6360315573468508E-3</v>
      </c>
      <c r="S65" s="1"/>
      <c r="T65" s="1">
        <f>SUM(OSRRefT22_11x_0)</f>
        <v>3200</v>
      </c>
      <c r="U65" s="1"/>
      <c r="V65" s="5">
        <f t="shared" si="41"/>
        <v>6.8595633030512193E-2</v>
      </c>
      <c r="W65" s="1"/>
      <c r="X65" s="1">
        <f t="shared" si="42"/>
        <v>-3124.73</v>
      </c>
      <c r="Y65" s="1"/>
      <c r="Z65" s="5">
        <f t="shared" si="43"/>
        <v>-0.97647812499999997</v>
      </c>
    </row>
    <row r="66" spans="1:26" s="24" customFormat="1" hidden="1" outlineLevel="2" x14ac:dyDescent="0.25">
      <c r="A66" s="27"/>
      <c r="B66" s="11" t="str">
        <f>CONCATENATE("          ", "6371", " - ", "COMPUTER SOFTWARE MAINTENANCE")</f>
        <v xml:space="preserve">          6371 - COMPUTER SOFTWARE MAINTENANCE</v>
      </c>
      <c r="C66" s="11"/>
      <c r="D66" s="6"/>
      <c r="E66" s="2"/>
      <c r="F66" s="7">
        <f t="shared" si="36"/>
        <v>0</v>
      </c>
      <c r="G66" s="2"/>
      <c r="H66" s="6">
        <v>0</v>
      </c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/>
      <c r="Q66" s="2"/>
      <c r="R66" s="7">
        <f t="shared" si="40"/>
        <v>0</v>
      </c>
      <c r="S66" s="2"/>
      <c r="T66" s="6">
        <v>0</v>
      </c>
      <c r="U66" s="2"/>
      <c r="V66" s="7">
        <f t="shared" si="41"/>
        <v>0</v>
      </c>
      <c r="W66" s="2"/>
      <c r="X66" s="6">
        <f t="shared" si="42"/>
        <v>0</v>
      </c>
      <c r="Y66" s="2"/>
      <c r="Z66" s="7">
        <f t="shared" si="43"/>
        <v>0</v>
      </c>
    </row>
    <row r="67" spans="1:26" s="24" customFormat="1" hidden="1" outlineLevel="2" x14ac:dyDescent="0.25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6">
        <v>75.27</v>
      </c>
      <c r="E67" s="2"/>
      <c r="F67" s="7">
        <f t="shared" si="36"/>
        <v>2.3883129727563517E-3</v>
      </c>
      <c r="G67" s="2"/>
      <c r="H67" s="6">
        <v>200</v>
      </c>
      <c r="I67" s="2"/>
      <c r="J67" s="7">
        <f t="shared" si="37"/>
        <v>6.1610498428932292E-3</v>
      </c>
      <c r="K67" s="2"/>
      <c r="L67" s="6">
        <f t="shared" si="38"/>
        <v>-124.73</v>
      </c>
      <c r="M67" s="2"/>
      <c r="N67" s="7">
        <f t="shared" si="39"/>
        <v>-0.62365000000000004</v>
      </c>
      <c r="O67" s="11"/>
      <c r="P67" s="6">
        <v>75.27</v>
      </c>
      <c r="Q67" s="2"/>
      <c r="R67" s="7">
        <f t="shared" si="40"/>
        <v>1.6360315573468508E-3</v>
      </c>
      <c r="S67" s="2"/>
      <c r="T67" s="6">
        <v>3200</v>
      </c>
      <c r="U67" s="2"/>
      <c r="V67" s="7">
        <f t="shared" si="41"/>
        <v>6.8595633030512193E-2</v>
      </c>
      <c r="W67" s="2"/>
      <c r="X67" s="6">
        <f t="shared" si="42"/>
        <v>-3124.73</v>
      </c>
      <c r="Y67" s="2"/>
      <c r="Z67" s="7">
        <f t="shared" si="43"/>
        <v>-0.97647812499999997</v>
      </c>
    </row>
    <row r="68" spans="1:26" s="26" customFormat="1" outlineLevel="1" collapsed="1" x14ac:dyDescent="0.25">
      <c r="A68" s="25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SUM(OSRRefD22_12x_0)</f>
        <v>299.39</v>
      </c>
      <c r="E68" s="1"/>
      <c r="F68" s="5">
        <f t="shared" ref="F68:F72" si="44">IF(D$12=0,0,D68/D$12)</f>
        <v>9.4996282836923625E-3</v>
      </c>
      <c r="G68" s="1"/>
      <c r="H68" s="1">
        <f>SUM(OSRRefH22_12x_0)</f>
        <v>355</v>
      </c>
      <c r="I68" s="1"/>
      <c r="J68" s="5">
        <f t="shared" ref="J68:J72" si="45">IF(H$12=0,0,H68/H$12)</f>
        <v>1.0935863471135482E-2</v>
      </c>
      <c r="K68" s="1"/>
      <c r="L68" s="1">
        <f t="shared" ref="L68:L72" si="46">+D68-H68</f>
        <v>-55.610000000000014</v>
      </c>
      <c r="M68" s="1"/>
      <c r="N68" s="5">
        <f t="shared" ref="N68:N72" si="47">IF(H68=0,0,L68/H68)</f>
        <v>-0.15664788732394369</v>
      </c>
      <c r="O68" s="13"/>
      <c r="P68" s="1">
        <f>SUM(OSRRefP22_12x_0)</f>
        <v>736.1</v>
      </c>
      <c r="Q68" s="1"/>
      <c r="R68" s="5">
        <f t="shared" ref="R68:R72" si="48">IF(P$12=0,0,P68/P$12)</f>
        <v>1.5999506169297423E-2</v>
      </c>
      <c r="S68" s="1"/>
      <c r="T68" s="1">
        <f>SUM(OSRRefT22_12x_0)</f>
        <v>710</v>
      </c>
      <c r="U68" s="1"/>
      <c r="V68" s="5">
        <f t="shared" ref="V68:V72" si="49">IF(T$12=0,0,T68/T$12)</f>
        <v>1.5219656078644894E-2</v>
      </c>
      <c r="W68" s="1"/>
      <c r="X68" s="1">
        <f t="shared" ref="X68:X72" si="50">+P68-T68</f>
        <v>26.100000000000023</v>
      </c>
      <c r="Y68" s="1"/>
      <c r="Z68" s="5">
        <f t="shared" ref="Z68:Z72" si="51">IF(T68=0,0,X68/T68)</f>
        <v>3.6760563380281719E-2</v>
      </c>
    </row>
    <row r="69" spans="1:26" s="24" customFormat="1" hidden="1" outlineLevel="2" x14ac:dyDescent="0.25">
      <c r="A69" s="27"/>
      <c r="B69" s="11" t="str">
        <f>CONCATENATE("          ", "6281", " - ", "STORAGE FEE")</f>
        <v xml:space="preserve">          6281 - STORAGE FEE</v>
      </c>
      <c r="C69" s="11"/>
      <c r="D69" s="6"/>
      <c r="E69" s="2"/>
      <c r="F69" s="7">
        <f t="shared" si="44"/>
        <v>0</v>
      </c>
      <c r="G69" s="2"/>
      <c r="H69" s="6"/>
      <c r="I69" s="2"/>
      <c r="J69" s="7">
        <f t="shared" si="45"/>
        <v>0</v>
      </c>
      <c r="K69" s="2"/>
      <c r="L69" s="6">
        <f t="shared" si="46"/>
        <v>0</v>
      </c>
      <c r="M69" s="2"/>
      <c r="N69" s="7">
        <f t="shared" si="47"/>
        <v>0</v>
      </c>
      <c r="O69" s="11"/>
      <c r="P69" s="6"/>
      <c r="Q69" s="2"/>
      <c r="R69" s="7">
        <f t="shared" si="48"/>
        <v>0</v>
      </c>
      <c r="S69" s="2"/>
      <c r="T69" s="6">
        <v>0</v>
      </c>
      <c r="U69" s="2"/>
      <c r="V69" s="7">
        <f t="shared" si="49"/>
        <v>0</v>
      </c>
      <c r="W69" s="2"/>
      <c r="X69" s="6">
        <f t="shared" si="50"/>
        <v>0</v>
      </c>
      <c r="Y69" s="2"/>
      <c r="Z69" s="7">
        <f t="shared" si="51"/>
        <v>0</v>
      </c>
    </row>
    <row r="70" spans="1:26" s="24" customFormat="1" hidden="1" outlineLevel="2" x14ac:dyDescent="0.25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157.35</v>
      </c>
      <c r="E70" s="2"/>
      <c r="F70" s="7">
        <f t="shared" si="44"/>
        <v>4.9927068721032537E-3</v>
      </c>
      <c r="G70" s="2"/>
      <c r="H70" s="6">
        <v>160</v>
      </c>
      <c r="I70" s="2"/>
      <c r="J70" s="7">
        <f t="shared" si="45"/>
        <v>4.9288398743145834E-3</v>
      </c>
      <c r="K70" s="2"/>
      <c r="L70" s="6">
        <f t="shared" si="46"/>
        <v>-2.6500000000000057</v>
      </c>
      <c r="M70" s="2"/>
      <c r="N70" s="7">
        <f t="shared" si="47"/>
        <v>-1.6562500000000036E-2</v>
      </c>
      <c r="O70" s="11"/>
      <c r="P70" s="6">
        <v>314.7</v>
      </c>
      <c r="Q70" s="2"/>
      <c r="R70" s="7">
        <f t="shared" si="48"/>
        <v>6.8401638248578979E-3</v>
      </c>
      <c r="S70" s="2"/>
      <c r="T70" s="6">
        <v>320</v>
      </c>
      <c r="U70" s="2"/>
      <c r="V70" s="7">
        <f t="shared" si="49"/>
        <v>6.8595633030512203E-3</v>
      </c>
      <c r="W70" s="2"/>
      <c r="X70" s="6">
        <f t="shared" si="50"/>
        <v>-5.3000000000000114</v>
      </c>
      <c r="Y70" s="2"/>
      <c r="Z70" s="7">
        <f t="shared" si="51"/>
        <v>-1.6562500000000036E-2</v>
      </c>
    </row>
    <row r="71" spans="1:26" s="24" customFormat="1" hidden="1" outlineLevel="2" x14ac:dyDescent="0.25">
      <c r="A71" s="27"/>
      <c r="B71" s="11" t="str">
        <f>CONCATENATE("          ", "6284", " - ", "TRASH REMOVAL EXPENSE")</f>
        <v xml:space="preserve">          6284 - TRASH REMOVAL EXPENSE</v>
      </c>
      <c r="C71" s="11"/>
      <c r="D71" s="6"/>
      <c r="E71" s="2"/>
      <c r="F71" s="7">
        <f t="shared" si="44"/>
        <v>0</v>
      </c>
      <c r="G71" s="2"/>
      <c r="H71" s="6">
        <v>150</v>
      </c>
      <c r="I71" s="2"/>
      <c r="J71" s="7">
        <f t="shared" si="45"/>
        <v>4.6207873821699219E-3</v>
      </c>
      <c r="K71" s="2"/>
      <c r="L71" s="6">
        <f t="shared" si="46"/>
        <v>-150</v>
      </c>
      <c r="M71" s="2"/>
      <c r="N71" s="7">
        <f t="shared" si="47"/>
        <v>-1</v>
      </c>
      <c r="O71" s="11"/>
      <c r="P71" s="6">
        <v>237</v>
      </c>
      <c r="Q71" s="2"/>
      <c r="R71" s="7">
        <f t="shared" si="48"/>
        <v>5.1513149872619056E-3</v>
      </c>
      <c r="S71" s="2"/>
      <c r="T71" s="6">
        <v>300</v>
      </c>
      <c r="U71" s="2"/>
      <c r="V71" s="7">
        <f t="shared" si="49"/>
        <v>6.430840596610519E-3</v>
      </c>
      <c r="W71" s="2"/>
      <c r="X71" s="6">
        <f t="shared" si="50"/>
        <v>-63</v>
      </c>
      <c r="Y71" s="2"/>
      <c r="Z71" s="7">
        <f t="shared" si="51"/>
        <v>-0.21</v>
      </c>
    </row>
    <row r="72" spans="1:26" s="24" customFormat="1" hidden="1" outlineLevel="2" x14ac:dyDescent="0.25">
      <c r="A72" s="27"/>
      <c r="B72" s="11" t="str">
        <f>CONCATENATE("          ", "6286", " - ", "LAUNDRY EXPENSE")</f>
        <v xml:space="preserve">          6286 - LAUNDRY EXPENSE</v>
      </c>
      <c r="C72" s="11"/>
      <c r="D72" s="6">
        <v>142.04</v>
      </c>
      <c r="E72" s="2"/>
      <c r="F72" s="7">
        <f t="shared" si="44"/>
        <v>4.506921411589108E-3</v>
      </c>
      <c r="G72" s="2"/>
      <c r="H72" s="6">
        <v>45</v>
      </c>
      <c r="I72" s="2"/>
      <c r="J72" s="7">
        <f t="shared" si="45"/>
        <v>1.3862362146509766E-3</v>
      </c>
      <c r="K72" s="2"/>
      <c r="L72" s="6">
        <f t="shared" si="46"/>
        <v>97.039999999999992</v>
      </c>
      <c r="M72" s="2"/>
      <c r="N72" s="7">
        <f t="shared" si="47"/>
        <v>2.1564444444444444</v>
      </c>
      <c r="O72" s="11"/>
      <c r="P72" s="6">
        <v>184.4</v>
      </c>
      <c r="Q72" s="2"/>
      <c r="R72" s="7">
        <f t="shared" si="48"/>
        <v>4.0080273571776182E-3</v>
      </c>
      <c r="S72" s="2"/>
      <c r="T72" s="6">
        <v>90</v>
      </c>
      <c r="U72" s="2"/>
      <c r="V72" s="7">
        <f t="shared" si="49"/>
        <v>1.9292521789831556E-3</v>
      </c>
      <c r="W72" s="2"/>
      <c r="X72" s="6">
        <f t="shared" si="50"/>
        <v>94.4</v>
      </c>
      <c r="Y72" s="2"/>
      <c r="Z72" s="7">
        <f t="shared" si="51"/>
        <v>1.048888888888889</v>
      </c>
    </row>
    <row r="73" spans="1:26" s="26" customFormat="1" outlineLevel="1" collapsed="1" x14ac:dyDescent="0.25">
      <c r="A73" s="25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SUM(OSRRefD22_13x_0)</f>
        <v>176.4</v>
      </c>
      <c r="E73" s="1"/>
      <c r="F73" s="5">
        <f t="shared" ref="F73:F82" si="52">IF(D$12=0,0,D73/D$12)</f>
        <v>5.5971623275437822E-3</v>
      </c>
      <c r="G73" s="1"/>
      <c r="H73" s="1">
        <f>SUM(OSRRefH22_13x_0)</f>
        <v>180</v>
      </c>
      <c r="I73" s="1"/>
      <c r="J73" s="5">
        <f t="shared" ref="J73:J82" si="53">IF(H$12=0,0,H73/H$12)</f>
        <v>5.5449448586039063E-3</v>
      </c>
      <c r="K73" s="1"/>
      <c r="L73" s="1">
        <f t="shared" ref="L73:L82" si="54">+D73-H73</f>
        <v>-3.5999999999999943</v>
      </c>
      <c r="M73" s="1"/>
      <c r="N73" s="5">
        <f t="shared" ref="N73:N82" si="55">IF(H73=0,0,L73/H73)</f>
        <v>-1.9999999999999969E-2</v>
      </c>
      <c r="O73" s="13"/>
      <c r="P73" s="1">
        <f>SUM(OSRRefP22_13x_0)</f>
        <v>352.8</v>
      </c>
      <c r="Q73" s="1"/>
      <c r="R73" s="5">
        <f t="shared" ref="R73:R82" si="56">IF(P$12=0,0,P73/P$12)</f>
        <v>7.6682866139493695E-3</v>
      </c>
      <c r="S73" s="1"/>
      <c r="T73" s="1">
        <f>SUM(OSRRefT22_13x_0)</f>
        <v>360</v>
      </c>
      <c r="U73" s="1"/>
      <c r="V73" s="5">
        <f t="shared" ref="V73:V82" si="57">IF(T$12=0,0,T73/T$12)</f>
        <v>7.7170087159326222E-3</v>
      </c>
      <c r="W73" s="1"/>
      <c r="X73" s="1">
        <f t="shared" ref="X73:X82" si="58">+P73-T73</f>
        <v>-7.1999999999999886</v>
      </c>
      <c r="Y73" s="1"/>
      <c r="Z73" s="5">
        <f t="shared" ref="Z73:Z82" si="59">IF(T73=0,0,X73/T73)</f>
        <v>-1.9999999999999969E-2</v>
      </c>
    </row>
    <row r="74" spans="1:26" s="24" customFormat="1" hidden="1" outlineLevel="2" x14ac:dyDescent="0.25">
      <c r="A74" s="27"/>
      <c r="B74" s="11" t="str">
        <f>CONCATENATE("          ", "6275", " - ", "SUBSCRIPTIONS")</f>
        <v xml:space="preserve">          6275 - SUBSCRIPTIONS</v>
      </c>
      <c r="C74" s="11"/>
      <c r="D74" s="6">
        <v>176.4</v>
      </c>
      <c r="E74" s="2"/>
      <c r="F74" s="7">
        <f t="shared" si="52"/>
        <v>5.5971623275437822E-3</v>
      </c>
      <c r="G74" s="2"/>
      <c r="H74" s="6">
        <v>180</v>
      </c>
      <c r="I74" s="2"/>
      <c r="J74" s="7">
        <f t="shared" si="53"/>
        <v>5.5449448586039063E-3</v>
      </c>
      <c r="K74" s="2"/>
      <c r="L74" s="6">
        <f t="shared" si="54"/>
        <v>-3.5999999999999943</v>
      </c>
      <c r="M74" s="2"/>
      <c r="N74" s="7">
        <f t="shared" si="55"/>
        <v>-1.9999999999999969E-2</v>
      </c>
      <c r="O74" s="11"/>
      <c r="P74" s="6">
        <v>352.8</v>
      </c>
      <c r="Q74" s="2"/>
      <c r="R74" s="7">
        <f t="shared" si="56"/>
        <v>7.6682866139493695E-3</v>
      </c>
      <c r="S74" s="2"/>
      <c r="T74" s="6">
        <v>360</v>
      </c>
      <c r="U74" s="2"/>
      <c r="V74" s="7">
        <f t="shared" si="57"/>
        <v>7.7170087159326222E-3</v>
      </c>
      <c r="W74" s="2"/>
      <c r="X74" s="6">
        <f t="shared" si="58"/>
        <v>-7.1999999999999886</v>
      </c>
      <c r="Y74" s="2"/>
      <c r="Z74" s="7">
        <f t="shared" si="59"/>
        <v>-1.9999999999999969E-2</v>
      </c>
    </row>
    <row r="75" spans="1:26" s="26" customFormat="1" outlineLevel="1" collapsed="1" x14ac:dyDescent="0.25">
      <c r="A75" s="25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SUM(OSRRefD22_14x_0)</f>
        <v>972.26</v>
      </c>
      <c r="E75" s="1"/>
      <c r="F75" s="5">
        <f t="shared" si="52"/>
        <v>3.0849756488535812E-2</v>
      </c>
      <c r="G75" s="1"/>
      <c r="H75" s="1">
        <f>SUM(OSRRefH22_14x_0)</f>
        <v>220</v>
      </c>
      <c r="I75" s="1"/>
      <c r="J75" s="5">
        <f t="shared" si="53"/>
        <v>6.7771548271825521E-3</v>
      </c>
      <c r="K75" s="1"/>
      <c r="L75" s="1">
        <f t="shared" si="54"/>
        <v>752.26</v>
      </c>
      <c r="M75" s="1"/>
      <c r="N75" s="5">
        <f t="shared" si="55"/>
        <v>3.4193636363636362</v>
      </c>
      <c r="O75" s="13"/>
      <c r="P75" s="1">
        <f>SUM(OSRRefP22_14x_0)</f>
        <v>1249.17</v>
      </c>
      <c r="Q75" s="1"/>
      <c r="R75" s="5">
        <f t="shared" si="56"/>
        <v>2.7151342373999812E-2</v>
      </c>
      <c r="S75" s="1"/>
      <c r="T75" s="1">
        <f>SUM(OSRRefT22_14x_0)</f>
        <v>3850</v>
      </c>
      <c r="U75" s="1"/>
      <c r="V75" s="5">
        <f t="shared" si="57"/>
        <v>8.2529120989834989E-2</v>
      </c>
      <c r="W75" s="1"/>
      <c r="X75" s="1">
        <f t="shared" si="58"/>
        <v>-2600.83</v>
      </c>
      <c r="Y75" s="1"/>
      <c r="Z75" s="5">
        <f t="shared" si="59"/>
        <v>-0.67554025974025977</v>
      </c>
    </row>
    <row r="76" spans="1:26" s="24" customFormat="1" hidden="1" outlineLevel="2" x14ac:dyDescent="0.25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/>
      <c r="Q76" s="2"/>
      <c r="R76" s="7">
        <f t="shared" si="56"/>
        <v>0</v>
      </c>
      <c r="S76" s="2"/>
      <c r="T76" s="6">
        <v>3000</v>
      </c>
      <c r="U76" s="2"/>
      <c r="V76" s="7">
        <f t="shared" si="57"/>
        <v>6.4308405966105181E-2</v>
      </c>
      <c r="W76" s="2"/>
      <c r="X76" s="6">
        <f t="shared" si="58"/>
        <v>-3000</v>
      </c>
      <c r="Y76" s="2"/>
      <c r="Z76" s="7">
        <f t="shared" si="59"/>
        <v>-1</v>
      </c>
    </row>
    <row r="77" spans="1:26" s="24" customFormat="1" hidden="1" outlineLevel="2" x14ac:dyDescent="0.25">
      <c r="A77" s="27"/>
      <c r="B77" s="11" t="str">
        <f>CONCATENATE("          ", "6237", " - ", "JANITORIAL SUPPLIES")</f>
        <v xml:space="preserve">          6237 - JANITORIAL SUPPLIES</v>
      </c>
      <c r="C77" s="11"/>
      <c r="D77" s="6">
        <v>237.5</v>
      </c>
      <c r="E77" s="2"/>
      <c r="F77" s="7">
        <f t="shared" si="52"/>
        <v>7.535861977276917E-3</v>
      </c>
      <c r="G77" s="2"/>
      <c r="H77" s="6">
        <v>100</v>
      </c>
      <c r="I77" s="2"/>
      <c r="J77" s="7">
        <f t="shared" si="53"/>
        <v>3.0805249214466146E-3</v>
      </c>
      <c r="K77" s="2"/>
      <c r="L77" s="6">
        <f t="shared" si="54"/>
        <v>137.5</v>
      </c>
      <c r="M77" s="2"/>
      <c r="N77" s="7">
        <f t="shared" si="55"/>
        <v>1.375</v>
      </c>
      <c r="O77" s="11"/>
      <c r="P77" s="6">
        <v>237.5</v>
      </c>
      <c r="Q77" s="2"/>
      <c r="R77" s="7">
        <f t="shared" si="56"/>
        <v>5.1621827403995893E-3</v>
      </c>
      <c r="S77" s="2"/>
      <c r="T77" s="6">
        <v>400</v>
      </c>
      <c r="U77" s="2"/>
      <c r="V77" s="7">
        <f t="shared" si="57"/>
        <v>8.5744541288140241E-3</v>
      </c>
      <c r="W77" s="2"/>
      <c r="X77" s="6">
        <f t="shared" si="58"/>
        <v>-162.5</v>
      </c>
      <c r="Y77" s="2"/>
      <c r="Z77" s="7">
        <f t="shared" si="59"/>
        <v>-0.40625</v>
      </c>
    </row>
    <row r="78" spans="1:26" s="24" customFormat="1" hidden="1" outlineLevel="2" x14ac:dyDescent="0.25">
      <c r="A78" s="27"/>
      <c r="B78" s="11" t="str">
        <f>CONCATENATE("          ", "6241", " - ", "OFFICE EXPENSE")</f>
        <v xml:space="preserve">          6241 - OFFICE EXPENSE</v>
      </c>
      <c r="C78" s="11"/>
      <c r="D78" s="6">
        <v>206.43</v>
      </c>
      <c r="E78" s="2"/>
      <c r="F78" s="7">
        <f t="shared" si="52"/>
        <v>6.5500125809232592E-3</v>
      </c>
      <c r="G78" s="2"/>
      <c r="H78" s="6">
        <v>120</v>
      </c>
      <c r="I78" s="2"/>
      <c r="J78" s="7">
        <f t="shared" si="53"/>
        <v>3.6966299057359375E-3</v>
      </c>
      <c r="K78" s="2"/>
      <c r="L78" s="6">
        <f t="shared" si="54"/>
        <v>86.43</v>
      </c>
      <c r="M78" s="2"/>
      <c r="N78" s="7">
        <f t="shared" si="55"/>
        <v>0.72025000000000006</v>
      </c>
      <c r="O78" s="11"/>
      <c r="P78" s="6">
        <v>206.43</v>
      </c>
      <c r="Q78" s="2"/>
      <c r="R78" s="7">
        <f t="shared" si="56"/>
        <v>4.4868605604239465E-3</v>
      </c>
      <c r="S78" s="2"/>
      <c r="T78" s="6">
        <v>120</v>
      </c>
      <c r="U78" s="2"/>
      <c r="V78" s="7">
        <f t="shared" si="57"/>
        <v>2.5723362386442074E-3</v>
      </c>
      <c r="W78" s="2"/>
      <c r="X78" s="6">
        <f t="shared" si="58"/>
        <v>86.43</v>
      </c>
      <c r="Y78" s="2"/>
      <c r="Z78" s="7">
        <f t="shared" si="59"/>
        <v>0.72025000000000006</v>
      </c>
    </row>
    <row r="79" spans="1:26" s="24" customFormat="1" hidden="1" outlineLevel="2" x14ac:dyDescent="0.25">
      <c r="A79" s="27"/>
      <c r="B79" s="11" t="str">
        <f>CONCATENATE("          ", "6243", " - ", "PAPER SUPPLIES")</f>
        <v xml:space="preserve">          6243 - PAPER SUPPLIES</v>
      </c>
      <c r="C79" s="11"/>
      <c r="D79" s="6">
        <v>193.05</v>
      </c>
      <c r="E79" s="2"/>
      <c r="F79" s="7">
        <f t="shared" si="52"/>
        <v>6.1254659145823535E-3</v>
      </c>
      <c r="G79" s="2"/>
      <c r="H79" s="6"/>
      <c r="I79" s="2"/>
      <c r="J79" s="7">
        <f t="shared" si="53"/>
        <v>0</v>
      </c>
      <c r="K79" s="2"/>
      <c r="L79" s="6">
        <f t="shared" si="54"/>
        <v>193.05</v>
      </c>
      <c r="M79" s="2"/>
      <c r="N79" s="7">
        <f t="shared" si="55"/>
        <v>0</v>
      </c>
      <c r="O79" s="11"/>
      <c r="P79" s="6">
        <v>193.05</v>
      </c>
      <c r="Q79" s="2"/>
      <c r="R79" s="7">
        <f t="shared" si="56"/>
        <v>4.1960394864595397E-3</v>
      </c>
      <c r="S79" s="2"/>
      <c r="T79" s="6"/>
      <c r="U79" s="2"/>
      <c r="V79" s="7">
        <f t="shared" si="57"/>
        <v>0</v>
      </c>
      <c r="W79" s="2"/>
      <c r="X79" s="6">
        <f t="shared" si="58"/>
        <v>193.05</v>
      </c>
      <c r="Y79" s="2"/>
      <c r="Z79" s="7">
        <f t="shared" si="59"/>
        <v>0</v>
      </c>
    </row>
    <row r="80" spans="1:26" s="24" customFormat="1" hidden="1" outlineLevel="2" x14ac:dyDescent="0.25">
      <c r="A80" s="27"/>
      <c r="B80" s="11" t="str">
        <f>CONCATENATE("          ", "6244", " - ", "SAFETY SUPPLY EXPENSE")</f>
        <v xml:space="preserve">          6244 - SAFETY SUPPLY EXPENSE</v>
      </c>
      <c r="C80" s="11"/>
      <c r="D80" s="6"/>
      <c r="E80" s="2"/>
      <c r="F80" s="7">
        <f t="shared" si="52"/>
        <v>0</v>
      </c>
      <c r="G80" s="2"/>
      <c r="H80" s="6"/>
      <c r="I80" s="2"/>
      <c r="J80" s="7">
        <f t="shared" si="53"/>
        <v>0</v>
      </c>
      <c r="K80" s="2"/>
      <c r="L80" s="6">
        <f t="shared" si="54"/>
        <v>0</v>
      </c>
      <c r="M80" s="2"/>
      <c r="N80" s="7">
        <f t="shared" si="55"/>
        <v>0</v>
      </c>
      <c r="O80" s="11"/>
      <c r="P80" s="6"/>
      <c r="Q80" s="2"/>
      <c r="R80" s="7">
        <f t="shared" si="56"/>
        <v>0</v>
      </c>
      <c r="S80" s="2"/>
      <c r="T80" s="6">
        <v>30</v>
      </c>
      <c r="U80" s="2"/>
      <c r="V80" s="7">
        <f t="shared" si="57"/>
        <v>6.4308405966105185E-4</v>
      </c>
      <c r="W80" s="2"/>
      <c r="X80" s="6">
        <f t="shared" si="58"/>
        <v>-30</v>
      </c>
      <c r="Y80" s="2"/>
      <c r="Z80" s="7">
        <f t="shared" si="59"/>
        <v>-1</v>
      </c>
    </row>
    <row r="81" spans="1:26" s="24" customFormat="1" hidden="1" outlineLevel="2" x14ac:dyDescent="0.25">
      <c r="A81" s="27"/>
      <c r="B81" s="11" t="str">
        <f>CONCATENATE("          ", "6247", " - ", "STORE SUPPLIES")</f>
        <v xml:space="preserve">          6247 - STORE SUPPLIES</v>
      </c>
      <c r="C81" s="11"/>
      <c r="D81" s="6">
        <v>335.28</v>
      </c>
      <c r="E81" s="2"/>
      <c r="F81" s="7">
        <f t="shared" si="52"/>
        <v>1.0638416015753282E-2</v>
      </c>
      <c r="G81" s="2"/>
      <c r="H81" s="6"/>
      <c r="I81" s="2"/>
      <c r="J81" s="7">
        <f t="shared" si="53"/>
        <v>0</v>
      </c>
      <c r="K81" s="2"/>
      <c r="L81" s="6">
        <f t="shared" si="54"/>
        <v>335.28</v>
      </c>
      <c r="M81" s="2"/>
      <c r="N81" s="7">
        <f t="shared" si="55"/>
        <v>0</v>
      </c>
      <c r="O81" s="11"/>
      <c r="P81" s="6">
        <v>612.19000000000005</v>
      </c>
      <c r="Q81" s="2"/>
      <c r="R81" s="7">
        <f t="shared" si="56"/>
        <v>1.3306259586716737E-2</v>
      </c>
      <c r="S81" s="2"/>
      <c r="T81" s="6"/>
      <c r="U81" s="2"/>
      <c r="V81" s="7">
        <f t="shared" si="57"/>
        <v>0</v>
      </c>
      <c r="W81" s="2"/>
      <c r="X81" s="6">
        <f t="shared" si="58"/>
        <v>612.19000000000005</v>
      </c>
      <c r="Y81" s="2"/>
      <c r="Z81" s="7">
        <f t="shared" si="59"/>
        <v>0</v>
      </c>
    </row>
    <row r="82" spans="1:26" s="24" customFormat="1" hidden="1" outlineLevel="2" x14ac:dyDescent="0.25">
      <c r="A82" s="27"/>
      <c r="B82" s="11" t="str">
        <f>CONCATENATE("          ", "6248", " - ", "UNIFORMS")</f>
        <v xml:space="preserve">          6248 - UNIFORMS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/>
      <c r="Q82" s="2"/>
      <c r="R82" s="7">
        <f t="shared" si="56"/>
        <v>0</v>
      </c>
      <c r="S82" s="2"/>
      <c r="T82" s="6">
        <v>300</v>
      </c>
      <c r="U82" s="2"/>
      <c r="V82" s="7">
        <f t="shared" si="57"/>
        <v>6.430840596610519E-3</v>
      </c>
      <c r="W82" s="2"/>
      <c r="X82" s="6">
        <f t="shared" si="58"/>
        <v>-300</v>
      </c>
      <c r="Y82" s="2"/>
      <c r="Z82" s="7">
        <f t="shared" si="59"/>
        <v>-1</v>
      </c>
    </row>
    <row r="83" spans="1:26" s="26" customFormat="1" outlineLevel="1" collapsed="1" x14ac:dyDescent="0.25">
      <c r="A83" s="25"/>
      <c r="B83" s="13" t="str">
        <f>CONCATENATE("     ","Telephone/Data Lines                              ")</f>
        <v xml:space="preserve">     Telephone/Data Lines                              </v>
      </c>
      <c r="C83" s="13"/>
      <c r="D83" s="1">
        <f>SUM(OSRRefD22_15x_0)</f>
        <v>40.200000000000003</v>
      </c>
      <c r="E83" s="1"/>
      <c r="F83" s="5">
        <f t="shared" ref="F83:F88" si="60">IF(D$12=0,0,D83/D$12)</f>
        <v>1.2755437957327666E-3</v>
      </c>
      <c r="G83" s="1"/>
      <c r="H83" s="1">
        <f>SUM(OSRRefH22_15x_0)</f>
        <v>40</v>
      </c>
      <c r="I83" s="1"/>
      <c r="J83" s="5">
        <f t="shared" ref="J83:J88" si="61">IF(H$12=0,0,H83/H$12)</f>
        <v>1.2322099685786458E-3</v>
      </c>
      <c r="K83" s="1"/>
      <c r="L83" s="1">
        <f t="shared" ref="L83:L88" si="62">+D83-H83</f>
        <v>0.20000000000000284</v>
      </c>
      <c r="M83" s="1"/>
      <c r="N83" s="5">
        <f t="shared" ref="N83:N88" si="63">IF(H83=0,0,L83/H83)</f>
        <v>5.0000000000000712E-3</v>
      </c>
      <c r="O83" s="13"/>
      <c r="P83" s="1">
        <f>SUM(OSRRefP22_15x_0)</f>
        <v>77.45</v>
      </c>
      <c r="Q83" s="1"/>
      <c r="R83" s="5">
        <f t="shared" ref="R83:R88" si="64">IF(P$12=0,0,P83/P$12)</f>
        <v>1.6834149610271503E-3</v>
      </c>
      <c r="S83" s="1"/>
      <c r="T83" s="1">
        <f>SUM(OSRRefT22_15x_0)</f>
        <v>80</v>
      </c>
      <c r="U83" s="1"/>
      <c r="V83" s="5">
        <f t="shared" ref="V83:V88" si="65">IF(T$12=0,0,T83/T$12)</f>
        <v>1.7148908257628051E-3</v>
      </c>
      <c r="W83" s="1"/>
      <c r="X83" s="1">
        <f t="shared" ref="X83:X88" si="66">+P83-T83</f>
        <v>-2.5499999999999972</v>
      </c>
      <c r="Y83" s="1"/>
      <c r="Z83" s="5">
        <f t="shared" ref="Z83:Z88" si="67">IF(T83=0,0,X83/T83)</f>
        <v>-3.1874999999999966E-2</v>
      </c>
    </row>
    <row r="84" spans="1:26" s="24" customFormat="1" hidden="1" outlineLevel="2" x14ac:dyDescent="0.25">
      <c r="A84" s="27"/>
      <c r="B84" s="11" t="str">
        <f>CONCATENATE("          ", "6309", " - ", "TELEPHONE")</f>
        <v xml:space="preserve">          6309 - TELEPHONE</v>
      </c>
      <c r="C84" s="11"/>
      <c r="D84" s="6">
        <v>40.200000000000003</v>
      </c>
      <c r="E84" s="2"/>
      <c r="F84" s="7">
        <f t="shared" si="60"/>
        <v>1.2755437957327666E-3</v>
      </c>
      <c r="G84" s="2"/>
      <c r="H84" s="6">
        <v>40</v>
      </c>
      <c r="I84" s="2"/>
      <c r="J84" s="7">
        <f t="shared" si="61"/>
        <v>1.2322099685786458E-3</v>
      </c>
      <c r="K84" s="2"/>
      <c r="L84" s="6">
        <f t="shared" si="62"/>
        <v>0.20000000000000284</v>
      </c>
      <c r="M84" s="2"/>
      <c r="N84" s="7">
        <f t="shared" si="63"/>
        <v>5.0000000000000712E-3</v>
      </c>
      <c r="O84" s="11"/>
      <c r="P84" s="6">
        <v>77.45</v>
      </c>
      <c r="Q84" s="2"/>
      <c r="R84" s="7">
        <f t="shared" si="64"/>
        <v>1.6834149610271503E-3</v>
      </c>
      <c r="S84" s="2"/>
      <c r="T84" s="6">
        <v>80</v>
      </c>
      <c r="U84" s="2"/>
      <c r="V84" s="7">
        <f t="shared" si="65"/>
        <v>1.7148908257628051E-3</v>
      </c>
      <c r="W84" s="2"/>
      <c r="X84" s="6">
        <f t="shared" si="66"/>
        <v>-2.5499999999999972</v>
      </c>
      <c r="Y84" s="2"/>
      <c r="Z84" s="7">
        <f t="shared" si="67"/>
        <v>-3.1874999999999966E-2</v>
      </c>
    </row>
    <row r="85" spans="1:26" s="26" customFormat="1" outlineLevel="1" collapsed="1" x14ac:dyDescent="0.25">
      <c r="A85" s="25"/>
      <c r="B85" s="13" t="str">
        <f>CONCATENATE("     ","Training                                          ")</f>
        <v xml:space="preserve">     Training                                          </v>
      </c>
      <c r="C85" s="13"/>
      <c r="D85" s="1">
        <f>SUM(OSRRefD22_16x_0)</f>
        <v>0</v>
      </c>
      <c r="E85" s="1"/>
      <c r="F85" s="5">
        <f t="shared" si="60"/>
        <v>0</v>
      </c>
      <c r="G85" s="1"/>
      <c r="H85" s="1">
        <f>SUM(OSRRefH22_16x_0)</f>
        <v>100</v>
      </c>
      <c r="I85" s="1"/>
      <c r="J85" s="5">
        <f t="shared" si="61"/>
        <v>3.0805249214466146E-3</v>
      </c>
      <c r="K85" s="1"/>
      <c r="L85" s="1">
        <f t="shared" si="62"/>
        <v>-100</v>
      </c>
      <c r="M85" s="1"/>
      <c r="N85" s="5">
        <f t="shared" si="63"/>
        <v>-1</v>
      </c>
      <c r="O85" s="13"/>
      <c r="P85" s="1">
        <f>SUM(OSRRefP22_16x_0)</f>
        <v>0</v>
      </c>
      <c r="Q85" s="1"/>
      <c r="R85" s="5">
        <f t="shared" si="64"/>
        <v>0</v>
      </c>
      <c r="S85" s="1"/>
      <c r="T85" s="1">
        <f>SUM(OSRRefT22_16x_0)</f>
        <v>100</v>
      </c>
      <c r="U85" s="1"/>
      <c r="V85" s="5">
        <f t="shared" si="65"/>
        <v>2.143613532203506E-3</v>
      </c>
      <c r="W85" s="1"/>
      <c r="X85" s="1">
        <f t="shared" si="66"/>
        <v>-100</v>
      </c>
      <c r="Y85" s="1"/>
      <c r="Z85" s="5">
        <f t="shared" si="67"/>
        <v>-1</v>
      </c>
    </row>
    <row r="86" spans="1:26" s="24" customFormat="1" hidden="1" outlineLevel="2" x14ac:dyDescent="0.25">
      <c r="A86" s="27"/>
      <c r="B86" s="11" t="str">
        <f>CONCATENATE("          ", "6376", " - ", "TRAINING")</f>
        <v xml:space="preserve">          6376 - TRAINING</v>
      </c>
      <c r="C86" s="11"/>
      <c r="D86" s="6"/>
      <c r="E86" s="2"/>
      <c r="F86" s="7">
        <f t="shared" si="60"/>
        <v>0</v>
      </c>
      <c r="G86" s="2"/>
      <c r="H86" s="6">
        <v>100</v>
      </c>
      <c r="I86" s="2"/>
      <c r="J86" s="7">
        <f t="shared" si="61"/>
        <v>3.0805249214466146E-3</v>
      </c>
      <c r="K86" s="2"/>
      <c r="L86" s="6">
        <f t="shared" si="62"/>
        <v>-100</v>
      </c>
      <c r="M86" s="2"/>
      <c r="N86" s="7">
        <f t="shared" si="63"/>
        <v>-1</v>
      </c>
      <c r="O86" s="11"/>
      <c r="P86" s="6"/>
      <c r="Q86" s="2"/>
      <c r="R86" s="7">
        <f t="shared" si="64"/>
        <v>0</v>
      </c>
      <c r="S86" s="2"/>
      <c r="T86" s="6">
        <v>100</v>
      </c>
      <c r="U86" s="2"/>
      <c r="V86" s="7">
        <f t="shared" si="65"/>
        <v>2.143613532203506E-3</v>
      </c>
      <c r="W86" s="2"/>
      <c r="X86" s="6">
        <f t="shared" si="66"/>
        <v>-100</v>
      </c>
      <c r="Y86" s="2"/>
      <c r="Z86" s="7">
        <f t="shared" si="67"/>
        <v>-1</v>
      </c>
    </row>
    <row r="87" spans="1:26" s="26" customFormat="1" outlineLevel="1" collapsed="1" x14ac:dyDescent="0.25">
      <c r="A87" s="25"/>
      <c r="B87" s="13" t="str">
        <f>CONCATENATE("     ","Utilities                                         ")</f>
        <v xml:space="preserve">     Utilities                                         </v>
      </c>
      <c r="C87" s="13"/>
      <c r="D87" s="1">
        <f>SUM(OSRRefD22_17x_0)</f>
        <v>0</v>
      </c>
      <c r="E87" s="1"/>
      <c r="F87" s="5">
        <f t="shared" si="60"/>
        <v>0</v>
      </c>
      <c r="G87" s="1"/>
      <c r="H87" s="1">
        <f>SUM(OSRRefH22_17x_0)</f>
        <v>1100</v>
      </c>
      <c r="I87" s="1"/>
      <c r="J87" s="5">
        <f t="shared" si="61"/>
        <v>3.3885774135912761E-2</v>
      </c>
      <c r="K87" s="1"/>
      <c r="L87" s="1">
        <f t="shared" si="62"/>
        <v>-1100</v>
      </c>
      <c r="M87" s="1"/>
      <c r="N87" s="5">
        <f t="shared" si="63"/>
        <v>-1</v>
      </c>
      <c r="O87" s="13"/>
      <c r="P87" s="1">
        <f>SUM(OSRRefP22_17x_0)</f>
        <v>771</v>
      </c>
      <c r="Q87" s="1"/>
      <c r="R87" s="5">
        <f t="shared" si="64"/>
        <v>1.6758075338307719E-2</v>
      </c>
      <c r="S87" s="1"/>
      <c r="T87" s="1">
        <f>SUM(OSRRefT22_17x_0)</f>
        <v>2200</v>
      </c>
      <c r="U87" s="1"/>
      <c r="V87" s="5">
        <f t="shared" si="65"/>
        <v>4.715949770847714E-2</v>
      </c>
      <c r="W87" s="1"/>
      <c r="X87" s="1">
        <f t="shared" si="66"/>
        <v>-1429</v>
      </c>
      <c r="Y87" s="1"/>
      <c r="Z87" s="5">
        <f t="shared" si="67"/>
        <v>-0.64954545454545454</v>
      </c>
    </row>
    <row r="88" spans="1:26" s="24" customFormat="1" hidden="1" outlineLevel="2" x14ac:dyDescent="0.25">
      <c r="A88" s="27"/>
      <c r="B88" s="11" t="str">
        <f>CONCATENATE("          ", "6274", " - ", "UTILITIES")</f>
        <v xml:space="preserve">          6274 - UTILITIES</v>
      </c>
      <c r="C88" s="11"/>
      <c r="D88" s="6"/>
      <c r="E88" s="2"/>
      <c r="F88" s="7">
        <f t="shared" si="60"/>
        <v>0</v>
      </c>
      <c r="G88" s="2"/>
      <c r="H88" s="6">
        <v>1100</v>
      </c>
      <c r="I88" s="2"/>
      <c r="J88" s="7">
        <f t="shared" si="61"/>
        <v>3.3885774135912761E-2</v>
      </c>
      <c r="K88" s="2"/>
      <c r="L88" s="6">
        <f t="shared" si="62"/>
        <v>-1100</v>
      </c>
      <c r="M88" s="2"/>
      <c r="N88" s="7">
        <f t="shared" si="63"/>
        <v>-1</v>
      </c>
      <c r="O88" s="11"/>
      <c r="P88" s="6">
        <v>771</v>
      </c>
      <c r="Q88" s="2"/>
      <c r="R88" s="7">
        <f t="shared" si="64"/>
        <v>1.6758075338307719E-2</v>
      </c>
      <c r="S88" s="2"/>
      <c r="T88" s="6">
        <v>2200</v>
      </c>
      <c r="U88" s="2"/>
      <c r="V88" s="7">
        <f t="shared" si="65"/>
        <v>4.715949770847714E-2</v>
      </c>
      <c r="W88" s="2"/>
      <c r="X88" s="6">
        <f t="shared" si="66"/>
        <v>-1429</v>
      </c>
      <c r="Y88" s="2"/>
      <c r="Z88" s="7">
        <f t="shared" si="67"/>
        <v>-0.64954545454545454</v>
      </c>
    </row>
    <row r="89" spans="1:26" s="6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2">
        <f>+D22-D24+D90</f>
        <v>-7605.5400000000045</v>
      </c>
      <c r="E92" s="14"/>
      <c r="F92" s="20">
        <f>IF(D$12=0,0,D92/D$12)</f>
        <v>-0.24132336716908934</v>
      </c>
      <c r="G92" s="14"/>
      <c r="H92" s="22">
        <f>+H22-H24+H90</f>
        <v>-7521.5441072500034</v>
      </c>
      <c r="I92" s="14"/>
      <c r="J92" s="20">
        <f>IF(H$12=0,0,H92/H$12)</f>
        <v>-0.23170304070143563</v>
      </c>
      <c r="K92" s="15"/>
      <c r="L92" s="22">
        <f>+D92-H92</f>
        <v>-83.995892750001076</v>
      </c>
      <c r="M92" s="15"/>
      <c r="N92" s="20">
        <f>IF(H92=0,0,L92/H92)</f>
        <v>1.1167373554193158E-2</v>
      </c>
      <c r="O92" s="28"/>
      <c r="P92" s="22">
        <f>+P22-P24+P90</f>
        <v>-23574.339999999997</v>
      </c>
      <c r="Q92" s="14"/>
      <c r="R92" s="20">
        <f>IF(P$12=0,0,P92/P$12)</f>
        <v>-0.51240021500762789</v>
      </c>
      <c r="S92" s="14"/>
      <c r="T92" s="22">
        <f>+T22-T24+T90</f>
        <v>-28893.827514749995</v>
      </c>
      <c r="U92" s="14"/>
      <c r="V92" s="20">
        <f>IF(T$12=0,0,T92/T$12)</f>
        <v>-0.61937199657772091</v>
      </c>
      <c r="W92" s="15"/>
      <c r="X92" s="22">
        <f>+P92-T92</f>
        <v>5319.4875147499988</v>
      </c>
      <c r="Y92" s="15"/>
      <c r="Z92" s="20">
        <f>IF(T92=0,0,X92/T92)</f>
        <v>-0.18410463314472464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2723.07</v>
      </c>
      <c r="E94" s="4"/>
      <c r="F94" s="12">
        <f>IF(D$12=0,0,D94/D$12)</f>
        <v>8.6402861787214541E-2</v>
      </c>
      <c r="G94" s="4"/>
      <c r="H94" s="4">
        <v>4118</v>
      </c>
      <c r="I94" s="4"/>
      <c r="J94" s="12">
        <f>IF(H$12=0,0,H94/H$12)</f>
        <v>0.1268560162651716</v>
      </c>
      <c r="K94" s="4"/>
      <c r="L94" s="4">
        <f>+D94-H94</f>
        <v>-1394.9299999999998</v>
      </c>
      <c r="M94" s="4"/>
      <c r="N94" s="12">
        <f>IF(H94=0,0,L94/H94)</f>
        <v>-0.33873967945604661</v>
      </c>
      <c r="O94" s="10"/>
      <c r="P94" s="4">
        <v>5736.32</v>
      </c>
      <c r="Q94" s="4"/>
      <c r="R94" s="12">
        <f>IF(P$12=0,0,P94/P$12)</f>
        <v>0.12468181935751145</v>
      </c>
      <c r="S94" s="4"/>
      <c r="T94" s="4">
        <v>7576</v>
      </c>
      <c r="U94" s="4"/>
      <c r="V94" s="12">
        <f>IF(T$12=0,0,T94/T$12)</f>
        <v>0.16240016119973763</v>
      </c>
      <c r="W94" s="4"/>
      <c r="X94" s="4">
        <f>+P94-T94</f>
        <v>-1839.6800000000003</v>
      </c>
      <c r="Y94" s="4"/>
      <c r="Z94" s="12">
        <f>IF(T94=0,0,X94/T94)</f>
        <v>-0.24282998944033796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1">
        <f>+D92-D94</f>
        <v>-10328.610000000004</v>
      </c>
      <c r="E96" s="14"/>
      <c r="F96" s="32">
        <f>IF(D$12=0,0,D96/D$12)</f>
        <v>-0.32772622895630388</v>
      </c>
      <c r="G96" s="14"/>
      <c r="H96" s="31">
        <f>+H92-H94</f>
        <v>-11639.544107250003</v>
      </c>
      <c r="I96" s="14"/>
      <c r="J96" s="32">
        <f>IF(H$12=0,0,H96/H$12)</f>
        <v>-0.35855905696660723</v>
      </c>
      <c r="K96" s="15"/>
      <c r="L96" s="31">
        <f>D96-H96</f>
        <v>1310.9341072499992</v>
      </c>
      <c r="M96" s="15"/>
      <c r="N96" s="32">
        <f>IF(H96=0,0,L96/H96)</f>
        <v>-0.11262761626835957</v>
      </c>
      <c r="O96" s="28"/>
      <c r="P96" s="31">
        <f>+P92-P94</f>
        <v>-29310.659999999996</v>
      </c>
      <c r="Q96" s="14"/>
      <c r="R96" s="32">
        <f>IF(P$12=0,0,P96/P$12)</f>
        <v>-0.63708203436513944</v>
      </c>
      <c r="S96" s="14"/>
      <c r="T96" s="31">
        <f>+T92-T94</f>
        <v>-36469.827514749995</v>
      </c>
      <c r="U96" s="14"/>
      <c r="V96" s="32">
        <f>IF(T$12=0,0,T96/T$12)</f>
        <v>-0.78177215777745857</v>
      </c>
      <c r="W96" s="15"/>
      <c r="X96" s="31">
        <f>P96-T96</f>
        <v>7159.1675147499991</v>
      </c>
      <c r="Y96" s="15"/>
      <c r="Z96" s="32">
        <f>IF(T96=0,0,X96/T96)</f>
        <v>-0.19630384903395878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3">
        <f>SUM(D96:D98)</f>
        <v>-10328.610000000004</v>
      </c>
      <c r="E99" s="14"/>
      <c r="F99" s="35">
        <f>IF(D$12=0,0,D99/D$12)</f>
        <v>-0.32772622895630388</v>
      </c>
      <c r="G99" s="14"/>
      <c r="H99" s="33">
        <f>SUM(H96:H98)</f>
        <v>-11639.544107250003</v>
      </c>
      <c r="I99" s="14"/>
      <c r="J99" s="35">
        <f>IF(H$12=0,0,H99/H$12)</f>
        <v>-0.35855905696660723</v>
      </c>
      <c r="K99" s="15"/>
      <c r="L99" s="33">
        <f>+D99-H99</f>
        <v>1310.9341072499992</v>
      </c>
      <c r="M99" s="15"/>
      <c r="N99" s="35">
        <f>IF(H99=0,0,L99/H99)</f>
        <v>-0.11262761626835957</v>
      </c>
      <c r="O99" s="28"/>
      <c r="P99" s="33">
        <f>SUM(P96:P98)</f>
        <v>-29310.659999999996</v>
      </c>
      <c r="Q99" s="14"/>
      <c r="R99" s="35">
        <f>IF(P$12=0,0,P99/P$12)</f>
        <v>-0.63708203436513944</v>
      </c>
      <c r="S99" s="14"/>
      <c r="T99" s="33">
        <f>SUM(T96:T98)</f>
        <v>-36469.827514749995</v>
      </c>
      <c r="U99" s="14"/>
      <c r="V99" s="35">
        <f>IF(T$12=0,0,T99/T$12)</f>
        <v>-0.78177215777745857</v>
      </c>
      <c r="W99" s="15"/>
      <c r="X99" s="33">
        <f>+P99-T99</f>
        <v>7159.1675147499991</v>
      </c>
      <c r="Y99" s="15"/>
      <c r="Z99" s="35">
        <f>IF(T99=0,0,X99/T99)</f>
        <v>-0.19630384903395878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1">
        <v>43732.706196840278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62" t="s">
        <v>314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8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","326", " - ", "2nd Street Store")</f>
        <v>Department 326 - 2nd Street Store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69493.83</v>
      </c>
      <c r="E12" s="4"/>
      <c r="F12" s="12"/>
      <c r="G12" s="4"/>
      <c r="H12" s="4">
        <f>SUM(OSRRefH13x_0)</f>
        <v>51081.020640000002</v>
      </c>
      <c r="I12" s="4"/>
      <c r="J12" s="12"/>
      <c r="K12" s="4"/>
      <c r="L12" s="4">
        <f t="shared" ref="L12:L30" si="0">+D12-H12</f>
        <v>18412.809359999999</v>
      </c>
      <c r="M12" s="4"/>
      <c r="N12" s="12">
        <f t="shared" ref="N12:N30" si="1">IF(H12=0,0,L12/H12)</f>
        <v>0.36046283197367213</v>
      </c>
      <c r="O12" s="10"/>
      <c r="P12" s="4">
        <f>SUM(OSRRefP13x_0)</f>
        <v>120975.98000000003</v>
      </c>
      <c r="Q12" s="4"/>
      <c r="R12" s="12"/>
      <c r="S12" s="4"/>
      <c r="T12" s="4">
        <f>SUM(OSRRefT13x_0)</f>
        <v>108198.43645000001</v>
      </c>
      <c r="U12" s="4"/>
      <c r="V12" s="12"/>
      <c r="W12" s="4"/>
      <c r="X12" s="4">
        <f t="shared" ref="X12:X30" si="2">+P12-T12</f>
        <v>12777.543550000017</v>
      </c>
      <c r="Y12" s="4"/>
      <c r="Z12" s="12">
        <f t="shared" ref="Z12:Z30" si="3">IF(T12=0,0,X12/T12)</f>
        <v>0.11809360624083229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51081.020640000002</v>
      </c>
      <c r="I13" s="2"/>
      <c r="J13" s="21"/>
      <c r="K13" s="2"/>
      <c r="L13" s="2">
        <f t="shared" si="0"/>
        <v>-51081.020640000002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108198.43645000001</v>
      </c>
      <c r="U13" s="2"/>
      <c r="V13" s="21"/>
      <c r="W13" s="2"/>
      <c r="X13" s="2">
        <f t="shared" si="2"/>
        <v>-108198.43645000001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--26</f>
        <v>26</v>
      </c>
      <c r="E14" s="2"/>
      <c r="F14" s="21"/>
      <c r="G14" s="2"/>
      <c r="H14" s="2"/>
      <c r="I14" s="2"/>
      <c r="J14" s="21"/>
      <c r="K14" s="2"/>
      <c r="L14" s="2">
        <f t="shared" si="0"/>
        <v>26</v>
      </c>
      <c r="M14" s="2"/>
      <c r="N14" s="21">
        <f t="shared" si="1"/>
        <v>0</v>
      </c>
      <c r="O14" s="11"/>
      <c r="P14" s="2">
        <f>--64.56</f>
        <v>64.56</v>
      </c>
      <c r="Q14" s="2"/>
      <c r="R14" s="21"/>
      <c r="S14" s="2"/>
      <c r="T14" s="2"/>
      <c r="U14" s="2"/>
      <c r="V14" s="21"/>
      <c r="W14" s="2"/>
      <c r="X14" s="2">
        <f t="shared" si="2"/>
        <v>64.56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--40.43</f>
        <v>40.43</v>
      </c>
      <c r="E15" s="2"/>
      <c r="F15" s="21"/>
      <c r="G15" s="2"/>
      <c r="H15" s="2"/>
      <c r="I15" s="2"/>
      <c r="J15" s="21"/>
      <c r="K15" s="2"/>
      <c r="L15" s="2">
        <f t="shared" si="0"/>
        <v>40.43</v>
      </c>
      <c r="M15" s="2"/>
      <c r="N15" s="21">
        <f t="shared" si="1"/>
        <v>0</v>
      </c>
      <c r="O15" s="11"/>
      <c r="P15" s="2">
        <f>--40.43</f>
        <v>40.43</v>
      </c>
      <c r="Q15" s="2"/>
      <c r="R15" s="21"/>
      <c r="S15" s="2"/>
      <c r="T15" s="2"/>
      <c r="U15" s="2"/>
      <c r="V15" s="21"/>
      <c r="W15" s="2"/>
      <c r="X15" s="2">
        <f t="shared" si="2"/>
        <v>40.43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"4040", " - ", "TAXABLE SALES-LOGO CLOTHING")</f>
        <v xml:space="preserve">          4040 - TAXABLE SALES-LOGO CLOTHING</v>
      </c>
      <c r="C16" s="11"/>
      <c r="D16" s="2">
        <f>--56804.39</f>
        <v>56804.39</v>
      </c>
      <c r="E16" s="2"/>
      <c r="F16" s="21"/>
      <c r="G16" s="2"/>
      <c r="H16" s="2"/>
      <c r="I16" s="2"/>
      <c r="J16" s="21"/>
      <c r="K16" s="2"/>
      <c r="L16" s="2">
        <f t="shared" si="0"/>
        <v>56804.39</v>
      </c>
      <c r="M16" s="2"/>
      <c r="N16" s="21">
        <f t="shared" si="1"/>
        <v>0</v>
      </c>
      <c r="O16" s="11"/>
      <c r="P16" s="2">
        <f>--100556.8</f>
        <v>100556.8</v>
      </c>
      <c r="Q16" s="2"/>
      <c r="R16" s="21"/>
      <c r="S16" s="2"/>
      <c r="T16" s="2"/>
      <c r="U16" s="2"/>
      <c r="V16" s="21"/>
      <c r="W16" s="2"/>
      <c r="X16" s="2">
        <f t="shared" si="2"/>
        <v>100556.8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"4041", " - ", "TAXABLE SALES-LOGO GIFTS")</f>
        <v xml:space="preserve">          4041 - TAXABLE SALES-LOGO GIFTS</v>
      </c>
      <c r="C17" s="11"/>
      <c r="D17" s="2">
        <f>--7240</f>
        <v>7240</v>
      </c>
      <c r="E17" s="2"/>
      <c r="F17" s="21"/>
      <c r="G17" s="2"/>
      <c r="H17" s="2"/>
      <c r="I17" s="2"/>
      <c r="J17" s="21"/>
      <c r="K17" s="2"/>
      <c r="L17" s="2">
        <f t="shared" si="0"/>
        <v>7240</v>
      </c>
      <c r="M17" s="2"/>
      <c r="N17" s="21">
        <f t="shared" si="1"/>
        <v>0</v>
      </c>
      <c r="O17" s="11"/>
      <c r="P17" s="2">
        <f>--13465.53</f>
        <v>13465.53</v>
      </c>
      <c r="Q17" s="2"/>
      <c r="R17" s="21"/>
      <c r="S17" s="2"/>
      <c r="T17" s="2"/>
      <c r="U17" s="2"/>
      <c r="V17" s="21"/>
      <c r="W17" s="2"/>
      <c r="X17" s="2">
        <f t="shared" si="2"/>
        <v>13465.53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--6729.58</f>
        <v>6729.58</v>
      </c>
      <c r="E18" s="2"/>
      <c r="F18" s="21"/>
      <c r="G18" s="2"/>
      <c r="H18" s="2"/>
      <c r="I18" s="2"/>
      <c r="J18" s="21"/>
      <c r="K18" s="2"/>
      <c r="L18" s="2">
        <f t="shared" si="0"/>
        <v>6729.58</v>
      </c>
      <c r="M18" s="2"/>
      <c r="N18" s="21">
        <f t="shared" si="1"/>
        <v>0</v>
      </c>
      <c r="O18" s="11"/>
      <c r="P18" s="2">
        <f>--9163.19</f>
        <v>9163.19</v>
      </c>
      <c r="Q18" s="2"/>
      <c r="R18" s="21"/>
      <c r="S18" s="2"/>
      <c r="T18" s="2"/>
      <c r="U18" s="2"/>
      <c r="V18" s="21"/>
      <c r="W18" s="2"/>
      <c r="X18" s="2">
        <f t="shared" si="2"/>
        <v>9163.19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"4044", " - ", "TAXABLE SALES-ACCESSORIES")</f>
        <v xml:space="preserve">          4044 - TAXABLE SALES-ACCESSORIES</v>
      </c>
      <c r="C19" s="11"/>
      <c r="D19" s="2">
        <f>--513.75</f>
        <v>513.75</v>
      </c>
      <c r="E19" s="2"/>
      <c r="F19" s="21"/>
      <c r="G19" s="2"/>
      <c r="H19" s="2"/>
      <c r="I19" s="2"/>
      <c r="J19" s="21"/>
      <c r="K19" s="2"/>
      <c r="L19" s="2">
        <f t="shared" si="0"/>
        <v>513.75</v>
      </c>
      <c r="M19" s="2"/>
      <c r="N19" s="21">
        <f t="shared" si="1"/>
        <v>0</v>
      </c>
      <c r="O19" s="11"/>
      <c r="P19" s="2">
        <f>--761.95</f>
        <v>761.95</v>
      </c>
      <c r="Q19" s="2"/>
      <c r="R19" s="21"/>
      <c r="S19" s="2"/>
      <c r="T19" s="2"/>
      <c r="U19" s="2"/>
      <c r="V19" s="21"/>
      <c r="W19" s="2"/>
      <c r="X19" s="2">
        <f t="shared" si="2"/>
        <v>761.95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"4045", " - ", "TAXABLE SALES-SPECIAL ORDERS")</f>
        <v xml:space="preserve">          4045 - TAXABLE SALES-SPECIAL ORDERS</v>
      </c>
      <c r="C20" s="11"/>
      <c r="D20" s="2">
        <f>--129.87</f>
        <v>129.87</v>
      </c>
      <c r="E20" s="2"/>
      <c r="F20" s="21"/>
      <c r="G20" s="2"/>
      <c r="H20" s="2"/>
      <c r="I20" s="2"/>
      <c r="J20" s="21"/>
      <c r="K20" s="2"/>
      <c r="L20" s="2">
        <f t="shared" si="0"/>
        <v>129.87</v>
      </c>
      <c r="M20" s="2"/>
      <c r="N20" s="21">
        <f t="shared" si="1"/>
        <v>0</v>
      </c>
      <c r="O20" s="11"/>
      <c r="P20" s="2">
        <f>--367.76</f>
        <v>367.76</v>
      </c>
      <c r="Q20" s="2"/>
      <c r="R20" s="21"/>
      <c r="S20" s="2"/>
      <c r="T20" s="2"/>
      <c r="U20" s="2"/>
      <c r="V20" s="21"/>
      <c r="W20" s="2"/>
      <c r="X20" s="2">
        <f t="shared" si="2"/>
        <v>367.76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"4092", " - ", "TAXABLE SALES-GRAD MERCH")</f>
        <v xml:space="preserve">          4092 - TAXABLE SALES-GRAD MERCH</v>
      </c>
      <c r="C21" s="11"/>
      <c r="D21" s="2">
        <f>-39.95</f>
        <v>-39.950000000000003</v>
      </c>
      <c r="E21" s="2"/>
      <c r="F21" s="21"/>
      <c r="G21" s="2"/>
      <c r="H21" s="2"/>
      <c r="I21" s="2"/>
      <c r="J21" s="21"/>
      <c r="K21" s="2"/>
      <c r="L21" s="2">
        <f t="shared" si="0"/>
        <v>-39.950000000000003</v>
      </c>
      <c r="M21" s="2"/>
      <c r="N21" s="21">
        <f t="shared" si="1"/>
        <v>0</v>
      </c>
      <c r="O21" s="11"/>
      <c r="P21" s="2">
        <f>-39.95</f>
        <v>-39.950000000000003</v>
      </c>
      <c r="Q21" s="2"/>
      <c r="R21" s="21"/>
      <c r="S21" s="2"/>
      <c r="T21" s="2"/>
      <c r="U21" s="2"/>
      <c r="V21" s="21"/>
      <c r="W21" s="2"/>
      <c r="X21" s="2">
        <f t="shared" si="2"/>
        <v>-39.950000000000003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"4095", " - ", "TAXABLE SALES-CUSTOMER SERVICE")</f>
        <v xml:space="preserve">          4095 - TAXABLE SALES-CUSTOMER SERVICE</v>
      </c>
      <c r="C22" s="11"/>
      <c r="D22" s="2">
        <f>--5.94</f>
        <v>5.94</v>
      </c>
      <c r="E22" s="2"/>
      <c r="F22" s="21"/>
      <c r="G22" s="2"/>
      <c r="H22" s="2"/>
      <c r="I22" s="2"/>
      <c r="J22" s="21"/>
      <c r="K22" s="2"/>
      <c r="L22" s="2">
        <f t="shared" si="0"/>
        <v>5.94</v>
      </c>
      <c r="M22" s="2"/>
      <c r="N22" s="21">
        <f t="shared" si="1"/>
        <v>0</v>
      </c>
      <c r="O22" s="11"/>
      <c r="P22" s="2">
        <f>--16.83</f>
        <v>16.829999999999998</v>
      </c>
      <c r="Q22" s="2"/>
      <c r="R22" s="21"/>
      <c r="S22" s="2"/>
      <c r="T22" s="2"/>
      <c r="U22" s="2"/>
      <c r="V22" s="21"/>
      <c r="W22" s="2"/>
      <c r="X22" s="2">
        <f t="shared" si="2"/>
        <v>16.829999999999998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"4137", " - ", "NON-TAXABLE SALES-WATER")</f>
        <v xml:space="preserve">          4137 - NON-TAXABLE SALES-WATER</v>
      </c>
      <c r="C23" s="11"/>
      <c r="D23" s="2">
        <f>--31.5</f>
        <v>31.5</v>
      </c>
      <c r="E23" s="2"/>
      <c r="F23" s="21"/>
      <c r="G23" s="2"/>
      <c r="H23" s="2"/>
      <c r="I23" s="2"/>
      <c r="J23" s="21"/>
      <c r="K23" s="2"/>
      <c r="L23" s="2">
        <f t="shared" si="0"/>
        <v>31.5</v>
      </c>
      <c r="M23" s="2"/>
      <c r="N23" s="21">
        <f t="shared" si="1"/>
        <v>0</v>
      </c>
      <c r="O23" s="11"/>
      <c r="P23" s="2">
        <f>--54</f>
        <v>54</v>
      </c>
      <c r="Q23" s="2"/>
      <c r="R23" s="21"/>
      <c r="S23" s="2"/>
      <c r="T23" s="2"/>
      <c r="U23" s="2"/>
      <c r="V23" s="21"/>
      <c r="W23" s="2"/>
      <c r="X23" s="2">
        <f t="shared" si="2"/>
        <v>54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"4142", " - ", "NON-TAXABLE SALES-EVERYDAY GIF")</f>
        <v xml:space="preserve">          4142 - NON-TAXABLE SALES-EVERYDAY GIF</v>
      </c>
      <c r="C24" s="11"/>
      <c r="D24" s="2">
        <f>--23.05</f>
        <v>23.05</v>
      </c>
      <c r="E24" s="2"/>
      <c r="F24" s="21"/>
      <c r="G24" s="2"/>
      <c r="H24" s="2"/>
      <c r="I24" s="2"/>
      <c r="J24" s="21"/>
      <c r="K24" s="2"/>
      <c r="L24" s="2">
        <f t="shared" si="0"/>
        <v>23.05</v>
      </c>
      <c r="M24" s="2"/>
      <c r="N24" s="21">
        <f t="shared" si="1"/>
        <v>0</v>
      </c>
      <c r="O24" s="11"/>
      <c r="P24" s="2">
        <f>--102.97</f>
        <v>102.97</v>
      </c>
      <c r="Q24" s="2"/>
      <c r="R24" s="21"/>
      <c r="S24" s="2"/>
      <c r="T24" s="2"/>
      <c r="U24" s="2"/>
      <c r="V24" s="21"/>
      <c r="W24" s="2"/>
      <c r="X24" s="2">
        <f t="shared" si="2"/>
        <v>102.97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"4240", " - ", "SALES RETURN TAXABLE-LOGO CLOT")</f>
        <v xml:space="preserve">          4240 - SALES RETURN TAXABLE-LOGO CLOT</v>
      </c>
      <c r="C25" s="11"/>
      <c r="D25" s="2">
        <f>-1707.89</f>
        <v>-1707.89</v>
      </c>
      <c r="E25" s="2"/>
      <c r="F25" s="21"/>
      <c r="G25" s="2"/>
      <c r="H25" s="2"/>
      <c r="I25" s="2"/>
      <c r="J25" s="21"/>
      <c r="K25" s="2"/>
      <c r="L25" s="2">
        <f t="shared" si="0"/>
        <v>-1707.89</v>
      </c>
      <c r="M25" s="2"/>
      <c r="N25" s="21">
        <f t="shared" si="1"/>
        <v>0</v>
      </c>
      <c r="O25" s="11"/>
      <c r="P25" s="2">
        <f>-3065.84</f>
        <v>-3065.84</v>
      </c>
      <c r="Q25" s="2"/>
      <c r="R25" s="21"/>
      <c r="S25" s="2"/>
      <c r="T25" s="2"/>
      <c r="U25" s="2"/>
      <c r="V25" s="21"/>
      <c r="W25" s="2"/>
      <c r="X25" s="2">
        <f t="shared" si="2"/>
        <v>-3065.84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"4241", " - ", "SALES RETURN TAXABLE-LOGO GIFT")</f>
        <v xml:space="preserve">          4241 - SALES RETURN TAXABLE-LOGO GIFT</v>
      </c>
      <c r="C26" s="11"/>
      <c r="D26" s="2">
        <f>-169.55</f>
        <v>-169.55</v>
      </c>
      <c r="E26" s="2"/>
      <c r="F26" s="21"/>
      <c r="G26" s="2"/>
      <c r="H26" s="2"/>
      <c r="I26" s="2"/>
      <c r="J26" s="21"/>
      <c r="K26" s="2"/>
      <c r="L26" s="2">
        <f t="shared" si="0"/>
        <v>-169.55</v>
      </c>
      <c r="M26" s="2"/>
      <c r="N26" s="21">
        <f t="shared" si="1"/>
        <v>0</v>
      </c>
      <c r="O26" s="11"/>
      <c r="P26" s="2">
        <f>-336.01</f>
        <v>-336.01</v>
      </c>
      <c r="Q26" s="2"/>
      <c r="R26" s="21"/>
      <c r="S26" s="2"/>
      <c r="T26" s="2"/>
      <c r="U26" s="2"/>
      <c r="V26" s="21"/>
      <c r="W26" s="2"/>
      <c r="X26" s="2">
        <f t="shared" si="2"/>
        <v>-336.01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"4242", " - ", "SALES RETURN TAXABLE-EVERYDAY")</f>
        <v xml:space="preserve">          4242 - SALES RETURN TAXABLE-EVERYDAY</v>
      </c>
      <c r="C27" s="11"/>
      <c r="D27" s="2">
        <f>-101.34</f>
        <v>-101.34</v>
      </c>
      <c r="E27" s="2"/>
      <c r="F27" s="21"/>
      <c r="G27" s="2"/>
      <c r="H27" s="2"/>
      <c r="I27" s="2"/>
      <c r="J27" s="21"/>
      <c r="K27" s="2"/>
      <c r="L27" s="2">
        <f t="shared" si="0"/>
        <v>-101.34</v>
      </c>
      <c r="M27" s="2"/>
      <c r="N27" s="21">
        <f t="shared" si="1"/>
        <v>0</v>
      </c>
      <c r="O27" s="11"/>
      <c r="P27" s="2">
        <f>-144.29</f>
        <v>-144.29</v>
      </c>
      <c r="Q27" s="2"/>
      <c r="R27" s="21"/>
      <c r="S27" s="2"/>
      <c r="T27" s="2"/>
      <c r="U27" s="2"/>
      <c r="V27" s="21"/>
      <c r="W27" s="2"/>
      <c r="X27" s="2">
        <f t="shared" si="2"/>
        <v>-144.29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"4244", " - ", "SALES RETURN TAXABLE-ACCESSORI")</f>
        <v xml:space="preserve">          4244 - SALES RETURN TAXABLE-ACCESSORI</v>
      </c>
      <c r="C28" s="11"/>
      <c r="D28" s="2">
        <f>-22.95</f>
        <v>-22.95</v>
      </c>
      <c r="E28" s="2"/>
      <c r="F28" s="21"/>
      <c r="G28" s="2"/>
      <c r="H28" s="2"/>
      <c r="I28" s="2"/>
      <c r="J28" s="21"/>
      <c r="K28" s="2"/>
      <c r="L28" s="2">
        <f t="shared" si="0"/>
        <v>-22.95</v>
      </c>
      <c r="M28" s="2"/>
      <c r="N28" s="21">
        <f t="shared" si="1"/>
        <v>0</v>
      </c>
      <c r="O28" s="11"/>
      <c r="P28" s="2">
        <f>-22.95</f>
        <v>-22.95</v>
      </c>
      <c r="Q28" s="2"/>
      <c r="R28" s="21"/>
      <c r="S28" s="2"/>
      <c r="T28" s="2"/>
      <c r="U28" s="2"/>
      <c r="V28" s="21"/>
      <c r="W28" s="2"/>
      <c r="X28" s="2">
        <f t="shared" si="2"/>
        <v>-22.95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"4245", " - ", "SALES RETURN TAXABLE-SPECIAL O")</f>
        <v xml:space="preserve">          4245 - SALES RETURN TAXABLE-SPECIAL O</v>
      </c>
      <c r="C29" s="11"/>
      <c r="D29" s="2">
        <f>-9.99</f>
        <v>-9.99</v>
      </c>
      <c r="E29" s="2"/>
      <c r="F29" s="21"/>
      <c r="G29" s="2"/>
      <c r="H29" s="2"/>
      <c r="I29" s="2"/>
      <c r="J29" s="21"/>
      <c r="K29" s="2"/>
      <c r="L29" s="2">
        <f t="shared" si="0"/>
        <v>-9.99</v>
      </c>
      <c r="M29" s="2"/>
      <c r="N29" s="21">
        <f t="shared" si="1"/>
        <v>0</v>
      </c>
      <c r="O29" s="11"/>
      <c r="P29" s="2">
        <f>-9.99</f>
        <v>-9.99</v>
      </c>
      <c r="Q29" s="2"/>
      <c r="R29" s="21"/>
      <c r="S29" s="2"/>
      <c r="T29" s="2"/>
      <c r="U29" s="2"/>
      <c r="V29" s="21"/>
      <c r="W29" s="2"/>
      <c r="X29" s="2">
        <f t="shared" si="2"/>
        <v>-9.99</v>
      </c>
      <c r="Y29" s="2"/>
      <c r="Z29" s="21">
        <f t="shared" si="3"/>
        <v>0</v>
      </c>
    </row>
    <row r="30" spans="1:26" s="24" customFormat="1" hidden="1" outlineLevel="1" x14ac:dyDescent="0.25">
      <c r="A30" s="46"/>
      <c r="B30" s="11" t="str">
        <f>CONCATENATE("          ", "4295", " - ", "SALES RETURN TAXABLE-CUSTOMER")</f>
        <v xml:space="preserve">          4295 - SALES RETURN TAXABLE-CUSTOMER</v>
      </c>
      <c r="C30" s="11"/>
      <c r="D30" s="2">
        <f>--0.99</f>
        <v>0.99</v>
      </c>
      <c r="E30" s="2"/>
      <c r="F30" s="21"/>
      <c r="G30" s="2"/>
      <c r="H30" s="2"/>
      <c r="I30" s="2"/>
      <c r="J30" s="21"/>
      <c r="K30" s="2"/>
      <c r="L30" s="2">
        <f t="shared" si="0"/>
        <v>0.99</v>
      </c>
      <c r="M30" s="2"/>
      <c r="N30" s="21">
        <f t="shared" si="1"/>
        <v>0</v>
      </c>
      <c r="O30" s="11"/>
      <c r="P30" s="2">
        <f>--0.99</f>
        <v>0.99</v>
      </c>
      <c r="Q30" s="2"/>
      <c r="R30" s="21"/>
      <c r="S30" s="2"/>
      <c r="T30" s="2"/>
      <c r="U30" s="2"/>
      <c r="V30" s="21"/>
      <c r="W30" s="2"/>
      <c r="X30" s="2">
        <f t="shared" si="2"/>
        <v>0.99</v>
      </c>
      <c r="Y30" s="2"/>
      <c r="Z30" s="21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8" t="s">
        <v>8</v>
      </c>
      <c r="C32" s="10"/>
      <c r="D32" s="4">
        <f>SUM(OSRRefD16x_0)</f>
        <v>29566.829999999987</v>
      </c>
      <c r="E32" s="4"/>
      <c r="F32" s="12">
        <f t="shared" ref="F32:F45" si="4">IF(D$12=0,0,D32/D$12)</f>
        <v>0.42545978542267687</v>
      </c>
      <c r="G32" s="4"/>
      <c r="H32" s="4">
        <f>SUM(OSRRefH16x_0)</f>
        <v>21888.93664</v>
      </c>
      <c r="I32" s="4"/>
      <c r="J32" s="12">
        <f t="shared" ref="J32:J45" si="5">IF(H$12=0,0,H32/H$12)</f>
        <v>0.42851408146804792</v>
      </c>
      <c r="K32" s="4"/>
      <c r="L32" s="4">
        <f t="shared" ref="L32:L45" si="6">+D32-H32</f>
        <v>7677.8933599999873</v>
      </c>
      <c r="M32" s="4"/>
      <c r="N32" s="12">
        <f t="shared" ref="N32:N45" si="7">IF(H32=0,0,L32/H32)</f>
        <v>0.35076593652198479</v>
      </c>
      <c r="O32" s="10"/>
      <c r="P32" s="4">
        <f>SUM(OSRRefP16x_0)</f>
        <v>51093.39</v>
      </c>
      <c r="Q32" s="4"/>
      <c r="R32" s="12">
        <f t="shared" ref="R32:R45" si="8">IF(P$12=0,0,P32/P$12)</f>
        <v>0.42234326186074284</v>
      </c>
      <c r="S32" s="4"/>
      <c r="T32" s="4">
        <f>SUM(OSRRefT16x_0)</f>
        <v>46171.150959999999</v>
      </c>
      <c r="U32" s="4"/>
      <c r="V32" s="12">
        <f t="shared" ref="V32:V45" si="9">IF(T$12=0,0,T32/T$12)</f>
        <v>0.42672660044709909</v>
      </c>
      <c r="W32" s="4"/>
      <c r="X32" s="4">
        <f t="shared" ref="X32:X45" si="10">+P32-T32</f>
        <v>4922.2390400000004</v>
      </c>
      <c r="Y32" s="4"/>
      <c r="Z32" s="12">
        <f t="shared" ref="Z32:Z45" si="11">IF(T32=0,0,X32/T32)</f>
        <v>0.10660854099704688</v>
      </c>
    </row>
    <row r="33" spans="1:26" s="24" customFormat="1" hidden="1" outlineLevel="1" x14ac:dyDescent="0.25">
      <c r="A33" s="46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1">
        <f t="shared" si="4"/>
        <v>0</v>
      </c>
      <c r="G33" s="2"/>
      <c r="H33" s="2">
        <v>21888.93664</v>
      </c>
      <c r="I33" s="2"/>
      <c r="J33" s="21">
        <f t="shared" si="5"/>
        <v>0.42851408146804792</v>
      </c>
      <c r="K33" s="2"/>
      <c r="L33" s="2">
        <f t="shared" si="6"/>
        <v>-21888.93664</v>
      </c>
      <c r="M33" s="2"/>
      <c r="N33" s="21">
        <f t="shared" si="7"/>
        <v>-1</v>
      </c>
      <c r="O33" s="11"/>
      <c r="P33" s="2"/>
      <c r="Q33" s="2"/>
      <c r="R33" s="21">
        <f t="shared" si="8"/>
        <v>0</v>
      </c>
      <c r="S33" s="2"/>
      <c r="T33" s="2">
        <v>46171.150959999999</v>
      </c>
      <c r="U33" s="2"/>
      <c r="V33" s="21">
        <f t="shared" si="9"/>
        <v>0.42672660044709909</v>
      </c>
      <c r="W33" s="2"/>
      <c r="X33" s="2">
        <f t="shared" si="10"/>
        <v>-46171.150959999999</v>
      </c>
      <c r="Y33" s="2"/>
      <c r="Z33" s="21">
        <f t="shared" si="11"/>
        <v>-1</v>
      </c>
    </row>
    <row r="34" spans="1:26" s="24" customFormat="1" hidden="1" outlineLevel="1" x14ac:dyDescent="0.25">
      <c r="A34" s="46"/>
      <c r="B34" s="11" t="str">
        <f>CONCATENATE("          ", "5026", " - ", "PURCHASES @ COST-WRITING INSTR")</f>
        <v xml:space="preserve">          5026 - PURCHASES @ COST-WRITING INSTR</v>
      </c>
      <c r="C34" s="11"/>
      <c r="D34" s="2">
        <v>21.1</v>
      </c>
      <c r="E34" s="2"/>
      <c r="F34" s="21">
        <f t="shared" si="4"/>
        <v>3.0362407713030063E-4</v>
      </c>
      <c r="G34" s="2"/>
      <c r="H34" s="2"/>
      <c r="I34" s="2"/>
      <c r="J34" s="21">
        <f t="shared" si="5"/>
        <v>0</v>
      </c>
      <c r="K34" s="2"/>
      <c r="L34" s="2">
        <f t="shared" si="6"/>
        <v>21.1</v>
      </c>
      <c r="M34" s="2"/>
      <c r="N34" s="21">
        <f t="shared" si="7"/>
        <v>0</v>
      </c>
      <c r="O34" s="11"/>
      <c r="P34" s="2">
        <v>-53.62</v>
      </c>
      <c r="Q34" s="2"/>
      <c r="R34" s="21">
        <f t="shared" si="8"/>
        <v>-4.4322848221605636E-4</v>
      </c>
      <c r="S34" s="2"/>
      <c r="T34" s="2"/>
      <c r="U34" s="2"/>
      <c r="V34" s="21">
        <f t="shared" si="9"/>
        <v>0</v>
      </c>
      <c r="W34" s="2"/>
      <c r="X34" s="2">
        <f t="shared" si="10"/>
        <v>-53.62</v>
      </c>
      <c r="Y34" s="2"/>
      <c r="Z34" s="21">
        <f t="shared" si="11"/>
        <v>0</v>
      </c>
    </row>
    <row r="35" spans="1:26" s="24" customFormat="1" hidden="1" outlineLevel="1" x14ac:dyDescent="0.25">
      <c r="A35" s="46"/>
      <c r="B35" s="11" t="str">
        <f>CONCATENATE("          ", "5027", " - ", "PURCHASES @ COST-SCHOOL SUPPLI")</f>
        <v xml:space="preserve">          5027 - PURCHASES @ COST-SCHOOL SUPPLI</v>
      </c>
      <c r="C35" s="11"/>
      <c r="D35" s="2">
        <v>62.2</v>
      </c>
      <c r="E35" s="2"/>
      <c r="F35" s="21">
        <f t="shared" si="4"/>
        <v>8.9504348803339808E-4</v>
      </c>
      <c r="G35" s="2"/>
      <c r="H35" s="2"/>
      <c r="I35" s="2"/>
      <c r="J35" s="21">
        <f t="shared" si="5"/>
        <v>0</v>
      </c>
      <c r="K35" s="2"/>
      <c r="L35" s="2">
        <f t="shared" si="6"/>
        <v>62.2</v>
      </c>
      <c r="M35" s="2"/>
      <c r="N35" s="21">
        <f t="shared" si="7"/>
        <v>0</v>
      </c>
      <c r="O35" s="11"/>
      <c r="P35" s="2">
        <v>63.52</v>
      </c>
      <c r="Q35" s="2"/>
      <c r="R35" s="21">
        <f t="shared" si="8"/>
        <v>5.2506290918246734E-4</v>
      </c>
      <c r="S35" s="2"/>
      <c r="T35" s="2"/>
      <c r="U35" s="2"/>
      <c r="V35" s="21">
        <f t="shared" si="9"/>
        <v>0</v>
      </c>
      <c r="W35" s="2"/>
      <c r="X35" s="2">
        <f t="shared" si="10"/>
        <v>63.52</v>
      </c>
      <c r="Y35" s="2"/>
      <c r="Z35" s="21">
        <f t="shared" si="11"/>
        <v>0</v>
      </c>
    </row>
    <row r="36" spans="1:26" s="24" customFormat="1" hidden="1" outlineLevel="1" x14ac:dyDescent="0.25">
      <c r="A36" s="46"/>
      <c r="B36" s="11" t="str">
        <f>CONCATENATE("          ", "5037", " - ", "PURCHASES @ COST-WATER")</f>
        <v xml:space="preserve">          5037 - PURCHASES @ COST-WATER</v>
      </c>
      <c r="C36" s="11"/>
      <c r="D36" s="2">
        <v>12.72</v>
      </c>
      <c r="E36" s="2"/>
      <c r="F36" s="21">
        <f t="shared" si="4"/>
        <v>1.8303783227949878E-4</v>
      </c>
      <c r="G36" s="2"/>
      <c r="H36" s="2"/>
      <c r="I36" s="2"/>
      <c r="J36" s="21">
        <f t="shared" si="5"/>
        <v>0</v>
      </c>
      <c r="K36" s="2"/>
      <c r="L36" s="2">
        <f t="shared" si="6"/>
        <v>12.72</v>
      </c>
      <c r="M36" s="2"/>
      <c r="N36" s="21">
        <f t="shared" si="7"/>
        <v>0</v>
      </c>
      <c r="O36" s="11"/>
      <c r="P36" s="2">
        <v>29.76</v>
      </c>
      <c r="Q36" s="2"/>
      <c r="R36" s="21">
        <f t="shared" si="8"/>
        <v>2.4599924712327188E-4</v>
      </c>
      <c r="S36" s="2"/>
      <c r="T36" s="2"/>
      <c r="U36" s="2"/>
      <c r="V36" s="21">
        <f t="shared" si="9"/>
        <v>0</v>
      </c>
      <c r="W36" s="2"/>
      <c r="X36" s="2">
        <f t="shared" si="10"/>
        <v>29.76</v>
      </c>
      <c r="Y36" s="2"/>
      <c r="Z36" s="21">
        <f t="shared" si="11"/>
        <v>0</v>
      </c>
    </row>
    <row r="37" spans="1:26" s="24" customFormat="1" hidden="1" outlineLevel="1" x14ac:dyDescent="0.25">
      <c r="A37" s="46"/>
      <c r="B37" s="11" t="str">
        <f>CONCATENATE("          ", "5040", " - ", "PURCHASES @ COST-LOGO CLOTHING")</f>
        <v xml:space="preserve">          5040 - PURCHASES @ COST-LOGO CLOTHING</v>
      </c>
      <c r="C37" s="11"/>
      <c r="D37" s="2">
        <v>33066.579999999994</v>
      </c>
      <c r="E37" s="2"/>
      <c r="F37" s="21">
        <f t="shared" si="4"/>
        <v>0.47582037139124428</v>
      </c>
      <c r="G37" s="2"/>
      <c r="H37" s="2"/>
      <c r="I37" s="2"/>
      <c r="J37" s="21">
        <f t="shared" si="5"/>
        <v>0</v>
      </c>
      <c r="K37" s="2"/>
      <c r="L37" s="2">
        <f t="shared" si="6"/>
        <v>33066.579999999994</v>
      </c>
      <c r="M37" s="2"/>
      <c r="N37" s="21">
        <f t="shared" si="7"/>
        <v>0</v>
      </c>
      <c r="O37" s="11"/>
      <c r="P37" s="2">
        <v>57851.16</v>
      </c>
      <c r="Q37" s="2"/>
      <c r="R37" s="21">
        <f t="shared" si="8"/>
        <v>0.47820368969112703</v>
      </c>
      <c r="S37" s="2"/>
      <c r="T37" s="2"/>
      <c r="U37" s="2"/>
      <c r="V37" s="21">
        <f t="shared" si="9"/>
        <v>0</v>
      </c>
      <c r="W37" s="2"/>
      <c r="X37" s="2">
        <f t="shared" si="10"/>
        <v>57851.16</v>
      </c>
      <c r="Y37" s="2"/>
      <c r="Z37" s="21">
        <f t="shared" si="11"/>
        <v>0</v>
      </c>
    </row>
    <row r="38" spans="1:26" s="24" customFormat="1" hidden="1" outlineLevel="1" x14ac:dyDescent="0.25">
      <c r="A38" s="46"/>
      <c r="B38" s="11" t="str">
        <f>CONCATENATE("          ", "5041", " - ", "PURCHASES @ COST-LOGO GIFTS")</f>
        <v xml:space="preserve">          5041 - PURCHASES @ COST-LOGO GIFTS</v>
      </c>
      <c r="C38" s="11"/>
      <c r="D38" s="2">
        <v>3283.86</v>
      </c>
      <c r="E38" s="2"/>
      <c r="F38" s="21">
        <f t="shared" si="4"/>
        <v>4.7253979238156829E-2</v>
      </c>
      <c r="G38" s="2"/>
      <c r="H38" s="2"/>
      <c r="I38" s="2"/>
      <c r="J38" s="21">
        <f t="shared" si="5"/>
        <v>0</v>
      </c>
      <c r="K38" s="2"/>
      <c r="L38" s="2">
        <f t="shared" si="6"/>
        <v>3283.86</v>
      </c>
      <c r="M38" s="2"/>
      <c r="N38" s="21">
        <f t="shared" si="7"/>
        <v>0</v>
      </c>
      <c r="O38" s="11"/>
      <c r="P38" s="2">
        <v>8466.6200000000008</v>
      </c>
      <c r="Q38" s="2"/>
      <c r="R38" s="21">
        <f t="shared" si="8"/>
        <v>6.9985959196197448E-2</v>
      </c>
      <c r="S38" s="2"/>
      <c r="T38" s="2"/>
      <c r="U38" s="2"/>
      <c r="V38" s="21">
        <f t="shared" si="9"/>
        <v>0</v>
      </c>
      <c r="W38" s="2"/>
      <c r="X38" s="2">
        <f t="shared" si="10"/>
        <v>8466.6200000000008</v>
      </c>
      <c r="Y38" s="2"/>
      <c r="Z38" s="21">
        <f t="shared" si="11"/>
        <v>0</v>
      </c>
    </row>
    <row r="39" spans="1:26" s="24" customFormat="1" hidden="1" outlineLevel="1" x14ac:dyDescent="0.25">
      <c r="A39" s="46"/>
      <c r="B39" s="11" t="str">
        <f>CONCATENATE("          ", "5042", " - ", "PURCHASES @ COST-EVERYDAY GIFT")</f>
        <v xml:space="preserve">          5042 - PURCHASES @ COST-EVERYDAY GIFT</v>
      </c>
      <c r="C39" s="11"/>
      <c r="D39" s="2">
        <v>3769.2</v>
      </c>
      <c r="E39" s="2"/>
      <c r="F39" s="21">
        <f t="shared" si="4"/>
        <v>5.423790860282128E-2</v>
      </c>
      <c r="G39" s="2"/>
      <c r="H39" s="2"/>
      <c r="I39" s="2"/>
      <c r="J39" s="21">
        <f t="shared" si="5"/>
        <v>0</v>
      </c>
      <c r="K39" s="2"/>
      <c r="L39" s="2">
        <f t="shared" si="6"/>
        <v>3769.2</v>
      </c>
      <c r="M39" s="2"/>
      <c r="N39" s="21">
        <f t="shared" si="7"/>
        <v>0</v>
      </c>
      <c r="O39" s="11"/>
      <c r="P39" s="2">
        <v>6388.52</v>
      </c>
      <c r="Q39" s="2"/>
      <c r="R39" s="21">
        <f t="shared" si="8"/>
        <v>5.2808169026611722E-2</v>
      </c>
      <c r="S39" s="2"/>
      <c r="T39" s="2"/>
      <c r="U39" s="2"/>
      <c r="V39" s="21">
        <f t="shared" si="9"/>
        <v>0</v>
      </c>
      <c r="W39" s="2"/>
      <c r="X39" s="2">
        <f t="shared" si="10"/>
        <v>6388.52</v>
      </c>
      <c r="Y39" s="2"/>
      <c r="Z39" s="21">
        <f t="shared" si="11"/>
        <v>0</v>
      </c>
    </row>
    <row r="40" spans="1:26" s="24" customFormat="1" hidden="1" outlineLevel="1" x14ac:dyDescent="0.25">
      <c r="A40" s="46"/>
      <c r="B40" s="11" t="str">
        <f>CONCATENATE("          ", "5044", " - ", "PURCHASES @ COST-ACCESSORIES")</f>
        <v xml:space="preserve">          5044 - PURCHASES @ COST-ACCESSORIES</v>
      </c>
      <c r="C40" s="11"/>
      <c r="D40" s="2">
        <v>1159.22</v>
      </c>
      <c r="E40" s="2"/>
      <c r="F40" s="21">
        <f t="shared" si="4"/>
        <v>1.6680905340805074E-2</v>
      </c>
      <c r="G40" s="2"/>
      <c r="H40" s="2"/>
      <c r="I40" s="2"/>
      <c r="J40" s="21">
        <f t="shared" si="5"/>
        <v>0</v>
      </c>
      <c r="K40" s="2"/>
      <c r="L40" s="2">
        <f t="shared" si="6"/>
        <v>1159.22</v>
      </c>
      <c r="M40" s="2"/>
      <c r="N40" s="21">
        <f t="shared" si="7"/>
        <v>0</v>
      </c>
      <c r="O40" s="11"/>
      <c r="P40" s="2">
        <v>1493.33</v>
      </c>
      <c r="Q40" s="2"/>
      <c r="R40" s="21">
        <f t="shared" si="8"/>
        <v>1.234402068906571E-2</v>
      </c>
      <c r="S40" s="2"/>
      <c r="T40" s="2"/>
      <c r="U40" s="2"/>
      <c r="V40" s="21">
        <f t="shared" si="9"/>
        <v>0</v>
      </c>
      <c r="W40" s="2"/>
      <c r="X40" s="2">
        <f t="shared" si="10"/>
        <v>1493.33</v>
      </c>
      <c r="Y40" s="2"/>
      <c r="Z40" s="21">
        <f t="shared" si="11"/>
        <v>0</v>
      </c>
    </row>
    <row r="41" spans="1:26" s="24" customFormat="1" hidden="1" outlineLevel="1" x14ac:dyDescent="0.25">
      <c r="A41" s="46"/>
      <c r="B41" s="11" t="str">
        <f>CONCATENATE("          ", "5045", " - ", "PURCHASES @ COST-SPECIAL ORDER")</f>
        <v xml:space="preserve">          5045 - PURCHASES @ COST-SPECIAL ORDER</v>
      </c>
      <c r="C41" s="11"/>
      <c r="D41" s="2">
        <v>254</v>
      </c>
      <c r="E41" s="2"/>
      <c r="F41" s="21">
        <f t="shared" si="4"/>
        <v>3.6550007389145192E-3</v>
      </c>
      <c r="G41" s="2"/>
      <c r="H41" s="2"/>
      <c r="I41" s="2"/>
      <c r="J41" s="21">
        <f t="shared" si="5"/>
        <v>0</v>
      </c>
      <c r="K41" s="2"/>
      <c r="L41" s="2">
        <f t="shared" si="6"/>
        <v>254</v>
      </c>
      <c r="M41" s="2"/>
      <c r="N41" s="21">
        <f t="shared" si="7"/>
        <v>0</v>
      </c>
      <c r="O41" s="11"/>
      <c r="P41" s="2">
        <v>299</v>
      </c>
      <c r="Q41" s="2"/>
      <c r="R41" s="21">
        <f t="shared" si="8"/>
        <v>2.4715650164602917E-3</v>
      </c>
      <c r="S41" s="2"/>
      <c r="T41" s="2"/>
      <c r="U41" s="2"/>
      <c r="V41" s="21">
        <f t="shared" si="9"/>
        <v>0</v>
      </c>
      <c r="W41" s="2"/>
      <c r="X41" s="2">
        <f t="shared" si="10"/>
        <v>299</v>
      </c>
      <c r="Y41" s="2"/>
      <c r="Z41" s="21">
        <f t="shared" si="11"/>
        <v>0</v>
      </c>
    </row>
    <row r="42" spans="1:26" s="24" customFormat="1" hidden="1" outlineLevel="1" x14ac:dyDescent="0.25">
      <c r="A42" s="46"/>
      <c r="B42" s="11" t="str">
        <f>CONCATENATE("          ", "5083", " - ", "PURCHASES @ COST-COMPUTER EQUI")</f>
        <v xml:space="preserve">          5083 - PURCHASES @ COST-COMPUTER EQUI</v>
      </c>
      <c r="C42" s="11"/>
      <c r="D42" s="2">
        <v>39.950000000000003</v>
      </c>
      <c r="E42" s="2"/>
      <c r="F42" s="21">
        <f t="shared" si="4"/>
        <v>5.7487117921116166E-4</v>
      </c>
      <c r="G42" s="2"/>
      <c r="H42" s="2"/>
      <c r="I42" s="2"/>
      <c r="J42" s="21">
        <f t="shared" si="5"/>
        <v>0</v>
      </c>
      <c r="K42" s="2"/>
      <c r="L42" s="2">
        <f t="shared" si="6"/>
        <v>39.950000000000003</v>
      </c>
      <c r="M42" s="2"/>
      <c r="N42" s="21">
        <f t="shared" si="7"/>
        <v>0</v>
      </c>
      <c r="O42" s="11"/>
      <c r="P42" s="2">
        <v>39.950000000000003</v>
      </c>
      <c r="Q42" s="2"/>
      <c r="R42" s="21">
        <f t="shared" si="8"/>
        <v>3.3023084417253736E-4</v>
      </c>
      <c r="S42" s="2"/>
      <c r="T42" s="2"/>
      <c r="U42" s="2"/>
      <c r="V42" s="21">
        <f t="shared" si="9"/>
        <v>0</v>
      </c>
      <c r="W42" s="2"/>
      <c r="X42" s="2">
        <f t="shared" si="10"/>
        <v>39.950000000000003</v>
      </c>
      <c r="Y42" s="2"/>
      <c r="Z42" s="21">
        <f t="shared" si="11"/>
        <v>0</v>
      </c>
    </row>
    <row r="43" spans="1:26" s="24" customFormat="1" hidden="1" outlineLevel="1" x14ac:dyDescent="0.25">
      <c r="A43" s="46"/>
      <c r="B43" s="11" t="str">
        <f>CONCATENATE("          ", "5095", " - ", "PURCHASES @ COST-CUSTOMER SERV")</f>
        <v xml:space="preserve">          5095 - PURCHASES @ COST-CUSTOMER SERV</v>
      </c>
      <c r="C43" s="11"/>
      <c r="D43" s="2"/>
      <c r="E43" s="2"/>
      <c r="F43" s="21">
        <f t="shared" si="4"/>
        <v>0</v>
      </c>
      <c r="G43" s="2"/>
      <c r="H43" s="2"/>
      <c r="I43" s="2"/>
      <c r="J43" s="21">
        <f t="shared" si="5"/>
        <v>0</v>
      </c>
      <c r="K43" s="2"/>
      <c r="L43" s="2">
        <f t="shared" si="6"/>
        <v>0</v>
      </c>
      <c r="M43" s="2"/>
      <c r="N43" s="21">
        <f t="shared" si="7"/>
        <v>0</v>
      </c>
      <c r="O43" s="11"/>
      <c r="P43" s="2">
        <v>-11.85</v>
      </c>
      <c r="Q43" s="2"/>
      <c r="R43" s="21">
        <f t="shared" si="8"/>
        <v>-9.7953329247673778E-5</v>
      </c>
      <c r="S43" s="2"/>
      <c r="T43" s="2"/>
      <c r="U43" s="2"/>
      <c r="V43" s="21">
        <f t="shared" si="9"/>
        <v>0</v>
      </c>
      <c r="W43" s="2"/>
      <c r="X43" s="2">
        <f t="shared" si="10"/>
        <v>-11.85</v>
      </c>
      <c r="Y43" s="2"/>
      <c r="Z43" s="21">
        <f t="shared" si="11"/>
        <v>0</v>
      </c>
    </row>
    <row r="44" spans="1:26" s="24" customFormat="1" hidden="1" outlineLevel="1" x14ac:dyDescent="0.25">
      <c r="A44" s="46"/>
      <c r="B44" s="11" t="str">
        <f>CONCATENATE("          ", "5200", " - ", "PURCHASES OFFSET")</f>
        <v xml:space="preserve">          5200 - PURCHASES OFFSET</v>
      </c>
      <c r="C44" s="11"/>
      <c r="D44" s="2">
        <v>-41669</v>
      </c>
      <c r="E44" s="2"/>
      <c r="F44" s="21">
        <f t="shared" si="4"/>
        <v>-0.59960718814893355</v>
      </c>
      <c r="G44" s="2"/>
      <c r="H44" s="2"/>
      <c r="I44" s="2"/>
      <c r="J44" s="21">
        <f t="shared" si="5"/>
        <v>0</v>
      </c>
      <c r="K44" s="2"/>
      <c r="L44" s="2">
        <f t="shared" si="6"/>
        <v>-41669</v>
      </c>
      <c r="M44" s="2"/>
      <c r="N44" s="21">
        <f t="shared" si="7"/>
        <v>0</v>
      </c>
      <c r="O44" s="11"/>
      <c r="P44" s="2">
        <v>-74566</v>
      </c>
      <c r="Q44" s="2"/>
      <c r="R44" s="21">
        <f t="shared" si="8"/>
        <v>-0.61637029102802043</v>
      </c>
      <c r="S44" s="2"/>
      <c r="T44" s="2"/>
      <c r="U44" s="2"/>
      <c r="V44" s="21">
        <f t="shared" si="9"/>
        <v>0</v>
      </c>
      <c r="W44" s="2"/>
      <c r="X44" s="2">
        <f t="shared" si="10"/>
        <v>-74566</v>
      </c>
      <c r="Y44" s="2"/>
      <c r="Z44" s="21">
        <f t="shared" si="11"/>
        <v>0</v>
      </c>
    </row>
    <row r="45" spans="1:26" s="24" customFormat="1" hidden="1" outlineLevel="1" x14ac:dyDescent="0.25">
      <c r="A45" s="46"/>
      <c r="B45" s="11" t="str">
        <f>CONCATENATE("          ", "5300", " - ", "COG$ OFFSET")</f>
        <v xml:space="preserve">          5300 - COG$ OFFSET</v>
      </c>
      <c r="C45" s="11"/>
      <c r="D45" s="2">
        <v>29567</v>
      </c>
      <c r="E45" s="2"/>
      <c r="F45" s="21">
        <f t="shared" si="4"/>
        <v>0.42546223168301417</v>
      </c>
      <c r="G45" s="2"/>
      <c r="H45" s="2"/>
      <c r="I45" s="2"/>
      <c r="J45" s="21">
        <f t="shared" si="5"/>
        <v>0</v>
      </c>
      <c r="K45" s="2"/>
      <c r="L45" s="2">
        <f t="shared" si="6"/>
        <v>29567</v>
      </c>
      <c r="M45" s="2"/>
      <c r="N45" s="21">
        <f t="shared" si="7"/>
        <v>0</v>
      </c>
      <c r="O45" s="11"/>
      <c r="P45" s="2">
        <v>51093</v>
      </c>
      <c r="Q45" s="2"/>
      <c r="R45" s="21">
        <f t="shared" si="8"/>
        <v>0.42234003808028658</v>
      </c>
      <c r="S45" s="2"/>
      <c r="T45" s="2"/>
      <c r="U45" s="2"/>
      <c r="V45" s="21">
        <f t="shared" si="9"/>
        <v>0</v>
      </c>
      <c r="W45" s="2"/>
      <c r="X45" s="2">
        <f t="shared" si="10"/>
        <v>51093</v>
      </c>
      <c r="Y45" s="2"/>
      <c r="Z45" s="21">
        <f t="shared" si="11"/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10"/>
      <c r="B47" s="29" t="s">
        <v>6</v>
      </c>
      <c r="C47" s="29"/>
      <c r="D47" s="22">
        <f>D12-D32</f>
        <v>39927.000000000015</v>
      </c>
      <c r="E47" s="14"/>
      <c r="F47" s="20">
        <f>IF(D$12=0,0,D47/D$12)</f>
        <v>0.57454021457732307</v>
      </c>
      <c r="G47" s="14"/>
      <c r="H47" s="22">
        <f>H12-H32</f>
        <v>29192.084000000003</v>
      </c>
      <c r="I47" s="14"/>
      <c r="J47" s="20">
        <f>IF(H$12=0,0,H47/H$12)</f>
        <v>0.57148591853195208</v>
      </c>
      <c r="K47" s="15"/>
      <c r="L47" s="22">
        <f>+D47-H47</f>
        <v>10734.916000000012</v>
      </c>
      <c r="M47" s="15"/>
      <c r="N47" s="20">
        <f>IF(H47=0,0,L47/H47)</f>
        <v>0.3677338007111795</v>
      </c>
      <c r="O47" s="28"/>
      <c r="P47" s="22">
        <f>P12-P32</f>
        <v>69882.590000000026</v>
      </c>
      <c r="Q47" s="14"/>
      <c r="R47" s="20">
        <f>IF(P$12=0,0,P47/P$12)</f>
        <v>0.57765673813925711</v>
      </c>
      <c r="S47" s="14"/>
      <c r="T47" s="22">
        <f>T12-T32</f>
        <v>62027.285490000009</v>
      </c>
      <c r="U47" s="14"/>
      <c r="V47" s="20">
        <f>IF(T$12=0,0,T47/T$12)</f>
        <v>0.57327339955290091</v>
      </c>
      <c r="W47" s="15"/>
      <c r="X47" s="22">
        <f>+P47-T47</f>
        <v>7855.3045100000163</v>
      </c>
      <c r="Y47" s="15"/>
      <c r="Z47" s="20">
        <f>IF(T47=0,0,X47/T47)</f>
        <v>0.12664272582533767</v>
      </c>
    </row>
    <row r="48" spans="1:26" x14ac:dyDescent="0.25">
      <c r="A48" s="9"/>
      <c r="B48" s="10"/>
      <c r="C48" s="9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6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8" t="s">
        <v>9</v>
      </c>
      <c r="C49" s="10"/>
      <c r="D49" s="19">
        <f>SUM(OSRRefD22x_0)</f>
        <v>37394.460000000006</v>
      </c>
      <c r="E49" s="19"/>
      <c r="F49" s="34">
        <f t="shared" ref="F49:F59" si="12">IF(D$12=0,0,D49/D$12)</f>
        <v>0.53809755484767507</v>
      </c>
      <c r="G49" s="19"/>
      <c r="H49" s="19">
        <f>SUM(OSRRefH22x_0)</f>
        <v>27256.48450833077</v>
      </c>
      <c r="I49" s="19"/>
      <c r="J49" s="34">
        <f t="shared" ref="J49:J59" si="13">IF(H$12=0,0,H49/H$12)</f>
        <v>0.53359318523457699</v>
      </c>
      <c r="K49" s="4"/>
      <c r="L49" s="19">
        <f t="shared" ref="L49:L59" si="14">+D49-H49</f>
        <v>10137.975491669236</v>
      </c>
      <c r="M49" s="4"/>
      <c r="N49" s="34">
        <f t="shared" ref="N49:N59" si="15">IF(H49=0,0,L49/H49)</f>
        <v>0.37194728794062304</v>
      </c>
      <c r="O49" s="10"/>
      <c r="P49" s="19">
        <f>SUM(OSRRefP22x_0)</f>
        <v>64835.529999999992</v>
      </c>
      <c r="Q49" s="19"/>
      <c r="R49" s="34">
        <f t="shared" ref="R49:R59" si="16">IF(P$12=0,0,P49/P$12)</f>
        <v>0.53593721662763116</v>
      </c>
      <c r="S49" s="19"/>
      <c r="T49" s="19">
        <f>SUM(OSRRefT22x_0)</f>
        <v>56333.107544994229</v>
      </c>
      <c r="U49" s="19"/>
      <c r="V49" s="34">
        <f t="shared" ref="V49:V59" si="17">IF(T$12=0,0,T49/T$12)</f>
        <v>0.52064622552125817</v>
      </c>
      <c r="W49" s="4"/>
      <c r="X49" s="19">
        <f t="shared" ref="X49:X59" si="18">+P49-T49</f>
        <v>8502.4224550057625</v>
      </c>
      <c r="Y49" s="4"/>
      <c r="Z49" s="34">
        <f t="shared" ref="Z49:Z59" si="19">IF(T49=0,0,X49/T49)</f>
        <v>0.15093118106816192</v>
      </c>
    </row>
    <row r="50" spans="1:26" s="26" customFormat="1" outlineLevel="1" collapsed="1" x14ac:dyDescent="0.25">
      <c r="A50" s="25"/>
      <c r="B50" s="13" t="str">
        <f>CONCATENATE("     ","*Benefits                                         ")</f>
        <v xml:space="preserve">     *Benefits                                         </v>
      </c>
      <c r="C50" s="13"/>
      <c r="D50" s="1">
        <f>SUM(OSRRefD22_0x_0)</f>
        <v>3295.5799999999995</v>
      </c>
      <c r="E50" s="1"/>
      <c r="F50" s="5">
        <f t="shared" si="12"/>
        <v>4.7422627303747675E-2</v>
      </c>
      <c r="G50" s="1"/>
      <c r="H50" s="1">
        <f>SUM(OSRRefH22_0x_0)</f>
        <v>2294.4587391</v>
      </c>
      <c r="I50" s="1"/>
      <c r="J50" s="5">
        <f t="shared" si="13"/>
        <v>4.4918028464436724E-2</v>
      </c>
      <c r="K50" s="1"/>
      <c r="L50" s="1">
        <f t="shared" si="14"/>
        <v>1001.1212608999995</v>
      </c>
      <c r="M50" s="1"/>
      <c r="N50" s="5">
        <f t="shared" si="15"/>
        <v>0.43632131789508172</v>
      </c>
      <c r="O50" s="13"/>
      <c r="P50" s="1">
        <f>SUM(OSRRefP22_0x_0)</f>
        <v>4733.84</v>
      </c>
      <c r="Q50" s="1"/>
      <c r="R50" s="5">
        <f t="shared" si="16"/>
        <v>3.9130412500068192E-2</v>
      </c>
      <c r="S50" s="1"/>
      <c r="T50" s="1">
        <f>SUM(OSRRefT22_0x_0)</f>
        <v>4884.5495642249998</v>
      </c>
      <c r="U50" s="1"/>
      <c r="V50" s="5">
        <f t="shared" si="17"/>
        <v>4.5144363675552905E-2</v>
      </c>
      <c r="W50" s="1"/>
      <c r="X50" s="1">
        <f t="shared" si="18"/>
        <v>-150.70956422499967</v>
      </c>
      <c r="Y50" s="1"/>
      <c r="Z50" s="5">
        <f t="shared" si="19"/>
        <v>-3.0854342297765545E-2</v>
      </c>
    </row>
    <row r="51" spans="1:26" s="24" customFormat="1" hidden="1" outlineLevel="2" x14ac:dyDescent="0.25">
      <c r="A51" s="27"/>
      <c r="B51" s="11" t="str">
        <f>CONCATENATE("          ", "6111", " - ", "F.I.C.A.")</f>
        <v xml:space="preserve">          6111 - F.I.C.A.</v>
      </c>
      <c r="C51" s="11"/>
      <c r="D51" s="6">
        <v>933.86</v>
      </c>
      <c r="E51" s="2"/>
      <c r="F51" s="7">
        <f t="shared" si="12"/>
        <v>1.34380275198532E-2</v>
      </c>
      <c r="G51" s="2"/>
      <c r="H51" s="6">
        <v>745.38989633076903</v>
      </c>
      <c r="I51" s="2"/>
      <c r="J51" s="7">
        <f t="shared" si="13"/>
        <v>1.4592306241960184E-2</v>
      </c>
      <c r="K51" s="2"/>
      <c r="L51" s="6">
        <f t="shared" si="14"/>
        <v>188.47010366923098</v>
      </c>
      <c r="M51" s="2"/>
      <c r="N51" s="7">
        <f t="shared" si="15"/>
        <v>0.2528476768963297</v>
      </c>
      <c r="O51" s="11"/>
      <c r="P51" s="6">
        <v>1647.57</v>
      </c>
      <c r="Q51" s="2"/>
      <c r="R51" s="7">
        <f t="shared" si="16"/>
        <v>1.3618984528994927E-2</v>
      </c>
      <c r="S51" s="2"/>
      <c r="T51" s="6">
        <v>1655.28751799423</v>
      </c>
      <c r="U51" s="2"/>
      <c r="V51" s="7">
        <f t="shared" si="17"/>
        <v>1.5298626970077901E-2</v>
      </c>
      <c r="W51" s="2"/>
      <c r="X51" s="6">
        <f t="shared" si="18"/>
        <v>-7.7175179942300929</v>
      </c>
      <c r="Y51" s="2"/>
      <c r="Z51" s="7">
        <f t="shared" si="19"/>
        <v>-4.6623428922980582E-3</v>
      </c>
    </row>
    <row r="52" spans="1:26" s="24" customFormat="1" hidden="1" outlineLevel="2" x14ac:dyDescent="0.25">
      <c r="A52" s="27"/>
      <c r="B52" s="11" t="str">
        <f>CONCATENATE("          ", "6112", " - ", "COMPENSATION INSURANCE")</f>
        <v xml:space="preserve">          6112 - COMPENSATION INSURANCE</v>
      </c>
      <c r="C52" s="11"/>
      <c r="D52" s="6">
        <v>204.58</v>
      </c>
      <c r="E52" s="2"/>
      <c r="F52" s="7">
        <f t="shared" si="12"/>
        <v>2.9438584691619386E-3</v>
      </c>
      <c r="G52" s="2"/>
      <c r="H52" s="6">
        <v>185.05694538461498</v>
      </c>
      <c r="I52" s="2"/>
      <c r="J52" s="7">
        <f t="shared" si="13"/>
        <v>3.6228122121683389E-3</v>
      </c>
      <c r="K52" s="2"/>
      <c r="L52" s="6">
        <f t="shared" si="14"/>
        <v>19.523054615385036</v>
      </c>
      <c r="M52" s="2"/>
      <c r="N52" s="7">
        <f t="shared" si="15"/>
        <v>0.10549755144184995</v>
      </c>
      <c r="O52" s="11"/>
      <c r="P52" s="6">
        <v>393.36</v>
      </c>
      <c r="Q52" s="2"/>
      <c r="R52" s="7">
        <f t="shared" si="16"/>
        <v>3.2515545647987306E-3</v>
      </c>
      <c r="S52" s="2"/>
      <c r="T52" s="6">
        <v>410.95600211538402</v>
      </c>
      <c r="U52" s="2"/>
      <c r="V52" s="7">
        <f t="shared" si="17"/>
        <v>3.7981695077940656E-3</v>
      </c>
      <c r="W52" s="2"/>
      <c r="X52" s="6">
        <f t="shared" si="18"/>
        <v>-17.59600211538401</v>
      </c>
      <c r="Y52" s="2"/>
      <c r="Z52" s="7">
        <f t="shared" si="19"/>
        <v>-4.2817240835537389E-2</v>
      </c>
    </row>
    <row r="53" spans="1:26" s="24" customFormat="1" hidden="1" outlineLevel="2" x14ac:dyDescent="0.25">
      <c r="A53" s="27"/>
      <c r="B53" s="11" t="str">
        <f>CONCATENATE("          ", "6113", " - ", "GROUP INSURANCE")</f>
        <v xml:space="preserve">          6113 - GROUP INSURANCE</v>
      </c>
      <c r="C53" s="11"/>
      <c r="D53" s="6">
        <v>1434.06</v>
      </c>
      <c r="E53" s="2"/>
      <c r="F53" s="7">
        <f t="shared" si="12"/>
        <v>2.0635788817510849E-2</v>
      </c>
      <c r="G53" s="2"/>
      <c r="H53" s="6">
        <v>988.5</v>
      </c>
      <c r="I53" s="2"/>
      <c r="J53" s="7">
        <f t="shared" si="13"/>
        <v>1.9351610199149692E-2</v>
      </c>
      <c r="K53" s="2"/>
      <c r="L53" s="6">
        <f t="shared" si="14"/>
        <v>445.55999999999995</v>
      </c>
      <c r="M53" s="2"/>
      <c r="N53" s="7">
        <f t="shared" si="15"/>
        <v>0.45074355083459783</v>
      </c>
      <c r="O53" s="11"/>
      <c r="P53" s="6">
        <v>1465.17</v>
      </c>
      <c r="Q53" s="2"/>
      <c r="R53" s="7">
        <f t="shared" si="16"/>
        <v>1.2111247207916809E-2</v>
      </c>
      <c r="S53" s="2"/>
      <c r="T53" s="6">
        <v>1977</v>
      </c>
      <c r="U53" s="2"/>
      <c r="V53" s="7">
        <f t="shared" si="17"/>
        <v>1.8271983079104836E-2</v>
      </c>
      <c r="W53" s="2"/>
      <c r="X53" s="6">
        <f t="shared" si="18"/>
        <v>-511.82999999999993</v>
      </c>
      <c r="Y53" s="2"/>
      <c r="Z53" s="7">
        <f t="shared" si="19"/>
        <v>-0.25889226100151741</v>
      </c>
    </row>
    <row r="54" spans="1:26" s="24" customFormat="1" hidden="1" outlineLevel="2" x14ac:dyDescent="0.25">
      <c r="A54" s="27"/>
      <c r="B54" s="11" t="str">
        <f>CONCATENATE("          ", "6114", " - ", "STATE UNEMPLOYMENT INSURANCE")</f>
        <v xml:space="preserve">          6114 - STATE UNEMPLOYMENT INSURANCE</v>
      </c>
      <c r="C54" s="11"/>
      <c r="D54" s="6">
        <v>27.99</v>
      </c>
      <c r="E54" s="2"/>
      <c r="F54" s="7">
        <f t="shared" si="12"/>
        <v>4.0276956961502911E-4</v>
      </c>
      <c r="G54" s="2"/>
      <c r="H54" s="6">
        <v>25.323581999999998</v>
      </c>
      <c r="I54" s="2"/>
      <c r="J54" s="7">
        <f t="shared" si="13"/>
        <v>4.9575325008619474E-4</v>
      </c>
      <c r="K54" s="2"/>
      <c r="L54" s="6">
        <f t="shared" si="14"/>
        <v>2.6664180000000002</v>
      </c>
      <c r="M54" s="2"/>
      <c r="N54" s="7">
        <f t="shared" si="15"/>
        <v>0.10529387193328339</v>
      </c>
      <c r="O54" s="11"/>
      <c r="P54" s="6">
        <v>53.82</v>
      </c>
      <c r="Q54" s="2"/>
      <c r="R54" s="7">
        <f t="shared" si="16"/>
        <v>4.4488170296285253E-4</v>
      </c>
      <c r="S54" s="2"/>
      <c r="T54" s="6">
        <v>56.236084499999997</v>
      </c>
      <c r="U54" s="2"/>
      <c r="V54" s="7">
        <f t="shared" si="17"/>
        <v>5.197495115928729E-4</v>
      </c>
      <c r="W54" s="2"/>
      <c r="X54" s="6">
        <f t="shared" si="18"/>
        <v>-2.4160844999999966</v>
      </c>
      <c r="Y54" s="2"/>
      <c r="Z54" s="7">
        <f t="shared" si="19"/>
        <v>-4.2963241866527828E-2</v>
      </c>
    </row>
    <row r="55" spans="1:26" s="24" customFormat="1" hidden="1" outlineLevel="2" x14ac:dyDescent="0.25">
      <c r="A55" s="27"/>
      <c r="B55" s="11" t="str">
        <f>CONCATENATE("          ", "6115", " - ", "P.E.R.S.")</f>
        <v xml:space="preserve">          6115 - P.E.R.S.</v>
      </c>
      <c r="C55" s="11"/>
      <c r="D55" s="6">
        <v>210.2</v>
      </c>
      <c r="E55" s="2"/>
      <c r="F55" s="7">
        <f t="shared" si="12"/>
        <v>3.0247289579520944E-3</v>
      </c>
      <c r="G55" s="2"/>
      <c r="H55" s="6">
        <v>172.53915384615402</v>
      </c>
      <c r="I55" s="2"/>
      <c r="J55" s="7">
        <f t="shared" si="13"/>
        <v>3.3777546275385859E-3</v>
      </c>
      <c r="K55" s="2"/>
      <c r="L55" s="6">
        <f t="shared" si="14"/>
        <v>37.660846153845966</v>
      </c>
      <c r="M55" s="2"/>
      <c r="N55" s="7">
        <f t="shared" si="15"/>
        <v>0.21827420219891988</v>
      </c>
      <c r="O55" s="11"/>
      <c r="P55" s="6">
        <v>363.26</v>
      </c>
      <c r="Q55" s="2"/>
      <c r="R55" s="7">
        <f t="shared" si="16"/>
        <v>3.0027448424059049E-3</v>
      </c>
      <c r="S55" s="2"/>
      <c r="T55" s="6">
        <v>388.21309615384604</v>
      </c>
      <c r="U55" s="2"/>
      <c r="V55" s="7">
        <f t="shared" si="17"/>
        <v>3.5879732544309424E-3</v>
      </c>
      <c r="W55" s="2"/>
      <c r="X55" s="6">
        <f t="shared" si="18"/>
        <v>-24.953096153846047</v>
      </c>
      <c r="Y55" s="2"/>
      <c r="Z55" s="7">
        <f t="shared" si="19"/>
        <v>-6.4276801584141605E-2</v>
      </c>
    </row>
    <row r="56" spans="1:26" s="24" customFormat="1" hidden="1" outlineLevel="2" x14ac:dyDescent="0.25">
      <c r="A56" s="27"/>
      <c r="B56" s="11" t="str">
        <f>CONCATENATE("          ", "6116", " - ", "EDUCATIONAL BENEFITS")</f>
        <v xml:space="preserve">          6116 - EDUCATIONAL BENEFITS</v>
      </c>
      <c r="C56" s="11"/>
      <c r="D56" s="6"/>
      <c r="E56" s="2"/>
      <c r="F56" s="7">
        <f t="shared" si="12"/>
        <v>0</v>
      </c>
      <c r="G56" s="2"/>
      <c r="H56" s="6">
        <v>0</v>
      </c>
      <c r="I56" s="2"/>
      <c r="J56" s="7">
        <f t="shared" si="13"/>
        <v>0</v>
      </c>
      <c r="K56" s="2"/>
      <c r="L56" s="6">
        <f t="shared" si="14"/>
        <v>0</v>
      </c>
      <c r="M56" s="2"/>
      <c r="N56" s="7">
        <f t="shared" si="15"/>
        <v>0</v>
      </c>
      <c r="O56" s="11"/>
      <c r="P56" s="6"/>
      <c r="Q56" s="2"/>
      <c r="R56" s="7">
        <f t="shared" si="16"/>
        <v>0</v>
      </c>
      <c r="S56" s="2"/>
      <c r="T56" s="6">
        <v>0</v>
      </c>
      <c r="U56" s="2"/>
      <c r="V56" s="7">
        <f t="shared" si="17"/>
        <v>0</v>
      </c>
      <c r="W56" s="2"/>
      <c r="X56" s="6">
        <f t="shared" si="18"/>
        <v>0</v>
      </c>
      <c r="Y56" s="2"/>
      <c r="Z56" s="7">
        <f t="shared" si="19"/>
        <v>0</v>
      </c>
    </row>
    <row r="57" spans="1:26" s="24" customFormat="1" hidden="1" outlineLevel="2" x14ac:dyDescent="0.25">
      <c r="A57" s="27"/>
      <c r="B57" s="11" t="str">
        <f>CONCATENATE("          ", "6118", " - ", "VACATION")</f>
        <v xml:space="preserve">          6118 - VACATION</v>
      </c>
      <c r="C57" s="11"/>
      <c r="D57" s="6">
        <v>196.74</v>
      </c>
      <c r="E57" s="2"/>
      <c r="F57" s="7">
        <f t="shared" si="12"/>
        <v>2.831042698323002E-3</v>
      </c>
      <c r="G57" s="2"/>
      <c r="H57" s="6">
        <v>60.188076923076899</v>
      </c>
      <c r="I57" s="2"/>
      <c r="J57" s="7">
        <f t="shared" si="13"/>
        <v>1.1782864979785748E-3</v>
      </c>
      <c r="K57" s="2"/>
      <c r="L57" s="6">
        <f t="shared" si="14"/>
        <v>136.55192307692312</v>
      </c>
      <c r="M57" s="2"/>
      <c r="N57" s="7">
        <f t="shared" si="15"/>
        <v>2.2687537143185801</v>
      </c>
      <c r="O57" s="11"/>
      <c r="P57" s="6">
        <v>387.75</v>
      </c>
      <c r="Q57" s="2"/>
      <c r="R57" s="7">
        <f t="shared" si="16"/>
        <v>3.2051817228510976E-3</v>
      </c>
      <c r="S57" s="2"/>
      <c r="T57" s="6">
        <v>135.42317307692312</v>
      </c>
      <c r="U57" s="2"/>
      <c r="V57" s="7">
        <f t="shared" si="17"/>
        <v>1.2516185771270737E-3</v>
      </c>
      <c r="W57" s="2"/>
      <c r="X57" s="6">
        <f t="shared" si="18"/>
        <v>252.32682692307688</v>
      </c>
      <c r="Y57" s="2"/>
      <c r="Z57" s="7">
        <f t="shared" si="19"/>
        <v>1.8632470439881814</v>
      </c>
    </row>
    <row r="58" spans="1:26" s="24" customFormat="1" hidden="1" outlineLevel="2" x14ac:dyDescent="0.25">
      <c r="A58" s="27"/>
      <c r="B58" s="11" t="str">
        <f>CONCATENATE("          ", "6119", " - ", "SICK LEAVE")</f>
        <v xml:space="preserve">          6119 - SICK LEAVE</v>
      </c>
      <c r="C58" s="11"/>
      <c r="D58" s="6">
        <v>138.81</v>
      </c>
      <c r="E58" s="2"/>
      <c r="F58" s="7">
        <f t="shared" si="12"/>
        <v>1.9974435140500961E-3</v>
      </c>
      <c r="G58" s="2"/>
      <c r="H58" s="6">
        <v>117.461084615385</v>
      </c>
      <c r="I58" s="2"/>
      <c r="J58" s="7">
        <f t="shared" si="13"/>
        <v>2.2995054355551539E-3</v>
      </c>
      <c r="K58" s="2"/>
      <c r="L58" s="6">
        <f t="shared" si="14"/>
        <v>21.348915384614997</v>
      </c>
      <c r="M58" s="2"/>
      <c r="N58" s="7">
        <f t="shared" si="15"/>
        <v>0.1817530925626982</v>
      </c>
      <c r="O58" s="11"/>
      <c r="P58" s="6">
        <v>273.57</v>
      </c>
      <c r="Q58" s="2"/>
      <c r="R58" s="7">
        <f t="shared" si="16"/>
        <v>2.2613579985051573E-3</v>
      </c>
      <c r="S58" s="2"/>
      <c r="T58" s="6">
        <v>261.433690384616</v>
      </c>
      <c r="U58" s="2"/>
      <c r="V58" s="7">
        <f t="shared" si="17"/>
        <v>2.4162427754252079E-3</v>
      </c>
      <c r="W58" s="2"/>
      <c r="X58" s="6">
        <f t="shared" si="18"/>
        <v>12.136309615383993</v>
      </c>
      <c r="Y58" s="2"/>
      <c r="Z58" s="7">
        <f t="shared" si="19"/>
        <v>4.6422133266486421E-2</v>
      </c>
    </row>
    <row r="59" spans="1:26" s="24" customFormat="1" hidden="1" outlineLevel="2" x14ac:dyDescent="0.25">
      <c r="A59" s="27"/>
      <c r="B59" s="11" t="str">
        <f>CONCATENATE("          ", "6156", " - ", "EMPLOYEE MEALS")</f>
        <v xml:space="preserve">          6156 - EMPLOYEE MEALS</v>
      </c>
      <c r="C59" s="11"/>
      <c r="D59" s="6">
        <v>149.34</v>
      </c>
      <c r="E59" s="2"/>
      <c r="F59" s="7">
        <f t="shared" si="12"/>
        <v>2.148967757281474E-3</v>
      </c>
      <c r="G59" s="2"/>
      <c r="H59" s="6"/>
      <c r="I59" s="2"/>
      <c r="J59" s="7">
        <f t="shared" si="13"/>
        <v>0</v>
      </c>
      <c r="K59" s="2"/>
      <c r="L59" s="6">
        <f t="shared" si="14"/>
        <v>149.34</v>
      </c>
      <c r="M59" s="2"/>
      <c r="N59" s="7">
        <f t="shared" si="15"/>
        <v>0</v>
      </c>
      <c r="O59" s="11"/>
      <c r="P59" s="6">
        <v>149.34</v>
      </c>
      <c r="Q59" s="2"/>
      <c r="R59" s="7">
        <f t="shared" si="16"/>
        <v>1.2344599316327089E-3</v>
      </c>
      <c r="S59" s="2"/>
      <c r="T59" s="6"/>
      <c r="U59" s="2"/>
      <c r="V59" s="7">
        <f t="shared" si="17"/>
        <v>0</v>
      </c>
      <c r="W59" s="2"/>
      <c r="X59" s="6">
        <f t="shared" si="18"/>
        <v>149.34</v>
      </c>
      <c r="Y59" s="2"/>
      <c r="Z59" s="7">
        <f t="shared" si="19"/>
        <v>0</v>
      </c>
    </row>
    <row r="60" spans="1:26" s="26" customFormat="1" outlineLevel="1" collapsed="1" x14ac:dyDescent="0.25">
      <c r="A60" s="25"/>
      <c r="B60" s="13" t="str">
        <f>CONCATENATE("     ","*Payroll                                          ")</f>
        <v xml:space="preserve">     *Payroll                                          </v>
      </c>
      <c r="C60" s="13"/>
      <c r="D60" s="1">
        <f>SUM(OSRRefD22_1x_0)</f>
        <v>11327.050000000001</v>
      </c>
      <c r="E60" s="1"/>
      <c r="F60" s="5">
        <f t="shared" ref="F60:F70" si="20">IF(D$12=0,0,D60/D$12)</f>
        <v>0.16299360677055791</v>
      </c>
      <c r="G60" s="1"/>
      <c r="H60" s="1">
        <f>SUM(OSRRefH22_1x_0)</f>
        <v>9639.5257692307696</v>
      </c>
      <c r="I60" s="1"/>
      <c r="J60" s="5">
        <f t="shared" ref="J60:J70" si="21">IF(H$12=0,0,H60/H$12)</f>
        <v>0.18871051612626449</v>
      </c>
      <c r="K60" s="1"/>
      <c r="L60" s="1">
        <f t="shared" ref="L60:L70" si="22">+D60-H60</f>
        <v>1687.5242307692315</v>
      </c>
      <c r="M60" s="1"/>
      <c r="N60" s="5">
        <f t="shared" ref="N60:N70" si="23">IF(H60=0,0,L60/H60)</f>
        <v>0.17506299284512367</v>
      </c>
      <c r="O60" s="13"/>
      <c r="P60" s="1">
        <f>SUM(OSRRefP22_1x_0)</f>
        <v>21353.87</v>
      </c>
      <c r="Q60" s="1"/>
      <c r="R60" s="5">
        <f t="shared" ref="R60:R70" si="24">IF(P$12=0,0,P60/P$12)</f>
        <v>0.17651330454194292</v>
      </c>
      <c r="S60" s="1"/>
      <c r="T60" s="1">
        <f>SUM(OSRRefT22_1x_0)</f>
        <v>21403.55798076923</v>
      </c>
      <c r="U60" s="1"/>
      <c r="V60" s="5">
        <f t="shared" ref="V60:V70" si="25">IF(T$12=0,0,T60/T$12)</f>
        <v>0.19781762734307265</v>
      </c>
      <c r="W60" s="1"/>
      <c r="X60" s="1">
        <f t="shared" ref="X60:X70" si="26">+P60-T60</f>
        <v>-49.687980769231217</v>
      </c>
      <c r="Y60" s="1"/>
      <c r="Z60" s="5">
        <f t="shared" ref="Z60:Z70" si="27">IF(T60=0,0,X60/T60)</f>
        <v>-2.3214822887799827E-3</v>
      </c>
    </row>
    <row r="61" spans="1:26" s="24" customFormat="1" hidden="1" outlineLevel="2" x14ac:dyDescent="0.25">
      <c r="A61" s="27"/>
      <c r="B61" s="11" t="str">
        <f>CONCATENATE("          ", "6001", " - ", "ADMINISTRATIVE SALARIES")</f>
        <v xml:space="preserve">          6001 - ADMINISTRATIVE SALARIES</v>
      </c>
      <c r="C61" s="11"/>
      <c r="D61" s="6"/>
      <c r="E61" s="2"/>
      <c r="F61" s="7">
        <f t="shared" si="20"/>
        <v>0</v>
      </c>
      <c r="G61" s="2"/>
      <c r="H61" s="6">
        <v>0</v>
      </c>
      <c r="I61" s="2"/>
      <c r="J61" s="7">
        <f t="shared" si="21"/>
        <v>0</v>
      </c>
      <c r="K61" s="2"/>
      <c r="L61" s="6">
        <f t="shared" si="22"/>
        <v>0</v>
      </c>
      <c r="M61" s="2"/>
      <c r="N61" s="7">
        <f t="shared" si="23"/>
        <v>0</v>
      </c>
      <c r="O61" s="11"/>
      <c r="P61" s="6"/>
      <c r="Q61" s="2"/>
      <c r="R61" s="7">
        <f t="shared" si="24"/>
        <v>0</v>
      </c>
      <c r="S61" s="2"/>
      <c r="T61" s="6">
        <v>0</v>
      </c>
      <c r="U61" s="2"/>
      <c r="V61" s="7">
        <f t="shared" si="25"/>
        <v>0</v>
      </c>
      <c r="W61" s="2"/>
      <c r="X61" s="6">
        <f t="shared" si="26"/>
        <v>0</v>
      </c>
      <c r="Y61" s="2"/>
      <c r="Z61" s="7">
        <f t="shared" si="27"/>
        <v>0</v>
      </c>
    </row>
    <row r="62" spans="1:26" s="24" customFormat="1" hidden="1" outlineLevel="2" x14ac:dyDescent="0.25">
      <c r="A62" s="27"/>
      <c r="B62" s="11" t="str">
        <f>CONCATENATE("          ", "6002", " - ", "STAFF SALARIES")</f>
        <v xml:space="preserve">          6002 - STAFF SALARIES</v>
      </c>
      <c r="C62" s="11"/>
      <c r="D62" s="6">
        <v>2322.7600000000002</v>
      </c>
      <c r="E62" s="2"/>
      <c r="F62" s="7">
        <f t="shared" si="20"/>
        <v>3.3423974473705077E-2</v>
      </c>
      <c r="G62" s="2"/>
      <c r="H62" s="6">
        <v>1905.9557692307701</v>
      </c>
      <c r="I62" s="2"/>
      <c r="J62" s="7">
        <f t="shared" si="21"/>
        <v>3.7312405769321565E-2</v>
      </c>
      <c r="K62" s="2"/>
      <c r="L62" s="6">
        <f t="shared" si="22"/>
        <v>416.80423076923012</v>
      </c>
      <c r="M62" s="2"/>
      <c r="N62" s="7">
        <f t="shared" si="23"/>
        <v>0.21868515392539736</v>
      </c>
      <c r="O62" s="11"/>
      <c r="P62" s="6">
        <v>1835.9</v>
      </c>
      <c r="Q62" s="2"/>
      <c r="R62" s="7">
        <f t="shared" si="24"/>
        <v>1.5175739845215553E-2</v>
      </c>
      <c r="S62" s="2"/>
      <c r="T62" s="6">
        <v>4288.4004807692309</v>
      </c>
      <c r="U62" s="2"/>
      <c r="V62" s="7">
        <f t="shared" si="25"/>
        <v>3.9634588275690656E-2</v>
      </c>
      <c r="W62" s="2"/>
      <c r="X62" s="6">
        <f t="shared" si="26"/>
        <v>-2452.5004807692308</v>
      </c>
      <c r="Y62" s="2"/>
      <c r="Z62" s="7">
        <f t="shared" si="27"/>
        <v>-0.57189166258308832</v>
      </c>
    </row>
    <row r="63" spans="1:26" s="24" customFormat="1" hidden="1" outlineLevel="2" x14ac:dyDescent="0.25">
      <c r="A63" s="27"/>
      <c r="B63" s="11" t="str">
        <f>CONCATENATE("          ", "6003", " - ", "STAFF HOURLY-9 MONTH")</f>
        <v xml:space="preserve">          6003 - STAFF HOURLY-9 MONTH</v>
      </c>
      <c r="C63" s="11"/>
      <c r="D63" s="6"/>
      <c r="E63" s="2"/>
      <c r="F63" s="7">
        <f t="shared" si="20"/>
        <v>0</v>
      </c>
      <c r="G63" s="2"/>
      <c r="H63" s="6">
        <v>0</v>
      </c>
      <c r="I63" s="2"/>
      <c r="J63" s="7">
        <f t="shared" si="21"/>
        <v>0</v>
      </c>
      <c r="K63" s="2"/>
      <c r="L63" s="6">
        <f t="shared" si="22"/>
        <v>0</v>
      </c>
      <c r="M63" s="2"/>
      <c r="N63" s="7">
        <f t="shared" si="23"/>
        <v>0</v>
      </c>
      <c r="O63" s="11"/>
      <c r="P63" s="6"/>
      <c r="Q63" s="2"/>
      <c r="R63" s="7">
        <f t="shared" si="24"/>
        <v>0</v>
      </c>
      <c r="S63" s="2"/>
      <c r="T63" s="6">
        <v>0</v>
      </c>
      <c r="U63" s="2"/>
      <c r="V63" s="7">
        <f t="shared" si="25"/>
        <v>0</v>
      </c>
      <c r="W63" s="2"/>
      <c r="X63" s="6">
        <f t="shared" si="26"/>
        <v>0</v>
      </c>
      <c r="Y63" s="2"/>
      <c r="Z63" s="7">
        <f t="shared" si="27"/>
        <v>0</v>
      </c>
    </row>
    <row r="64" spans="1:26" s="24" customFormat="1" hidden="1" outlineLevel="2" x14ac:dyDescent="0.25">
      <c r="A64" s="27"/>
      <c r="B64" s="11" t="str">
        <f>CONCATENATE("          ", "6004", " - ", "STAFF HOURLY")</f>
        <v xml:space="preserve">          6004 - STAFF HOURLY</v>
      </c>
      <c r="C64" s="11"/>
      <c r="D64" s="6"/>
      <c r="E64" s="2"/>
      <c r="F64" s="7">
        <f t="shared" si="20"/>
        <v>0</v>
      </c>
      <c r="G64" s="2"/>
      <c r="H64" s="6">
        <v>1822.07</v>
      </c>
      <c r="I64" s="2"/>
      <c r="J64" s="7">
        <f t="shared" si="21"/>
        <v>3.567019564548779E-2</v>
      </c>
      <c r="K64" s="2"/>
      <c r="L64" s="6">
        <f t="shared" si="22"/>
        <v>-1822.07</v>
      </c>
      <c r="M64" s="2"/>
      <c r="N64" s="7">
        <f t="shared" si="23"/>
        <v>-1</v>
      </c>
      <c r="O64" s="11"/>
      <c r="P64" s="6"/>
      <c r="Q64" s="2"/>
      <c r="R64" s="7">
        <f t="shared" si="24"/>
        <v>0</v>
      </c>
      <c r="S64" s="2"/>
      <c r="T64" s="6">
        <v>4099.6575000000003</v>
      </c>
      <c r="U64" s="2"/>
      <c r="V64" s="7">
        <f t="shared" si="25"/>
        <v>3.7890173227175132E-2</v>
      </c>
      <c r="W64" s="2"/>
      <c r="X64" s="6">
        <f t="shared" si="26"/>
        <v>-4099.6575000000003</v>
      </c>
      <c r="Y64" s="2"/>
      <c r="Z64" s="7">
        <f t="shared" si="27"/>
        <v>-1</v>
      </c>
    </row>
    <row r="65" spans="1:26" s="24" customFormat="1" hidden="1" outlineLevel="2" x14ac:dyDescent="0.25">
      <c r="A65" s="27"/>
      <c r="B65" s="11" t="str">
        <f>CONCATENATE("          ", "6005", " - ", "TEMPORARY WAGES-HOURLY")</f>
        <v xml:space="preserve">          6005 - TEMPORARY WAGES-HOURLY</v>
      </c>
      <c r="C65" s="11"/>
      <c r="D65" s="6"/>
      <c r="E65" s="2"/>
      <c r="F65" s="7">
        <f t="shared" si="20"/>
        <v>0</v>
      </c>
      <c r="G65" s="2"/>
      <c r="H65" s="6">
        <v>0</v>
      </c>
      <c r="I65" s="2"/>
      <c r="J65" s="7">
        <f t="shared" si="21"/>
        <v>0</v>
      </c>
      <c r="K65" s="2"/>
      <c r="L65" s="6">
        <f t="shared" si="22"/>
        <v>0</v>
      </c>
      <c r="M65" s="2"/>
      <c r="N65" s="7">
        <f t="shared" si="23"/>
        <v>0</v>
      </c>
      <c r="O65" s="11"/>
      <c r="P65" s="6">
        <v>332.35</v>
      </c>
      <c r="Q65" s="2"/>
      <c r="R65" s="7">
        <f t="shared" si="24"/>
        <v>2.7472395759885553E-3</v>
      </c>
      <c r="S65" s="2"/>
      <c r="T65" s="6">
        <v>0</v>
      </c>
      <c r="U65" s="2"/>
      <c r="V65" s="7">
        <f t="shared" si="25"/>
        <v>0</v>
      </c>
      <c r="W65" s="2"/>
      <c r="X65" s="6">
        <f t="shared" si="26"/>
        <v>332.35</v>
      </c>
      <c r="Y65" s="2"/>
      <c r="Z65" s="7">
        <f t="shared" si="27"/>
        <v>0</v>
      </c>
    </row>
    <row r="66" spans="1:26" s="24" customFormat="1" hidden="1" outlineLevel="2" x14ac:dyDescent="0.25">
      <c r="A66" s="27"/>
      <c r="B66" s="11" t="str">
        <f>CONCATENATE("          ", "6006", " - ", "TEMPORARY PART TIME")</f>
        <v xml:space="preserve">          6006 - TEMPORARY PART TIME</v>
      </c>
      <c r="C66" s="11"/>
      <c r="D66" s="6"/>
      <c r="E66" s="2"/>
      <c r="F66" s="7">
        <f t="shared" si="20"/>
        <v>0</v>
      </c>
      <c r="G66" s="2"/>
      <c r="H66" s="6">
        <v>0</v>
      </c>
      <c r="I66" s="2"/>
      <c r="J66" s="7">
        <f t="shared" si="21"/>
        <v>0</v>
      </c>
      <c r="K66" s="2"/>
      <c r="L66" s="6">
        <f t="shared" si="22"/>
        <v>0</v>
      </c>
      <c r="M66" s="2"/>
      <c r="N66" s="7">
        <f t="shared" si="23"/>
        <v>0</v>
      </c>
      <c r="O66" s="11"/>
      <c r="P66" s="6"/>
      <c r="Q66" s="2"/>
      <c r="R66" s="7">
        <f t="shared" si="24"/>
        <v>0</v>
      </c>
      <c r="S66" s="2"/>
      <c r="T66" s="6">
        <v>0</v>
      </c>
      <c r="U66" s="2"/>
      <c r="V66" s="7">
        <f t="shared" si="25"/>
        <v>0</v>
      </c>
      <c r="W66" s="2"/>
      <c r="X66" s="6">
        <f t="shared" si="26"/>
        <v>0</v>
      </c>
      <c r="Y66" s="2"/>
      <c r="Z66" s="7">
        <f t="shared" si="27"/>
        <v>0</v>
      </c>
    </row>
    <row r="67" spans="1:26" s="24" customFormat="1" hidden="1" outlineLevel="2" x14ac:dyDescent="0.25">
      <c r="A67" s="27"/>
      <c r="B67" s="11" t="str">
        <f>CONCATENATE("          ", "6007", " - ", "STUDENT HOURLY")</f>
        <v xml:space="preserve">          6007 - STUDENT HOURLY</v>
      </c>
      <c r="C67" s="11"/>
      <c r="D67" s="6">
        <v>9004.2900000000009</v>
      </c>
      <c r="E67" s="2"/>
      <c r="F67" s="7">
        <f t="shared" si="20"/>
        <v>0.12956963229685284</v>
      </c>
      <c r="G67" s="2"/>
      <c r="H67" s="6">
        <v>5911.5</v>
      </c>
      <c r="I67" s="2"/>
      <c r="J67" s="7">
        <f t="shared" si="21"/>
        <v>0.11572791471145515</v>
      </c>
      <c r="K67" s="2"/>
      <c r="L67" s="6">
        <f t="shared" si="22"/>
        <v>3092.7900000000009</v>
      </c>
      <c r="M67" s="2"/>
      <c r="N67" s="7">
        <f t="shared" si="23"/>
        <v>0.52318193351941145</v>
      </c>
      <c r="O67" s="11"/>
      <c r="P67" s="6">
        <v>19185.62</v>
      </c>
      <c r="Q67" s="2"/>
      <c r="R67" s="7">
        <f t="shared" si="24"/>
        <v>0.15859032512073881</v>
      </c>
      <c r="S67" s="2"/>
      <c r="T67" s="6">
        <v>13015.5</v>
      </c>
      <c r="U67" s="2"/>
      <c r="V67" s="7">
        <f t="shared" si="25"/>
        <v>0.12029286584020688</v>
      </c>
      <c r="W67" s="2"/>
      <c r="X67" s="6">
        <f t="shared" si="26"/>
        <v>6170.119999999999</v>
      </c>
      <c r="Y67" s="2"/>
      <c r="Z67" s="7">
        <f t="shared" si="27"/>
        <v>0.47405939072644149</v>
      </c>
    </row>
    <row r="68" spans="1:26" s="24" customFormat="1" hidden="1" outlineLevel="2" x14ac:dyDescent="0.25">
      <c r="A68" s="27"/>
      <c r="B68" s="11" t="str">
        <f>CONCATENATE("          ", "6008", " - ", "STUDENT HOURLY-FICA EXEMPT")</f>
        <v xml:space="preserve">          6008 - STUDENT HOURLY-FICA EXEMPT</v>
      </c>
      <c r="C68" s="11"/>
      <c r="D68" s="6"/>
      <c r="E68" s="2"/>
      <c r="F68" s="7">
        <f t="shared" si="20"/>
        <v>0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0</v>
      </c>
      <c r="M68" s="2"/>
      <c r="N68" s="7">
        <f t="shared" si="23"/>
        <v>0</v>
      </c>
      <c r="O68" s="11"/>
      <c r="P68" s="6"/>
      <c r="Q68" s="2"/>
      <c r="R68" s="7">
        <f t="shared" si="24"/>
        <v>0</v>
      </c>
      <c r="S68" s="2"/>
      <c r="T68" s="6">
        <v>0</v>
      </c>
      <c r="U68" s="2"/>
      <c r="V68" s="7">
        <f t="shared" si="25"/>
        <v>0</v>
      </c>
      <c r="W68" s="2"/>
      <c r="X68" s="6">
        <f t="shared" si="26"/>
        <v>0</v>
      </c>
      <c r="Y68" s="2"/>
      <c r="Z68" s="7">
        <f t="shared" si="27"/>
        <v>0</v>
      </c>
    </row>
    <row r="69" spans="1:26" s="24" customFormat="1" hidden="1" outlineLevel="2" x14ac:dyDescent="0.25">
      <c r="A69" s="27"/>
      <c r="B69" s="11" t="str">
        <f>CONCATENATE("          ", "6009", " - ", "TEMPORARY-SEASONAL")</f>
        <v xml:space="preserve">          6009 - TEMPORARY-SEASONAL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4" customFormat="1" hidden="1" outlineLevel="2" x14ac:dyDescent="0.25">
      <c r="A70" s="27"/>
      <c r="B70" s="11" t="str">
        <f>CONCATENATE("          ", "6010", " - ", "GRATUITY")</f>
        <v xml:space="preserve">          6010 - GRATUITY</v>
      </c>
      <c r="C70" s="11"/>
      <c r="D70" s="6"/>
      <c r="E70" s="2"/>
      <c r="F70" s="7">
        <f t="shared" si="20"/>
        <v>0</v>
      </c>
      <c r="G70" s="2"/>
      <c r="H70" s="6">
        <v>0</v>
      </c>
      <c r="I70" s="2"/>
      <c r="J70" s="7">
        <f t="shared" si="21"/>
        <v>0</v>
      </c>
      <c r="K70" s="2"/>
      <c r="L70" s="6">
        <f t="shared" si="22"/>
        <v>0</v>
      </c>
      <c r="M70" s="2"/>
      <c r="N70" s="7">
        <f t="shared" si="23"/>
        <v>0</v>
      </c>
      <c r="O70" s="11"/>
      <c r="P70" s="6"/>
      <c r="Q70" s="2"/>
      <c r="R70" s="7">
        <f t="shared" si="24"/>
        <v>0</v>
      </c>
      <c r="S70" s="2"/>
      <c r="T70" s="6">
        <v>0</v>
      </c>
      <c r="U70" s="2"/>
      <c r="V70" s="7">
        <f t="shared" si="25"/>
        <v>0</v>
      </c>
      <c r="W70" s="2"/>
      <c r="X70" s="6">
        <f t="shared" si="26"/>
        <v>0</v>
      </c>
      <c r="Y70" s="2"/>
      <c r="Z70" s="7">
        <f t="shared" si="27"/>
        <v>0</v>
      </c>
    </row>
    <row r="71" spans="1:26" s="26" customFormat="1" outlineLevel="1" collapsed="1" x14ac:dyDescent="0.25">
      <c r="A71" s="25"/>
      <c r="B71" s="13" t="str">
        <f>CONCATENATE("     ","Advertising/Promo                                 ")</f>
        <v xml:space="preserve">     Advertising/Promo                                 </v>
      </c>
      <c r="C71" s="13"/>
      <c r="D71" s="1">
        <f>SUM(OSRRefD22_2x_0)</f>
        <v>868.88</v>
      </c>
      <c r="E71" s="1"/>
      <c r="F71" s="5">
        <f t="shared" ref="F71:F75" si="28">IF(D$12=0,0,D71/D$12)</f>
        <v>1.2502980480425384E-2</v>
      </c>
      <c r="G71" s="1"/>
      <c r="H71" s="1">
        <f>SUM(OSRRefH22_2x_0)</f>
        <v>500</v>
      </c>
      <c r="I71" s="1"/>
      <c r="J71" s="5">
        <f t="shared" ref="J71:J75" si="29">IF(H$12=0,0,H71/H$12)</f>
        <v>9.7883713703336844E-3</v>
      </c>
      <c r="K71" s="1"/>
      <c r="L71" s="1">
        <f t="shared" ref="L71:L75" si="30">+D71-H71</f>
        <v>368.88</v>
      </c>
      <c r="M71" s="1"/>
      <c r="N71" s="5">
        <f t="shared" ref="N71:N75" si="31">IF(H71=0,0,L71/H71)</f>
        <v>0.73775999999999997</v>
      </c>
      <c r="O71" s="13"/>
      <c r="P71" s="1">
        <f>SUM(OSRRefP22_2x_0)</f>
        <v>868.88</v>
      </c>
      <c r="Q71" s="1"/>
      <c r="R71" s="5">
        <f t="shared" ref="R71:R75" si="32">IF(P$12=0,0,P71/P$12)</f>
        <v>7.1822522123813322E-3</v>
      </c>
      <c r="S71" s="1"/>
      <c r="T71" s="1">
        <f>SUM(OSRRefT22_2x_0)</f>
        <v>1000</v>
      </c>
      <c r="U71" s="1"/>
      <c r="V71" s="5">
        <f t="shared" ref="V71:V75" si="33">IF(T$12=0,0,T71/T$12)</f>
        <v>9.2422777334875243E-3</v>
      </c>
      <c r="W71" s="1"/>
      <c r="X71" s="1">
        <f t="shared" ref="X71:X75" si="34">+P71-T71</f>
        <v>-131.12</v>
      </c>
      <c r="Y71" s="1"/>
      <c r="Z71" s="5">
        <f t="shared" ref="Z71:Z75" si="35">IF(T71=0,0,X71/T71)</f>
        <v>-0.13112000000000001</v>
      </c>
    </row>
    <row r="72" spans="1:26" s="24" customFormat="1" hidden="1" outlineLevel="2" x14ac:dyDescent="0.25">
      <c r="A72" s="27"/>
      <c r="B72" s="11" t="str">
        <f>CONCATENATE("          ", "6362", " - ", "ADVERTISING EXPENSE")</f>
        <v xml:space="preserve">          6362 - ADVERTISING EXPENSE</v>
      </c>
      <c r="C72" s="11"/>
      <c r="D72" s="6">
        <v>868.88</v>
      </c>
      <c r="E72" s="2"/>
      <c r="F72" s="7">
        <f t="shared" si="28"/>
        <v>1.2502980480425384E-2</v>
      </c>
      <c r="G72" s="2"/>
      <c r="H72" s="6">
        <v>500</v>
      </c>
      <c r="I72" s="2"/>
      <c r="J72" s="7">
        <f t="shared" si="29"/>
        <v>9.7883713703336844E-3</v>
      </c>
      <c r="K72" s="2"/>
      <c r="L72" s="6">
        <f t="shared" si="30"/>
        <v>368.88</v>
      </c>
      <c r="M72" s="2"/>
      <c r="N72" s="7">
        <f t="shared" si="31"/>
        <v>0.73775999999999997</v>
      </c>
      <c r="O72" s="11"/>
      <c r="P72" s="6">
        <v>868.88</v>
      </c>
      <c r="Q72" s="2"/>
      <c r="R72" s="7">
        <f t="shared" si="32"/>
        <v>7.1822522123813322E-3</v>
      </c>
      <c r="S72" s="2"/>
      <c r="T72" s="6">
        <v>1000</v>
      </c>
      <c r="U72" s="2"/>
      <c r="V72" s="7">
        <f t="shared" si="33"/>
        <v>9.2422777334875243E-3</v>
      </c>
      <c r="W72" s="2"/>
      <c r="X72" s="6">
        <f t="shared" si="34"/>
        <v>-131.12</v>
      </c>
      <c r="Y72" s="2"/>
      <c r="Z72" s="7">
        <f t="shared" si="35"/>
        <v>-0.13112000000000001</v>
      </c>
    </row>
    <row r="73" spans="1:26" s="26" customFormat="1" outlineLevel="1" collapsed="1" x14ac:dyDescent="0.25">
      <c r="A73" s="25"/>
      <c r="B73" s="13" t="str">
        <f>CONCATENATE("     ","Bad Debts/Over/Short                              ")</f>
        <v xml:space="preserve">     Bad Debts/Over/Short                              </v>
      </c>
      <c r="C73" s="13"/>
      <c r="D73" s="1">
        <f>SUM(OSRRefD22_3x_0)</f>
        <v>36.04</v>
      </c>
      <c r="E73" s="1"/>
      <c r="F73" s="5">
        <f t="shared" si="28"/>
        <v>5.1860719145857982E-4</v>
      </c>
      <c r="G73" s="1"/>
      <c r="H73" s="1">
        <f>SUM(OSRRefH22_3x_0)</f>
        <v>10</v>
      </c>
      <c r="I73" s="1"/>
      <c r="J73" s="5">
        <f t="shared" si="29"/>
        <v>1.9576742740667368E-4</v>
      </c>
      <c r="K73" s="1"/>
      <c r="L73" s="1">
        <f t="shared" si="30"/>
        <v>26.04</v>
      </c>
      <c r="M73" s="1"/>
      <c r="N73" s="5">
        <f t="shared" si="31"/>
        <v>2.6040000000000001</v>
      </c>
      <c r="O73" s="13"/>
      <c r="P73" s="1">
        <f>SUM(OSRRefP22_3x_0)</f>
        <v>29.91</v>
      </c>
      <c r="Q73" s="1"/>
      <c r="R73" s="5">
        <f t="shared" si="32"/>
        <v>2.4723916268336901E-4</v>
      </c>
      <c r="S73" s="1"/>
      <c r="T73" s="1">
        <f>SUM(OSRRefT22_3x_0)</f>
        <v>20</v>
      </c>
      <c r="U73" s="1"/>
      <c r="V73" s="5">
        <f t="shared" si="33"/>
        <v>1.8484555466975047E-4</v>
      </c>
      <c r="W73" s="1"/>
      <c r="X73" s="1">
        <f t="shared" si="34"/>
        <v>9.91</v>
      </c>
      <c r="Y73" s="1"/>
      <c r="Z73" s="5">
        <f t="shared" si="35"/>
        <v>0.4955</v>
      </c>
    </row>
    <row r="74" spans="1:26" s="24" customFormat="1" hidden="1" outlineLevel="2" x14ac:dyDescent="0.25">
      <c r="A74" s="27"/>
      <c r="B74" s="11" t="str">
        <f>CONCATENATE("          ", "6272", " - ", "CASH (OVER/SHORT)")</f>
        <v xml:space="preserve">          6272 - CASH (OVER/SHORT)</v>
      </c>
      <c r="C74" s="11"/>
      <c r="D74" s="6">
        <v>36.04</v>
      </c>
      <c r="E74" s="2"/>
      <c r="F74" s="7">
        <f t="shared" si="28"/>
        <v>5.1860719145857982E-4</v>
      </c>
      <c r="G74" s="2"/>
      <c r="H74" s="6"/>
      <c r="I74" s="2"/>
      <c r="J74" s="7">
        <f t="shared" si="29"/>
        <v>0</v>
      </c>
      <c r="K74" s="2"/>
      <c r="L74" s="6">
        <f t="shared" si="30"/>
        <v>36.04</v>
      </c>
      <c r="M74" s="2"/>
      <c r="N74" s="7">
        <f t="shared" si="31"/>
        <v>0</v>
      </c>
      <c r="O74" s="11"/>
      <c r="P74" s="6">
        <v>29.91</v>
      </c>
      <c r="Q74" s="2"/>
      <c r="R74" s="7">
        <f t="shared" si="32"/>
        <v>2.4723916268336901E-4</v>
      </c>
      <c r="S74" s="2"/>
      <c r="T74" s="6"/>
      <c r="U74" s="2"/>
      <c r="V74" s="7">
        <f t="shared" si="33"/>
        <v>0</v>
      </c>
      <c r="W74" s="2"/>
      <c r="X74" s="6">
        <f t="shared" si="34"/>
        <v>29.91</v>
      </c>
      <c r="Y74" s="2"/>
      <c r="Z74" s="7">
        <f t="shared" si="35"/>
        <v>0</v>
      </c>
    </row>
    <row r="75" spans="1:26" s="24" customFormat="1" hidden="1" outlineLevel="2" x14ac:dyDescent="0.25">
      <c r="A75" s="27"/>
      <c r="B75" s="11" t="str">
        <f>CONCATENATE("          ", "6342", " - ", "BAD DEBT")</f>
        <v xml:space="preserve">          6342 - BAD DEBT</v>
      </c>
      <c r="C75" s="11"/>
      <c r="D75" s="6"/>
      <c r="E75" s="2"/>
      <c r="F75" s="7">
        <f t="shared" si="28"/>
        <v>0</v>
      </c>
      <c r="G75" s="2"/>
      <c r="H75" s="6">
        <v>10</v>
      </c>
      <c r="I75" s="2"/>
      <c r="J75" s="7">
        <f t="shared" si="29"/>
        <v>1.9576742740667368E-4</v>
      </c>
      <c r="K75" s="2"/>
      <c r="L75" s="6">
        <f t="shared" si="30"/>
        <v>-10</v>
      </c>
      <c r="M75" s="2"/>
      <c r="N75" s="7">
        <f t="shared" si="31"/>
        <v>-1</v>
      </c>
      <c r="O75" s="11"/>
      <c r="P75" s="6"/>
      <c r="Q75" s="2"/>
      <c r="R75" s="7">
        <f t="shared" si="32"/>
        <v>0</v>
      </c>
      <c r="S75" s="2"/>
      <c r="T75" s="6">
        <v>20</v>
      </c>
      <c r="U75" s="2"/>
      <c r="V75" s="7">
        <f t="shared" si="33"/>
        <v>1.8484555466975047E-4</v>
      </c>
      <c r="W75" s="2"/>
      <c r="X75" s="6">
        <f t="shared" si="34"/>
        <v>-20</v>
      </c>
      <c r="Y75" s="2"/>
      <c r="Z75" s="7">
        <f t="shared" si="35"/>
        <v>-1</v>
      </c>
    </row>
    <row r="76" spans="1:26" s="26" customFormat="1" outlineLevel="1" collapsed="1" x14ac:dyDescent="0.25">
      <c r="A76" s="25"/>
      <c r="B76" s="13" t="str">
        <f>CONCATENATE("     ","Bank/card Fees                                    ")</f>
        <v xml:space="preserve">     Bank/card Fees                                    </v>
      </c>
      <c r="C76" s="13"/>
      <c r="D76" s="1">
        <f>SUM(OSRRefD22_4x_0)</f>
        <v>803.95</v>
      </c>
      <c r="E76" s="1"/>
      <c r="F76" s="5">
        <f t="shared" ref="F76:F96" si="36">IF(D$12=0,0,D76/D$12)</f>
        <v>1.1568652929332001E-2</v>
      </c>
      <c r="G76" s="1"/>
      <c r="H76" s="1">
        <f>SUM(OSRRefH22_4x_0)</f>
        <v>625</v>
      </c>
      <c r="I76" s="1"/>
      <c r="J76" s="5">
        <f t="shared" ref="J76:J96" si="37">IF(H$12=0,0,H76/H$12)</f>
        <v>1.2235464212917104E-2</v>
      </c>
      <c r="K76" s="1"/>
      <c r="L76" s="1">
        <f t="shared" ref="L76:L96" si="38">+D76-H76</f>
        <v>178.95000000000005</v>
      </c>
      <c r="M76" s="1"/>
      <c r="N76" s="5">
        <f t="shared" ref="N76:N96" si="39">IF(H76=0,0,L76/H76)</f>
        <v>0.28632000000000007</v>
      </c>
      <c r="O76" s="13"/>
      <c r="P76" s="1">
        <f>SUM(OSRRefP22_4x_0)</f>
        <v>1481.66</v>
      </c>
      <c r="Q76" s="1"/>
      <c r="R76" s="5">
        <f t="shared" ref="R76:R96" si="40">IF(P$12=0,0,P76/P$12)</f>
        <v>1.2247555258490155E-2</v>
      </c>
      <c r="S76" s="1"/>
      <c r="T76" s="1">
        <f>SUM(OSRRefT22_4x_0)</f>
        <v>1225</v>
      </c>
      <c r="U76" s="1"/>
      <c r="V76" s="5">
        <f t="shared" ref="V76:V96" si="41">IF(T$12=0,0,T76/T$12)</f>
        <v>1.1321790223522216E-2</v>
      </c>
      <c r="W76" s="1"/>
      <c r="X76" s="1">
        <f t="shared" ref="X76:X96" si="42">+P76-T76</f>
        <v>256.66000000000008</v>
      </c>
      <c r="Y76" s="1"/>
      <c r="Z76" s="5">
        <f t="shared" ref="Z76:Z96" si="43">IF(T76=0,0,X76/T76)</f>
        <v>0.20951836734693885</v>
      </c>
    </row>
    <row r="77" spans="1:26" s="24" customFormat="1" hidden="1" outlineLevel="2" x14ac:dyDescent="0.25">
      <c r="A77" s="27"/>
      <c r="B77" s="11" t="str">
        <f>CONCATENATE("          ", "6381", " - ", "BANK/CREDIT CARD FEES")</f>
        <v xml:space="preserve">          6381 - BANK/CREDIT CARD FEES</v>
      </c>
      <c r="C77" s="11"/>
      <c r="D77" s="6">
        <v>803.95</v>
      </c>
      <c r="E77" s="2"/>
      <c r="F77" s="7">
        <f t="shared" si="36"/>
        <v>1.1568652929332001E-2</v>
      </c>
      <c r="G77" s="2"/>
      <c r="H77" s="6">
        <v>625</v>
      </c>
      <c r="I77" s="2"/>
      <c r="J77" s="7">
        <f t="shared" si="37"/>
        <v>1.2235464212917104E-2</v>
      </c>
      <c r="K77" s="2"/>
      <c r="L77" s="6">
        <f t="shared" si="38"/>
        <v>178.95000000000005</v>
      </c>
      <c r="M77" s="2"/>
      <c r="N77" s="7">
        <f t="shared" si="39"/>
        <v>0.28632000000000007</v>
      </c>
      <c r="O77" s="11"/>
      <c r="P77" s="6">
        <v>1481.66</v>
      </c>
      <c r="Q77" s="2"/>
      <c r="R77" s="7">
        <f t="shared" si="40"/>
        <v>1.2247555258490155E-2</v>
      </c>
      <c r="S77" s="2"/>
      <c r="T77" s="6">
        <v>1225</v>
      </c>
      <c r="U77" s="2"/>
      <c r="V77" s="7">
        <f t="shared" si="41"/>
        <v>1.1321790223522216E-2</v>
      </c>
      <c r="W77" s="2"/>
      <c r="X77" s="6">
        <f t="shared" si="42"/>
        <v>256.66000000000008</v>
      </c>
      <c r="Y77" s="2"/>
      <c r="Z77" s="7">
        <f t="shared" si="43"/>
        <v>0.20951836734693885</v>
      </c>
    </row>
    <row r="78" spans="1:26" s="26" customFormat="1" outlineLevel="1" collapsed="1" x14ac:dyDescent="0.25">
      <c r="A78" s="25"/>
      <c r="B78" s="13" t="str">
        <f>CONCATENATE("     ","Discounts and Markdowns                           ")</f>
        <v xml:space="preserve">     Discounts and Markdowns                           </v>
      </c>
      <c r="C78" s="13"/>
      <c r="D78" s="1">
        <f>SUM(OSRRefD22_5x_0)</f>
        <v>12969.55</v>
      </c>
      <c r="E78" s="1"/>
      <c r="F78" s="5">
        <f t="shared" si="36"/>
        <v>0.18662879855664882</v>
      </c>
      <c r="G78" s="1"/>
      <c r="H78" s="1">
        <f>SUM(OSRRefH22_5x_0)</f>
        <v>5000</v>
      </c>
      <c r="I78" s="1"/>
      <c r="J78" s="5">
        <f t="shared" si="37"/>
        <v>9.788371370333683E-2</v>
      </c>
      <c r="K78" s="1"/>
      <c r="L78" s="1">
        <f t="shared" si="38"/>
        <v>7969.5499999999993</v>
      </c>
      <c r="M78" s="1"/>
      <c r="N78" s="5">
        <f t="shared" si="39"/>
        <v>1.5939099999999999</v>
      </c>
      <c r="O78" s="13"/>
      <c r="P78" s="1">
        <f>SUM(OSRRefP22_5x_0)</f>
        <v>19149.689999999999</v>
      </c>
      <c r="Q78" s="1"/>
      <c r="R78" s="5">
        <f t="shared" si="40"/>
        <v>0.15829332401357687</v>
      </c>
      <c r="S78" s="1"/>
      <c r="T78" s="1">
        <f>SUM(OSRRefT22_5x_0)</f>
        <v>8000</v>
      </c>
      <c r="U78" s="1"/>
      <c r="V78" s="5">
        <f t="shared" si="41"/>
        <v>7.3938221867900195E-2</v>
      </c>
      <c r="W78" s="1"/>
      <c r="X78" s="1">
        <f t="shared" si="42"/>
        <v>11149.689999999999</v>
      </c>
      <c r="Y78" s="1"/>
      <c r="Z78" s="5">
        <f t="shared" si="43"/>
        <v>1.3937112499999997</v>
      </c>
    </row>
    <row r="79" spans="1:26" s="24" customFormat="1" hidden="1" outlineLevel="2" x14ac:dyDescent="0.25">
      <c r="A79" s="27"/>
      <c r="B79" s="11" t="str">
        <f>CONCATENATE("          ", "6382", " - ", "DISCOUNTS/MARK DOWNS")</f>
        <v xml:space="preserve">          6382 - DISCOUNTS/MARK DOWNS</v>
      </c>
      <c r="C79" s="11"/>
      <c r="D79" s="6">
        <v>12969.55</v>
      </c>
      <c r="E79" s="2"/>
      <c r="F79" s="7">
        <f t="shared" si="36"/>
        <v>0.18662879855664882</v>
      </c>
      <c r="G79" s="2"/>
      <c r="H79" s="6">
        <v>5000</v>
      </c>
      <c r="I79" s="2"/>
      <c r="J79" s="7">
        <f t="shared" si="37"/>
        <v>9.788371370333683E-2</v>
      </c>
      <c r="K79" s="2"/>
      <c r="L79" s="6">
        <f t="shared" si="38"/>
        <v>7969.5499999999993</v>
      </c>
      <c r="M79" s="2"/>
      <c r="N79" s="7">
        <f t="shared" si="39"/>
        <v>1.5939099999999999</v>
      </c>
      <c r="O79" s="11"/>
      <c r="P79" s="6">
        <v>19149.689999999999</v>
      </c>
      <c r="Q79" s="2"/>
      <c r="R79" s="7">
        <f t="shared" si="40"/>
        <v>0.15829332401357687</v>
      </c>
      <c r="S79" s="2"/>
      <c r="T79" s="6">
        <v>8000</v>
      </c>
      <c r="U79" s="2"/>
      <c r="V79" s="7">
        <f t="shared" si="41"/>
        <v>7.3938221867900195E-2</v>
      </c>
      <c r="W79" s="2"/>
      <c r="X79" s="6">
        <f t="shared" si="42"/>
        <v>11149.689999999999</v>
      </c>
      <c r="Y79" s="2"/>
      <c r="Z79" s="7">
        <f t="shared" si="43"/>
        <v>1.3937112499999997</v>
      </c>
    </row>
    <row r="80" spans="1:26" s="26" customFormat="1" outlineLevel="1" collapsed="1" x14ac:dyDescent="0.25">
      <c r="A80" s="25"/>
      <c r="B80" s="13" t="str">
        <f>CONCATENATE("     ","Donations                                         ")</f>
        <v xml:space="preserve">     Donations                                         </v>
      </c>
      <c r="C80" s="13"/>
      <c r="D80" s="1">
        <f>SUM(OSRRefD22_6x_0)</f>
        <v>0</v>
      </c>
      <c r="E80" s="1"/>
      <c r="F80" s="5">
        <f t="shared" si="36"/>
        <v>0</v>
      </c>
      <c r="G80" s="1"/>
      <c r="H80" s="1">
        <f>SUM(OSRRefH22_6x_0)</f>
        <v>25</v>
      </c>
      <c r="I80" s="1"/>
      <c r="J80" s="5">
        <f t="shared" si="37"/>
        <v>4.8941856851668418E-4</v>
      </c>
      <c r="K80" s="1"/>
      <c r="L80" s="1">
        <f t="shared" si="38"/>
        <v>-25</v>
      </c>
      <c r="M80" s="1"/>
      <c r="N80" s="5">
        <f t="shared" si="39"/>
        <v>-1</v>
      </c>
      <c r="O80" s="13"/>
      <c r="P80" s="1">
        <f>SUM(OSRRefP22_6x_0)</f>
        <v>0</v>
      </c>
      <c r="Q80" s="1"/>
      <c r="R80" s="5">
        <f t="shared" si="40"/>
        <v>0</v>
      </c>
      <c r="S80" s="1"/>
      <c r="T80" s="1">
        <f>SUM(OSRRefT22_6x_0)</f>
        <v>125</v>
      </c>
      <c r="U80" s="1"/>
      <c r="V80" s="5">
        <f t="shared" si="41"/>
        <v>1.1552847166859405E-3</v>
      </c>
      <c r="W80" s="1"/>
      <c r="X80" s="1">
        <f t="shared" si="42"/>
        <v>-125</v>
      </c>
      <c r="Y80" s="1"/>
      <c r="Z80" s="5">
        <f t="shared" si="43"/>
        <v>-1</v>
      </c>
    </row>
    <row r="81" spans="1:26" s="24" customFormat="1" hidden="1" outlineLevel="2" x14ac:dyDescent="0.25">
      <c r="A81" s="27"/>
      <c r="B81" s="11" t="str">
        <f>CONCATENATE("          ", "6395", " - ", "DONATION-OFF CAMPUS")</f>
        <v xml:space="preserve">          6395 - DONATION-OFF CAMPUS</v>
      </c>
      <c r="C81" s="11"/>
      <c r="D81" s="6"/>
      <c r="E81" s="2"/>
      <c r="F81" s="7">
        <f t="shared" si="36"/>
        <v>0</v>
      </c>
      <c r="G81" s="2"/>
      <c r="H81" s="6">
        <v>25</v>
      </c>
      <c r="I81" s="2"/>
      <c r="J81" s="7">
        <f t="shared" si="37"/>
        <v>4.8941856851668418E-4</v>
      </c>
      <c r="K81" s="2"/>
      <c r="L81" s="6">
        <f t="shared" si="38"/>
        <v>-25</v>
      </c>
      <c r="M81" s="2"/>
      <c r="N81" s="7">
        <f t="shared" si="39"/>
        <v>-1</v>
      </c>
      <c r="O81" s="11"/>
      <c r="P81" s="6"/>
      <c r="Q81" s="2"/>
      <c r="R81" s="7">
        <f t="shared" si="40"/>
        <v>0</v>
      </c>
      <c r="S81" s="2"/>
      <c r="T81" s="6">
        <v>125</v>
      </c>
      <c r="U81" s="2"/>
      <c r="V81" s="7">
        <f t="shared" si="41"/>
        <v>1.1552847166859405E-3</v>
      </c>
      <c r="W81" s="2"/>
      <c r="X81" s="6">
        <f t="shared" si="42"/>
        <v>-125</v>
      </c>
      <c r="Y81" s="2"/>
      <c r="Z81" s="7">
        <f t="shared" si="43"/>
        <v>-1</v>
      </c>
    </row>
    <row r="82" spans="1:26" s="26" customFormat="1" outlineLevel="1" collapsed="1" x14ac:dyDescent="0.25">
      <c r="A82" s="25"/>
      <c r="B82" s="13" t="str">
        <f>CONCATENATE("     ","Employees' Appreciation                           ")</f>
        <v xml:space="preserve">     Employees' Appreciation                           </v>
      </c>
      <c r="C82" s="13"/>
      <c r="D82" s="1">
        <f>SUM(OSRRefD22_7x_0)</f>
        <v>0</v>
      </c>
      <c r="E82" s="1"/>
      <c r="F82" s="5">
        <f t="shared" si="36"/>
        <v>0</v>
      </c>
      <c r="G82" s="1"/>
      <c r="H82" s="1">
        <f>SUM(OSRRefH22_7x_0)</f>
        <v>25</v>
      </c>
      <c r="I82" s="1"/>
      <c r="J82" s="5">
        <f t="shared" si="37"/>
        <v>4.8941856851668418E-4</v>
      </c>
      <c r="K82" s="1"/>
      <c r="L82" s="1">
        <f t="shared" si="38"/>
        <v>-25</v>
      </c>
      <c r="M82" s="1"/>
      <c r="N82" s="5">
        <f t="shared" si="39"/>
        <v>-1</v>
      </c>
      <c r="O82" s="13"/>
      <c r="P82" s="1">
        <f>SUM(OSRRefP22_7x_0)</f>
        <v>120.93</v>
      </c>
      <c r="Q82" s="1"/>
      <c r="R82" s="5">
        <f t="shared" si="40"/>
        <v>9.9961992455031151E-4</v>
      </c>
      <c r="S82" s="1"/>
      <c r="T82" s="1">
        <f>SUM(OSRRefT22_7x_0)</f>
        <v>100</v>
      </c>
      <c r="U82" s="1"/>
      <c r="V82" s="5">
        <f t="shared" si="41"/>
        <v>9.2422777334875245E-4</v>
      </c>
      <c r="W82" s="1"/>
      <c r="X82" s="1">
        <f t="shared" si="42"/>
        <v>20.930000000000007</v>
      </c>
      <c r="Y82" s="1"/>
      <c r="Z82" s="5">
        <f t="shared" si="43"/>
        <v>0.20930000000000007</v>
      </c>
    </row>
    <row r="83" spans="1:26" s="24" customFormat="1" hidden="1" outlineLevel="2" x14ac:dyDescent="0.25">
      <c r="A83" s="27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6"/>
        <v>0</v>
      </c>
      <c r="G83" s="2"/>
      <c r="H83" s="6">
        <v>25</v>
      </c>
      <c r="I83" s="2"/>
      <c r="J83" s="7">
        <f t="shared" si="37"/>
        <v>4.8941856851668418E-4</v>
      </c>
      <c r="K83" s="2"/>
      <c r="L83" s="6">
        <f t="shared" si="38"/>
        <v>-25</v>
      </c>
      <c r="M83" s="2"/>
      <c r="N83" s="7">
        <f t="shared" si="39"/>
        <v>-1</v>
      </c>
      <c r="O83" s="11"/>
      <c r="P83" s="6">
        <v>120.93</v>
      </c>
      <c r="Q83" s="2"/>
      <c r="R83" s="7">
        <f t="shared" si="40"/>
        <v>9.9961992455031151E-4</v>
      </c>
      <c r="S83" s="2"/>
      <c r="T83" s="6">
        <v>100</v>
      </c>
      <c r="U83" s="2"/>
      <c r="V83" s="7">
        <f t="shared" si="41"/>
        <v>9.2422777334875245E-4</v>
      </c>
      <c r="W83" s="2"/>
      <c r="X83" s="6">
        <f t="shared" si="42"/>
        <v>20.930000000000007</v>
      </c>
      <c r="Y83" s="2"/>
      <c r="Z83" s="7">
        <f t="shared" si="43"/>
        <v>0.20930000000000007</v>
      </c>
    </row>
    <row r="84" spans="1:26" s="26" customFormat="1" outlineLevel="1" collapsed="1" x14ac:dyDescent="0.25">
      <c r="A84" s="25"/>
      <c r="B84" s="13" t="str">
        <f>CONCATENATE("     ","General                                           ")</f>
        <v xml:space="preserve">     General                                           </v>
      </c>
      <c r="C84" s="13"/>
      <c r="D84" s="1">
        <f>SUM(OSRRefD22_8x_0)</f>
        <v>0</v>
      </c>
      <c r="E84" s="1"/>
      <c r="F84" s="5">
        <f t="shared" si="36"/>
        <v>0</v>
      </c>
      <c r="G84" s="1"/>
      <c r="H84" s="1">
        <f>SUM(OSRRefH22_8x_0)</f>
        <v>0</v>
      </c>
      <c r="I84" s="1"/>
      <c r="J84" s="5">
        <f t="shared" si="37"/>
        <v>0</v>
      </c>
      <c r="K84" s="1"/>
      <c r="L84" s="1">
        <f t="shared" si="38"/>
        <v>0</v>
      </c>
      <c r="M84" s="1"/>
      <c r="N84" s="5">
        <f t="shared" si="39"/>
        <v>0</v>
      </c>
      <c r="O84" s="13"/>
      <c r="P84" s="1">
        <f>SUM(OSRRefP22_8x_0)</f>
        <v>0</v>
      </c>
      <c r="Q84" s="1"/>
      <c r="R84" s="5">
        <f t="shared" si="40"/>
        <v>0</v>
      </c>
      <c r="S84" s="1"/>
      <c r="T84" s="1">
        <f>SUM(OSRRefT22_8x_0)</f>
        <v>120</v>
      </c>
      <c r="U84" s="1"/>
      <c r="V84" s="5">
        <f t="shared" si="41"/>
        <v>1.1090733280185029E-3</v>
      </c>
      <c r="W84" s="1"/>
      <c r="X84" s="1">
        <f t="shared" si="42"/>
        <v>-120</v>
      </c>
      <c r="Y84" s="1"/>
      <c r="Z84" s="5">
        <f t="shared" si="43"/>
        <v>-1</v>
      </c>
    </row>
    <row r="85" spans="1:26" s="24" customFormat="1" hidden="1" outlineLevel="2" x14ac:dyDescent="0.25">
      <c r="A85" s="27"/>
      <c r="B85" s="11" t="str">
        <f>CONCATENATE("          ", "6279", " - ", "GENERAL EXPENSE")</f>
        <v xml:space="preserve">          6279 - GENERAL EXPENSE</v>
      </c>
      <c r="C85" s="11"/>
      <c r="D85" s="6"/>
      <c r="E85" s="2"/>
      <c r="F85" s="7">
        <f t="shared" si="36"/>
        <v>0</v>
      </c>
      <c r="G85" s="2"/>
      <c r="H85" s="6">
        <v>0</v>
      </c>
      <c r="I85" s="2"/>
      <c r="J85" s="7">
        <f t="shared" si="37"/>
        <v>0</v>
      </c>
      <c r="K85" s="2"/>
      <c r="L85" s="6">
        <f t="shared" si="38"/>
        <v>0</v>
      </c>
      <c r="M85" s="2"/>
      <c r="N85" s="7">
        <f t="shared" si="39"/>
        <v>0</v>
      </c>
      <c r="O85" s="11"/>
      <c r="P85" s="6"/>
      <c r="Q85" s="2"/>
      <c r="R85" s="7">
        <f t="shared" si="40"/>
        <v>0</v>
      </c>
      <c r="S85" s="2"/>
      <c r="T85" s="6">
        <v>120</v>
      </c>
      <c r="U85" s="2"/>
      <c r="V85" s="7">
        <f t="shared" si="41"/>
        <v>1.1090733280185029E-3</v>
      </c>
      <c r="W85" s="2"/>
      <c r="X85" s="6">
        <f t="shared" si="42"/>
        <v>-120</v>
      </c>
      <c r="Y85" s="2"/>
      <c r="Z85" s="7">
        <f t="shared" si="43"/>
        <v>-1</v>
      </c>
    </row>
    <row r="86" spans="1:26" s="26" customFormat="1" outlineLevel="1" collapsed="1" x14ac:dyDescent="0.25">
      <c r="A86" s="25"/>
      <c r="B86" s="13" t="str">
        <f>CONCATENATE("     ","Insurance                                         ")</f>
        <v xml:space="preserve">     Insurance                                         </v>
      </c>
      <c r="C86" s="13"/>
      <c r="D86" s="1">
        <f>SUM(OSRRefD22_9x_0)</f>
        <v>161.18</v>
      </c>
      <c r="E86" s="1"/>
      <c r="F86" s="5">
        <f t="shared" si="36"/>
        <v>2.3193425948749694E-3</v>
      </c>
      <c r="G86" s="1"/>
      <c r="H86" s="1">
        <f>SUM(OSRRefH22_9x_0)</f>
        <v>155</v>
      </c>
      <c r="I86" s="1"/>
      <c r="J86" s="5">
        <f t="shared" si="37"/>
        <v>3.0343951248034419E-3</v>
      </c>
      <c r="K86" s="1"/>
      <c r="L86" s="1">
        <f t="shared" si="38"/>
        <v>6.1800000000000068</v>
      </c>
      <c r="M86" s="1"/>
      <c r="N86" s="5">
        <f t="shared" si="39"/>
        <v>3.9870967741935527E-2</v>
      </c>
      <c r="O86" s="13"/>
      <c r="P86" s="1">
        <f>SUM(OSRRefP22_9x_0)</f>
        <v>322.36</v>
      </c>
      <c r="Q86" s="1"/>
      <c r="R86" s="5">
        <f t="shared" si="40"/>
        <v>2.6646611996860858E-3</v>
      </c>
      <c r="S86" s="1"/>
      <c r="T86" s="1">
        <f>SUM(OSRRefT22_9x_0)</f>
        <v>310</v>
      </c>
      <c r="U86" s="1"/>
      <c r="V86" s="5">
        <f t="shared" si="41"/>
        <v>2.8651060973811323E-3</v>
      </c>
      <c r="W86" s="1"/>
      <c r="X86" s="1">
        <f t="shared" si="42"/>
        <v>12.360000000000014</v>
      </c>
      <c r="Y86" s="1"/>
      <c r="Z86" s="5">
        <f t="shared" si="43"/>
        <v>3.9870967741935527E-2</v>
      </c>
    </row>
    <row r="87" spans="1:26" s="24" customFormat="1" hidden="1" outlineLevel="2" x14ac:dyDescent="0.25">
      <c r="A87" s="27"/>
      <c r="B87" s="11" t="str">
        <f>CONCATENATE("          ", "6314", " - ", "LIABILITY INSURANCE")</f>
        <v xml:space="preserve">          6314 - LIABILITY INSURANCE</v>
      </c>
      <c r="C87" s="11"/>
      <c r="D87" s="6">
        <v>161.18</v>
      </c>
      <c r="E87" s="2"/>
      <c r="F87" s="7">
        <f t="shared" si="36"/>
        <v>2.3193425948749694E-3</v>
      </c>
      <c r="G87" s="2"/>
      <c r="H87" s="6">
        <v>155</v>
      </c>
      <c r="I87" s="2"/>
      <c r="J87" s="7">
        <f t="shared" si="37"/>
        <v>3.0343951248034419E-3</v>
      </c>
      <c r="K87" s="2"/>
      <c r="L87" s="6">
        <f t="shared" si="38"/>
        <v>6.1800000000000068</v>
      </c>
      <c r="M87" s="2"/>
      <c r="N87" s="7">
        <f t="shared" si="39"/>
        <v>3.9870967741935527E-2</v>
      </c>
      <c r="O87" s="11"/>
      <c r="P87" s="6">
        <v>322.36</v>
      </c>
      <c r="Q87" s="2"/>
      <c r="R87" s="7">
        <f t="shared" si="40"/>
        <v>2.6646611996860858E-3</v>
      </c>
      <c r="S87" s="2"/>
      <c r="T87" s="6">
        <v>310</v>
      </c>
      <c r="U87" s="2"/>
      <c r="V87" s="7">
        <f t="shared" si="41"/>
        <v>2.8651060973811323E-3</v>
      </c>
      <c r="W87" s="2"/>
      <c r="X87" s="6">
        <f t="shared" si="42"/>
        <v>12.360000000000014</v>
      </c>
      <c r="Y87" s="2"/>
      <c r="Z87" s="7">
        <f t="shared" si="43"/>
        <v>3.9870967741935527E-2</v>
      </c>
    </row>
    <row r="88" spans="1:26" s="26" customFormat="1" outlineLevel="1" collapsed="1" x14ac:dyDescent="0.25">
      <c r="A88" s="25"/>
      <c r="B88" s="13" t="str">
        <f>CONCATENATE("     ","Inventory Adjustment                              ")</f>
        <v xml:space="preserve">     Inventory Adjustment                              </v>
      </c>
      <c r="C88" s="13"/>
      <c r="D88" s="1">
        <f>SUM(OSRRefD22_10x_0)</f>
        <v>300</v>
      </c>
      <c r="E88" s="1"/>
      <c r="F88" s="5">
        <f t="shared" si="36"/>
        <v>4.3169300065919519E-3</v>
      </c>
      <c r="G88" s="1"/>
      <c r="H88" s="1">
        <f>SUM(OSRRefH22_10x_0)</f>
        <v>300</v>
      </c>
      <c r="I88" s="1"/>
      <c r="J88" s="5">
        <f t="shared" si="37"/>
        <v>5.8730228222002101E-3</v>
      </c>
      <c r="K88" s="1"/>
      <c r="L88" s="1">
        <f t="shared" si="38"/>
        <v>0</v>
      </c>
      <c r="M88" s="1"/>
      <c r="N88" s="5">
        <f t="shared" si="39"/>
        <v>0</v>
      </c>
      <c r="O88" s="13"/>
      <c r="P88" s="1">
        <f>SUM(OSRRefP22_10x_0)</f>
        <v>600</v>
      </c>
      <c r="Q88" s="1"/>
      <c r="R88" s="5">
        <f t="shared" si="40"/>
        <v>4.9596622403885451E-3</v>
      </c>
      <c r="S88" s="1"/>
      <c r="T88" s="1">
        <f>SUM(OSRRefT22_10x_0)</f>
        <v>600</v>
      </c>
      <c r="U88" s="1"/>
      <c r="V88" s="5">
        <f t="shared" si="41"/>
        <v>5.5453666400925149E-3</v>
      </c>
      <c r="W88" s="1"/>
      <c r="X88" s="1">
        <f t="shared" si="42"/>
        <v>0</v>
      </c>
      <c r="Y88" s="1"/>
      <c r="Z88" s="5">
        <f t="shared" si="43"/>
        <v>0</v>
      </c>
    </row>
    <row r="89" spans="1:26" s="24" customFormat="1" hidden="1" outlineLevel="2" x14ac:dyDescent="0.25">
      <c r="A89" s="27"/>
      <c r="B89" s="11" t="str">
        <f>CONCATENATE("          ", "6408", " - ", "INVENTORY ADJUSTMENT")</f>
        <v xml:space="preserve">          6408 - INVENTORY ADJUSTMENT</v>
      </c>
      <c r="C89" s="11"/>
      <c r="D89" s="6">
        <v>300</v>
      </c>
      <c r="E89" s="2"/>
      <c r="F89" s="7">
        <f t="shared" si="36"/>
        <v>4.3169300065919519E-3</v>
      </c>
      <c r="G89" s="2"/>
      <c r="H89" s="6">
        <v>300</v>
      </c>
      <c r="I89" s="2"/>
      <c r="J89" s="7">
        <f t="shared" si="37"/>
        <v>5.8730228222002101E-3</v>
      </c>
      <c r="K89" s="2"/>
      <c r="L89" s="6">
        <f t="shared" si="38"/>
        <v>0</v>
      </c>
      <c r="M89" s="2"/>
      <c r="N89" s="7">
        <f t="shared" si="39"/>
        <v>0</v>
      </c>
      <c r="O89" s="11"/>
      <c r="P89" s="6">
        <v>600</v>
      </c>
      <c r="Q89" s="2"/>
      <c r="R89" s="7">
        <f t="shared" si="40"/>
        <v>4.9596622403885451E-3</v>
      </c>
      <c r="S89" s="2"/>
      <c r="T89" s="6">
        <v>600</v>
      </c>
      <c r="U89" s="2"/>
      <c r="V89" s="7">
        <f t="shared" si="41"/>
        <v>5.5453666400925149E-3</v>
      </c>
      <c r="W89" s="2"/>
      <c r="X89" s="6">
        <f t="shared" si="42"/>
        <v>0</v>
      </c>
      <c r="Y89" s="2"/>
      <c r="Z89" s="7">
        <f t="shared" si="43"/>
        <v>0</v>
      </c>
    </row>
    <row r="90" spans="1:26" s="26" customFormat="1" outlineLevel="1" collapsed="1" x14ac:dyDescent="0.25">
      <c r="A90" s="25"/>
      <c r="B90" s="13" t="str">
        <f>CONCATENATE("     ","Professional Services                             ")</f>
        <v xml:space="preserve">     Professional Services                             </v>
      </c>
      <c r="C90" s="13"/>
      <c r="D90" s="1">
        <f>SUM(OSRRefD22_11x_0)</f>
        <v>0</v>
      </c>
      <c r="E90" s="1"/>
      <c r="F90" s="5">
        <f t="shared" si="36"/>
        <v>0</v>
      </c>
      <c r="G90" s="1"/>
      <c r="H90" s="1">
        <f>SUM(OSRRefH22_11x_0)</f>
        <v>0</v>
      </c>
      <c r="I90" s="1"/>
      <c r="J90" s="5">
        <f t="shared" si="37"/>
        <v>0</v>
      </c>
      <c r="K90" s="1"/>
      <c r="L90" s="1">
        <f t="shared" si="38"/>
        <v>0</v>
      </c>
      <c r="M90" s="1"/>
      <c r="N90" s="5">
        <f t="shared" si="39"/>
        <v>0</v>
      </c>
      <c r="O90" s="13"/>
      <c r="P90" s="1">
        <f>SUM(OSRRefP22_11x_0)</f>
        <v>750</v>
      </c>
      <c r="Q90" s="1"/>
      <c r="R90" s="5">
        <f t="shared" si="40"/>
        <v>6.1995778004856816E-3</v>
      </c>
      <c r="S90" s="1"/>
      <c r="T90" s="1">
        <f>SUM(OSRRefT22_11x_0)</f>
        <v>900</v>
      </c>
      <c r="U90" s="1"/>
      <c r="V90" s="5">
        <f t="shared" si="41"/>
        <v>8.3180499601387715E-3</v>
      </c>
      <c r="W90" s="1"/>
      <c r="X90" s="1">
        <f t="shared" si="42"/>
        <v>-150</v>
      </c>
      <c r="Y90" s="1"/>
      <c r="Z90" s="5">
        <f t="shared" si="43"/>
        <v>-0.16666666666666666</v>
      </c>
    </row>
    <row r="91" spans="1:26" s="24" customFormat="1" hidden="1" outlineLevel="2" x14ac:dyDescent="0.25">
      <c r="A91" s="27"/>
      <c r="B91" s="11" t="str">
        <f>CONCATENATE("          ", "6336", " - ", "PROFESSIONAL SERVICES")</f>
        <v xml:space="preserve">          6336 - PROFESSIONAL SERVICES</v>
      </c>
      <c r="C91" s="11"/>
      <c r="D91" s="6"/>
      <c r="E91" s="2"/>
      <c r="F91" s="7">
        <f t="shared" si="36"/>
        <v>0</v>
      </c>
      <c r="G91" s="2"/>
      <c r="H91" s="6">
        <v>0</v>
      </c>
      <c r="I91" s="2"/>
      <c r="J91" s="7">
        <f t="shared" si="37"/>
        <v>0</v>
      </c>
      <c r="K91" s="2"/>
      <c r="L91" s="6">
        <f t="shared" si="38"/>
        <v>0</v>
      </c>
      <c r="M91" s="2"/>
      <c r="N91" s="7">
        <f t="shared" si="39"/>
        <v>0</v>
      </c>
      <c r="O91" s="11"/>
      <c r="P91" s="6">
        <v>750</v>
      </c>
      <c r="Q91" s="2"/>
      <c r="R91" s="7">
        <f t="shared" si="40"/>
        <v>6.1995778004856816E-3</v>
      </c>
      <c r="S91" s="2"/>
      <c r="T91" s="6">
        <v>900</v>
      </c>
      <c r="U91" s="2"/>
      <c r="V91" s="7">
        <f t="shared" si="41"/>
        <v>8.3180499601387715E-3</v>
      </c>
      <c r="W91" s="2"/>
      <c r="X91" s="6">
        <f t="shared" si="42"/>
        <v>-150</v>
      </c>
      <c r="Y91" s="2"/>
      <c r="Z91" s="7">
        <f t="shared" si="43"/>
        <v>-0.16666666666666666</v>
      </c>
    </row>
    <row r="92" spans="1:26" s="26" customFormat="1" outlineLevel="1" collapsed="1" x14ac:dyDescent="0.25">
      <c r="A92" s="25"/>
      <c r="B92" s="13" t="str">
        <f>CONCATENATE("     ","Rent                                              ")</f>
        <v xml:space="preserve">     Rent                                              </v>
      </c>
      <c r="C92" s="13"/>
      <c r="D92" s="1">
        <f>SUM(OSRRefD22_12x_0)</f>
        <v>6900</v>
      </c>
      <c r="E92" s="1"/>
      <c r="F92" s="5">
        <f t="shared" si="36"/>
        <v>9.9289390151614892E-2</v>
      </c>
      <c r="G92" s="1"/>
      <c r="H92" s="1">
        <f>SUM(OSRRefH22_12x_0)</f>
        <v>7200</v>
      </c>
      <c r="I92" s="1"/>
      <c r="J92" s="5">
        <f t="shared" si="37"/>
        <v>0.14095254773280505</v>
      </c>
      <c r="K92" s="1"/>
      <c r="L92" s="1">
        <f t="shared" si="38"/>
        <v>-300</v>
      </c>
      <c r="M92" s="1"/>
      <c r="N92" s="5">
        <f t="shared" si="39"/>
        <v>-4.1666666666666664E-2</v>
      </c>
      <c r="O92" s="13"/>
      <c r="P92" s="1">
        <f>SUM(OSRRefP22_12x_0)</f>
        <v>13800</v>
      </c>
      <c r="Q92" s="1"/>
      <c r="R92" s="5">
        <f t="shared" si="40"/>
        <v>0.11407223152893654</v>
      </c>
      <c r="S92" s="1"/>
      <c r="T92" s="1">
        <f>SUM(OSRRefT22_12x_0)</f>
        <v>14400</v>
      </c>
      <c r="U92" s="1"/>
      <c r="V92" s="5">
        <f t="shared" si="41"/>
        <v>0.13308879936222034</v>
      </c>
      <c r="W92" s="1"/>
      <c r="X92" s="1">
        <f t="shared" si="42"/>
        <v>-600</v>
      </c>
      <c r="Y92" s="1"/>
      <c r="Z92" s="5">
        <f t="shared" si="43"/>
        <v>-4.1666666666666664E-2</v>
      </c>
    </row>
    <row r="93" spans="1:26" s="24" customFormat="1" hidden="1" outlineLevel="2" x14ac:dyDescent="0.25">
      <c r="A93" s="27"/>
      <c r="B93" s="11" t="str">
        <f>CONCATENATE("          ", "6273", " - ", "RENT")</f>
        <v xml:space="preserve">          6273 - RENT</v>
      </c>
      <c r="C93" s="11"/>
      <c r="D93" s="6">
        <v>6900</v>
      </c>
      <c r="E93" s="2"/>
      <c r="F93" s="7">
        <f t="shared" si="36"/>
        <v>9.9289390151614892E-2</v>
      </c>
      <c r="G93" s="2"/>
      <c r="H93" s="6">
        <v>7200</v>
      </c>
      <c r="I93" s="2"/>
      <c r="J93" s="7">
        <f t="shared" si="37"/>
        <v>0.14095254773280505</v>
      </c>
      <c r="K93" s="2"/>
      <c r="L93" s="6">
        <f t="shared" si="38"/>
        <v>-300</v>
      </c>
      <c r="M93" s="2"/>
      <c r="N93" s="7">
        <f t="shared" si="39"/>
        <v>-4.1666666666666664E-2</v>
      </c>
      <c r="O93" s="11"/>
      <c r="P93" s="6">
        <v>13800</v>
      </c>
      <c r="Q93" s="2"/>
      <c r="R93" s="7">
        <f t="shared" si="40"/>
        <v>0.11407223152893654</v>
      </c>
      <c r="S93" s="2"/>
      <c r="T93" s="6">
        <v>14400</v>
      </c>
      <c r="U93" s="2"/>
      <c r="V93" s="7">
        <f t="shared" si="41"/>
        <v>0.13308879936222034</v>
      </c>
      <c r="W93" s="2"/>
      <c r="X93" s="6">
        <f t="shared" si="42"/>
        <v>-600</v>
      </c>
      <c r="Y93" s="2"/>
      <c r="Z93" s="7">
        <f t="shared" si="43"/>
        <v>-4.1666666666666664E-2</v>
      </c>
    </row>
    <row r="94" spans="1:26" s="26" customFormat="1" outlineLevel="1" collapsed="1" x14ac:dyDescent="0.25">
      <c r="A94" s="25"/>
      <c r="B94" s="13" t="str">
        <f>CONCATENATE("     ","Repair and Maintenance                            ")</f>
        <v xml:space="preserve">     Repair and Maintenance                            </v>
      </c>
      <c r="C94" s="13"/>
      <c r="D94" s="1">
        <f>SUM(OSRRefD22_13x_0)</f>
        <v>0</v>
      </c>
      <c r="E94" s="1"/>
      <c r="F94" s="5">
        <f t="shared" si="36"/>
        <v>0</v>
      </c>
      <c r="G94" s="1"/>
      <c r="H94" s="1">
        <f>SUM(OSRRefH22_13x_0)</f>
        <v>250</v>
      </c>
      <c r="I94" s="1"/>
      <c r="J94" s="5">
        <f t="shared" si="37"/>
        <v>4.8941856851668422E-3</v>
      </c>
      <c r="K94" s="1"/>
      <c r="L94" s="1">
        <f t="shared" si="38"/>
        <v>-250</v>
      </c>
      <c r="M94" s="1"/>
      <c r="N94" s="5">
        <f t="shared" si="39"/>
        <v>-1</v>
      </c>
      <c r="O94" s="13"/>
      <c r="P94" s="1">
        <f>SUM(OSRRefP22_13x_0)</f>
        <v>0</v>
      </c>
      <c r="Q94" s="1"/>
      <c r="R94" s="5">
        <f t="shared" si="40"/>
        <v>0</v>
      </c>
      <c r="S94" s="1"/>
      <c r="T94" s="1">
        <f>SUM(OSRRefT22_13x_0)</f>
        <v>350</v>
      </c>
      <c r="U94" s="1"/>
      <c r="V94" s="5">
        <f t="shared" si="41"/>
        <v>3.2347972067206334E-3</v>
      </c>
      <c r="W94" s="1"/>
      <c r="X94" s="1">
        <f t="shared" si="42"/>
        <v>-350</v>
      </c>
      <c r="Y94" s="1"/>
      <c r="Z94" s="5">
        <f t="shared" si="43"/>
        <v>-1</v>
      </c>
    </row>
    <row r="95" spans="1:26" s="24" customFormat="1" hidden="1" outlineLevel="2" x14ac:dyDescent="0.25">
      <c r="A95" s="27"/>
      <c r="B95" s="11" t="str">
        <f>CONCATENATE("          ", "6373", " - ", "MAINTENANCE CONTRACTS")</f>
        <v xml:space="preserve">          6373 - MAINTENANCE CONTRACTS</v>
      </c>
      <c r="C95" s="11"/>
      <c r="D95" s="6"/>
      <c r="E95" s="2"/>
      <c r="F95" s="7">
        <f t="shared" si="36"/>
        <v>0</v>
      </c>
      <c r="G95" s="2"/>
      <c r="H95" s="6">
        <v>75</v>
      </c>
      <c r="I95" s="2"/>
      <c r="J95" s="7">
        <f t="shared" si="37"/>
        <v>1.4682557055500525E-3</v>
      </c>
      <c r="K95" s="2"/>
      <c r="L95" s="6">
        <f t="shared" si="38"/>
        <v>-75</v>
      </c>
      <c r="M95" s="2"/>
      <c r="N95" s="7">
        <f t="shared" si="39"/>
        <v>-1</v>
      </c>
      <c r="O95" s="11"/>
      <c r="P95" s="6"/>
      <c r="Q95" s="2"/>
      <c r="R95" s="7">
        <f t="shared" si="40"/>
        <v>0</v>
      </c>
      <c r="S95" s="2"/>
      <c r="T95" s="6">
        <v>75</v>
      </c>
      <c r="U95" s="2"/>
      <c r="V95" s="7">
        <f t="shared" si="41"/>
        <v>6.9317083001156437E-4</v>
      </c>
      <c r="W95" s="2"/>
      <c r="X95" s="6">
        <f t="shared" si="42"/>
        <v>-75</v>
      </c>
      <c r="Y95" s="2"/>
      <c r="Z95" s="7">
        <f t="shared" si="43"/>
        <v>-1</v>
      </c>
    </row>
    <row r="96" spans="1:26" s="24" customFormat="1" hidden="1" outlineLevel="2" x14ac:dyDescent="0.25">
      <c r="A96" s="27"/>
      <c r="B96" s="11" t="str">
        <f>CONCATENATE("          ", "6375", " - ", "OUTSIDE REPAIRS &amp; MAINTENANCE")</f>
        <v xml:space="preserve">          6375 - OUTSIDE REPAIRS &amp; MAINTENANCE</v>
      </c>
      <c r="C96" s="11"/>
      <c r="D96" s="6"/>
      <c r="E96" s="2"/>
      <c r="F96" s="7">
        <f t="shared" si="36"/>
        <v>0</v>
      </c>
      <c r="G96" s="2"/>
      <c r="H96" s="6">
        <v>175</v>
      </c>
      <c r="I96" s="2"/>
      <c r="J96" s="7">
        <f t="shared" si="37"/>
        <v>3.4259299796167895E-3</v>
      </c>
      <c r="K96" s="2"/>
      <c r="L96" s="6">
        <f t="shared" si="38"/>
        <v>-175</v>
      </c>
      <c r="M96" s="2"/>
      <c r="N96" s="7">
        <f t="shared" si="39"/>
        <v>-1</v>
      </c>
      <c r="O96" s="11"/>
      <c r="P96" s="6"/>
      <c r="Q96" s="2"/>
      <c r="R96" s="7">
        <f t="shared" si="40"/>
        <v>0</v>
      </c>
      <c r="S96" s="2"/>
      <c r="T96" s="6">
        <v>275</v>
      </c>
      <c r="U96" s="2"/>
      <c r="V96" s="7">
        <f t="shared" si="41"/>
        <v>2.5416263767090693E-3</v>
      </c>
      <c r="W96" s="2"/>
      <c r="X96" s="6">
        <f t="shared" si="42"/>
        <v>-275</v>
      </c>
      <c r="Y96" s="2"/>
      <c r="Z96" s="7">
        <f t="shared" si="43"/>
        <v>-1</v>
      </c>
    </row>
    <row r="97" spans="1:26" s="26" customFormat="1" outlineLevel="1" collapsed="1" x14ac:dyDescent="0.25">
      <c r="A97" s="25"/>
      <c r="B97" s="13" t="str">
        <f>CONCATENATE("     ","Services                                          ")</f>
        <v xml:space="preserve">     Services                                          </v>
      </c>
      <c r="C97" s="13"/>
      <c r="D97" s="1">
        <f>SUM(OSRRefD22_14x_0)</f>
        <v>241.37</v>
      </c>
      <c r="E97" s="1"/>
      <c r="F97" s="5">
        <f t="shared" ref="F97:F100" si="44">IF(D$12=0,0,D97/D$12)</f>
        <v>3.4732579856369982E-3</v>
      </c>
      <c r="G97" s="1"/>
      <c r="H97" s="1">
        <f>SUM(OSRRefH22_14x_0)</f>
        <v>232.5</v>
      </c>
      <c r="I97" s="1"/>
      <c r="J97" s="5">
        <f t="shared" ref="J97:J100" si="45">IF(H$12=0,0,H97/H$12)</f>
        <v>4.5515926872051627E-3</v>
      </c>
      <c r="K97" s="1"/>
      <c r="L97" s="1">
        <f t="shared" ref="L97:L100" si="46">+D97-H97</f>
        <v>8.8700000000000045</v>
      </c>
      <c r="M97" s="1"/>
      <c r="N97" s="5">
        <f t="shared" ref="N97:N100" si="47">IF(H97=0,0,L97/H97)</f>
        <v>3.8150537634408621E-2</v>
      </c>
      <c r="O97" s="13"/>
      <c r="P97" s="1">
        <f>SUM(OSRRefP22_14x_0)</f>
        <v>482.74</v>
      </c>
      <c r="Q97" s="1"/>
      <c r="R97" s="5">
        <f t="shared" ref="R97:R100" si="48">IF(P$12=0,0,P97/P$12)</f>
        <v>3.9903789165419441E-3</v>
      </c>
      <c r="S97" s="1"/>
      <c r="T97" s="1">
        <f>SUM(OSRRefT22_14x_0)</f>
        <v>465</v>
      </c>
      <c r="U97" s="1"/>
      <c r="V97" s="5">
        <f t="shared" ref="V97:V100" si="49">IF(T$12=0,0,T97/T$12)</f>
        <v>4.2976591460716987E-3</v>
      </c>
      <c r="W97" s="1"/>
      <c r="X97" s="1">
        <f t="shared" ref="X97:X100" si="50">+P97-T97</f>
        <v>17.740000000000009</v>
      </c>
      <c r="Y97" s="1"/>
      <c r="Z97" s="5">
        <f t="shared" ref="Z97:Z100" si="51">IF(T97=0,0,X97/T97)</f>
        <v>3.8150537634408621E-2</v>
      </c>
    </row>
    <row r="98" spans="1:26" s="24" customFormat="1" hidden="1" outlineLevel="2" x14ac:dyDescent="0.25">
      <c r="A98" s="27"/>
      <c r="B98" s="11" t="str">
        <f>CONCATENATE("          ", "6283", " - ", "PLANT SERVICE")</f>
        <v xml:space="preserve">          6283 - PLANT SERVICE</v>
      </c>
      <c r="C98" s="11"/>
      <c r="D98" s="6">
        <v>59.55</v>
      </c>
      <c r="E98" s="2"/>
      <c r="F98" s="7">
        <f t="shared" si="44"/>
        <v>8.5691060630850243E-4</v>
      </c>
      <c r="G98" s="2"/>
      <c r="H98" s="6">
        <v>60</v>
      </c>
      <c r="I98" s="2"/>
      <c r="J98" s="7">
        <f t="shared" si="45"/>
        <v>1.1746045644400421E-3</v>
      </c>
      <c r="K98" s="2"/>
      <c r="L98" s="6">
        <f t="shared" si="46"/>
        <v>-0.45000000000000284</v>
      </c>
      <c r="M98" s="2"/>
      <c r="N98" s="7">
        <f t="shared" si="47"/>
        <v>-7.5000000000000474E-3</v>
      </c>
      <c r="O98" s="11"/>
      <c r="P98" s="6">
        <v>119.1</v>
      </c>
      <c r="Q98" s="2"/>
      <c r="R98" s="7">
        <f t="shared" si="48"/>
        <v>9.8449295471712633E-4</v>
      </c>
      <c r="S98" s="2"/>
      <c r="T98" s="6">
        <v>120</v>
      </c>
      <c r="U98" s="2"/>
      <c r="V98" s="7">
        <f t="shared" si="49"/>
        <v>1.1090733280185029E-3</v>
      </c>
      <c r="W98" s="2"/>
      <c r="X98" s="6">
        <f t="shared" si="50"/>
        <v>-0.90000000000000568</v>
      </c>
      <c r="Y98" s="2"/>
      <c r="Z98" s="7">
        <f t="shared" si="51"/>
        <v>-7.5000000000000474E-3</v>
      </c>
    </row>
    <row r="99" spans="1:26" s="24" customFormat="1" hidden="1" outlineLevel="2" x14ac:dyDescent="0.25">
      <c r="A99" s="27"/>
      <c r="B99" s="11" t="str">
        <f>CONCATENATE("          ", "6284", " - ", "TRASH REMOVAL EXPENSE")</f>
        <v xml:space="preserve">          6284 - TRASH REMOVAL EXPENSE</v>
      </c>
      <c r="C99" s="11"/>
      <c r="D99" s="6">
        <v>134.82</v>
      </c>
      <c r="E99" s="2"/>
      <c r="F99" s="7">
        <f t="shared" si="44"/>
        <v>1.9400283449624231E-3</v>
      </c>
      <c r="G99" s="2"/>
      <c r="H99" s="6">
        <v>62.5</v>
      </c>
      <c r="I99" s="2"/>
      <c r="J99" s="7">
        <f t="shared" si="45"/>
        <v>1.2235464212917106E-3</v>
      </c>
      <c r="K99" s="2"/>
      <c r="L99" s="6">
        <f t="shared" si="46"/>
        <v>72.319999999999993</v>
      </c>
      <c r="M99" s="2"/>
      <c r="N99" s="7">
        <f t="shared" si="47"/>
        <v>1.1571199999999999</v>
      </c>
      <c r="O99" s="11"/>
      <c r="P99" s="6">
        <v>269.64</v>
      </c>
      <c r="Q99" s="2"/>
      <c r="R99" s="7">
        <f t="shared" si="48"/>
        <v>2.2288722108306123E-3</v>
      </c>
      <c r="S99" s="2"/>
      <c r="T99" s="6">
        <v>125</v>
      </c>
      <c r="U99" s="2"/>
      <c r="V99" s="7">
        <f t="shared" si="49"/>
        <v>1.1552847166859405E-3</v>
      </c>
      <c r="W99" s="2"/>
      <c r="X99" s="6">
        <f t="shared" si="50"/>
        <v>144.63999999999999</v>
      </c>
      <c r="Y99" s="2"/>
      <c r="Z99" s="7">
        <f t="shared" si="51"/>
        <v>1.1571199999999999</v>
      </c>
    </row>
    <row r="100" spans="1:26" s="24" customFormat="1" hidden="1" outlineLevel="2" x14ac:dyDescent="0.25">
      <c r="A100" s="27"/>
      <c r="B100" s="11" t="str">
        <f>CONCATENATE("          ", "6285", " - ", "JANITORIAL SERVICES")</f>
        <v xml:space="preserve">          6285 - JANITORIAL SERVICES</v>
      </c>
      <c r="C100" s="11"/>
      <c r="D100" s="6">
        <v>47</v>
      </c>
      <c r="E100" s="2"/>
      <c r="F100" s="7">
        <f t="shared" si="44"/>
        <v>6.7631903436607247E-4</v>
      </c>
      <c r="G100" s="2"/>
      <c r="H100" s="6">
        <v>110</v>
      </c>
      <c r="I100" s="2"/>
      <c r="J100" s="7">
        <f t="shared" si="45"/>
        <v>2.1534417014734105E-3</v>
      </c>
      <c r="K100" s="2"/>
      <c r="L100" s="6">
        <f t="shared" si="46"/>
        <v>-63</v>
      </c>
      <c r="M100" s="2"/>
      <c r="N100" s="7">
        <f t="shared" si="47"/>
        <v>-0.57272727272727275</v>
      </c>
      <c r="O100" s="11"/>
      <c r="P100" s="6">
        <v>94</v>
      </c>
      <c r="Q100" s="2"/>
      <c r="R100" s="7">
        <f t="shared" si="48"/>
        <v>7.7701375099420542E-4</v>
      </c>
      <c r="S100" s="2"/>
      <c r="T100" s="6">
        <v>220</v>
      </c>
      <c r="U100" s="2"/>
      <c r="V100" s="7">
        <f t="shared" si="49"/>
        <v>2.0333011013672552E-3</v>
      </c>
      <c r="W100" s="2"/>
      <c r="X100" s="6">
        <f t="shared" si="50"/>
        <v>-126</v>
      </c>
      <c r="Y100" s="2"/>
      <c r="Z100" s="7">
        <f t="shared" si="51"/>
        <v>-0.57272727272727275</v>
      </c>
    </row>
    <row r="101" spans="1:26" s="26" customFormat="1" outlineLevel="1" collapsed="1" x14ac:dyDescent="0.25">
      <c r="A101" s="25"/>
      <c r="B101" s="13" t="str">
        <f>CONCATENATE("     ","Subscriptions &amp; Dues                              ")</f>
        <v xml:space="preserve">     Subscriptions &amp; Dues                              </v>
      </c>
      <c r="C101" s="13"/>
      <c r="D101" s="1">
        <f>SUM(OSRRefD22_15x_0)</f>
        <v>0</v>
      </c>
      <c r="E101" s="1"/>
      <c r="F101" s="5">
        <f t="shared" ref="F101:F103" si="52">IF(D$12=0,0,D101/D$12)</f>
        <v>0</v>
      </c>
      <c r="G101" s="1"/>
      <c r="H101" s="1">
        <f>SUM(OSRRefH22_15x_0)</f>
        <v>215</v>
      </c>
      <c r="I101" s="1"/>
      <c r="J101" s="5">
        <f t="shared" ref="J101:J103" si="53">IF(H$12=0,0,H101/H$12)</f>
        <v>4.2089996892434841E-3</v>
      </c>
      <c r="K101" s="1"/>
      <c r="L101" s="1">
        <f t="shared" ref="L101:L103" si="54">+D101-H101</f>
        <v>-215</v>
      </c>
      <c r="M101" s="1"/>
      <c r="N101" s="5">
        <f t="shared" ref="N101:N103" si="55">IF(H101=0,0,L101/H101)</f>
        <v>-1</v>
      </c>
      <c r="O101" s="13"/>
      <c r="P101" s="1">
        <f>SUM(OSRRefP22_15x_0)</f>
        <v>13.42</v>
      </c>
      <c r="Q101" s="1"/>
      <c r="R101" s="5">
        <f t="shared" ref="R101:R103" si="56">IF(P$12=0,0,P101/P$12)</f>
        <v>1.1093111211002381E-4</v>
      </c>
      <c r="S101" s="1"/>
      <c r="T101" s="1">
        <f>SUM(OSRRefT22_15x_0)</f>
        <v>900</v>
      </c>
      <c r="U101" s="1"/>
      <c r="V101" s="5">
        <f t="shared" ref="V101:V103" si="57">IF(T$12=0,0,T101/T$12)</f>
        <v>8.3180499601387715E-3</v>
      </c>
      <c r="W101" s="1"/>
      <c r="X101" s="1">
        <f t="shared" ref="X101:X103" si="58">+P101-T101</f>
        <v>-886.58</v>
      </c>
      <c r="Y101" s="1"/>
      <c r="Z101" s="5">
        <f t="shared" ref="Z101:Z103" si="59">IF(T101=0,0,X101/T101)</f>
        <v>-0.9850888888888889</v>
      </c>
    </row>
    <row r="102" spans="1:26" s="24" customFormat="1" hidden="1" outlineLevel="2" x14ac:dyDescent="0.25">
      <c r="A102" s="27"/>
      <c r="B102" s="11" t="str">
        <f>CONCATENATE("          ", "6258", " - ", "MEMBERSHIP DUES")</f>
        <v xml:space="preserve">          6258 - MEMBERSHIP DUES</v>
      </c>
      <c r="C102" s="11"/>
      <c r="D102" s="6"/>
      <c r="E102" s="2"/>
      <c r="F102" s="7">
        <f t="shared" si="52"/>
        <v>0</v>
      </c>
      <c r="G102" s="2"/>
      <c r="H102" s="6">
        <v>0</v>
      </c>
      <c r="I102" s="2"/>
      <c r="J102" s="7">
        <f t="shared" si="53"/>
        <v>0</v>
      </c>
      <c r="K102" s="2"/>
      <c r="L102" s="6">
        <f t="shared" si="54"/>
        <v>0</v>
      </c>
      <c r="M102" s="2"/>
      <c r="N102" s="7">
        <f t="shared" si="55"/>
        <v>0</v>
      </c>
      <c r="O102" s="11"/>
      <c r="P102" s="6"/>
      <c r="Q102" s="2"/>
      <c r="R102" s="7">
        <f t="shared" si="56"/>
        <v>0</v>
      </c>
      <c r="S102" s="2"/>
      <c r="T102" s="6">
        <v>395</v>
      </c>
      <c r="U102" s="2"/>
      <c r="V102" s="7">
        <f t="shared" si="57"/>
        <v>3.6506997047275722E-3</v>
      </c>
      <c r="W102" s="2"/>
      <c r="X102" s="6">
        <f t="shared" si="58"/>
        <v>-395</v>
      </c>
      <c r="Y102" s="2"/>
      <c r="Z102" s="7">
        <f t="shared" si="59"/>
        <v>-1</v>
      </c>
    </row>
    <row r="103" spans="1:26" s="24" customFormat="1" hidden="1" outlineLevel="2" x14ac:dyDescent="0.25">
      <c r="A103" s="27"/>
      <c r="B103" s="11" t="str">
        <f>CONCATENATE("          ", "6275", " - ", "SUBSCRIPTIONS")</f>
        <v xml:space="preserve">          6275 - SUBSCRIPTIONS</v>
      </c>
      <c r="C103" s="11"/>
      <c r="D103" s="6"/>
      <c r="E103" s="2"/>
      <c r="F103" s="7">
        <f t="shared" si="52"/>
        <v>0</v>
      </c>
      <c r="G103" s="2"/>
      <c r="H103" s="6">
        <v>215</v>
      </c>
      <c r="I103" s="2"/>
      <c r="J103" s="7">
        <f t="shared" si="53"/>
        <v>4.2089996892434841E-3</v>
      </c>
      <c r="K103" s="2"/>
      <c r="L103" s="6">
        <f t="shared" si="54"/>
        <v>-215</v>
      </c>
      <c r="M103" s="2"/>
      <c r="N103" s="7">
        <f t="shared" si="55"/>
        <v>-1</v>
      </c>
      <c r="O103" s="11"/>
      <c r="P103" s="6">
        <v>13.42</v>
      </c>
      <c r="Q103" s="2"/>
      <c r="R103" s="7">
        <f t="shared" si="56"/>
        <v>1.1093111211002381E-4</v>
      </c>
      <c r="S103" s="2"/>
      <c r="T103" s="6">
        <v>505</v>
      </c>
      <c r="U103" s="2"/>
      <c r="V103" s="7">
        <f t="shared" si="57"/>
        <v>4.6673502554111998E-3</v>
      </c>
      <c r="W103" s="2"/>
      <c r="X103" s="6">
        <f t="shared" si="58"/>
        <v>-491.58</v>
      </c>
      <c r="Y103" s="2"/>
      <c r="Z103" s="7">
        <f t="shared" si="59"/>
        <v>-0.9734257425742574</v>
      </c>
    </row>
    <row r="104" spans="1:26" s="26" customFormat="1" outlineLevel="1" collapsed="1" x14ac:dyDescent="0.25">
      <c r="A104" s="25"/>
      <c r="B104" s="13" t="str">
        <f>CONCATENATE("     ","Supplies                                          ")</f>
        <v xml:space="preserve">     Supplies                                          </v>
      </c>
      <c r="C104" s="13"/>
      <c r="D104" s="1">
        <f>SUM(OSRRefD22_16x_0)</f>
        <v>47.12</v>
      </c>
      <c r="E104" s="1"/>
      <c r="F104" s="5">
        <f t="shared" ref="F104:F109" si="60">IF(D$12=0,0,D104/D$12)</f>
        <v>6.7804580636870928E-4</v>
      </c>
      <c r="G104" s="1"/>
      <c r="H104" s="1">
        <f>SUM(OSRRefH22_16x_0)</f>
        <v>235</v>
      </c>
      <c r="I104" s="1"/>
      <c r="J104" s="5">
        <f t="shared" ref="J104:J109" si="61">IF(H$12=0,0,H104/H$12)</f>
        <v>4.6005345440568316E-3</v>
      </c>
      <c r="K104" s="1"/>
      <c r="L104" s="1">
        <f t="shared" ref="L104:L109" si="62">+D104-H104</f>
        <v>-187.88</v>
      </c>
      <c r="M104" s="1"/>
      <c r="N104" s="5">
        <f t="shared" ref="N104:N109" si="63">IF(H104=0,0,L104/H104)</f>
        <v>-0.79948936170212759</v>
      </c>
      <c r="O104" s="13"/>
      <c r="P104" s="1">
        <f>SUM(OSRRefP22_16x_0)</f>
        <v>711.85</v>
      </c>
      <c r="Q104" s="1"/>
      <c r="R104" s="5">
        <f t="shared" ref="R104:R109" si="64">IF(P$12=0,0,P104/P$12)</f>
        <v>5.8842259430343102E-3</v>
      </c>
      <c r="S104" s="1"/>
      <c r="T104" s="1">
        <f>SUM(OSRRefT22_16x_0)</f>
        <v>470</v>
      </c>
      <c r="U104" s="1"/>
      <c r="V104" s="5">
        <f t="shared" ref="V104:V109" si="65">IF(T$12=0,0,T104/T$12)</f>
        <v>4.3438705347391363E-3</v>
      </c>
      <c r="W104" s="1"/>
      <c r="X104" s="1">
        <f t="shared" ref="X104:X109" si="66">+P104-T104</f>
        <v>241.85000000000002</v>
      </c>
      <c r="Y104" s="1"/>
      <c r="Z104" s="5">
        <f t="shared" ref="Z104:Z109" si="67">IF(T104=0,0,X104/T104)</f>
        <v>0.51457446808510643</v>
      </c>
    </row>
    <row r="105" spans="1:26" s="24" customFormat="1" hidden="1" outlineLevel="2" x14ac:dyDescent="0.25">
      <c r="A105" s="27"/>
      <c r="B105" s="11" t="str">
        <f>CONCATENATE("          ", "6234", " - ", "EXPENDABLE SUPPLIES &amp; EQUIPMEN")</f>
        <v xml:space="preserve">          6234 - EXPENDABLE SUPPLIES &amp; EQUIPMEN</v>
      </c>
      <c r="C105" s="11"/>
      <c r="D105" s="6"/>
      <c r="E105" s="2"/>
      <c r="F105" s="7">
        <f t="shared" si="60"/>
        <v>0</v>
      </c>
      <c r="G105" s="2"/>
      <c r="H105" s="6">
        <v>100</v>
      </c>
      <c r="I105" s="2"/>
      <c r="J105" s="7">
        <f t="shared" si="61"/>
        <v>1.9576742740667367E-3</v>
      </c>
      <c r="K105" s="2"/>
      <c r="L105" s="6">
        <f t="shared" si="62"/>
        <v>-100</v>
      </c>
      <c r="M105" s="2"/>
      <c r="N105" s="7">
        <f t="shared" si="63"/>
        <v>-1</v>
      </c>
      <c r="O105" s="11"/>
      <c r="P105" s="6"/>
      <c r="Q105" s="2"/>
      <c r="R105" s="7">
        <f t="shared" si="64"/>
        <v>0</v>
      </c>
      <c r="S105" s="2"/>
      <c r="T105" s="6">
        <v>200</v>
      </c>
      <c r="U105" s="2"/>
      <c r="V105" s="7">
        <f t="shared" si="65"/>
        <v>1.8484555466975049E-3</v>
      </c>
      <c r="W105" s="2"/>
      <c r="X105" s="6">
        <f t="shared" si="66"/>
        <v>-200</v>
      </c>
      <c r="Y105" s="2"/>
      <c r="Z105" s="7">
        <f t="shared" si="67"/>
        <v>-1</v>
      </c>
    </row>
    <row r="106" spans="1:26" s="24" customFormat="1" hidden="1" outlineLevel="2" x14ac:dyDescent="0.25">
      <c r="A106" s="27"/>
      <c r="B106" s="11" t="str">
        <f>CONCATENATE("          ", "6237", " - ", "JANITORIAL SUPPLIES")</f>
        <v xml:space="preserve">          6237 - JANITORIAL SUPPLIES</v>
      </c>
      <c r="C106" s="11"/>
      <c r="D106" s="6"/>
      <c r="E106" s="2"/>
      <c r="F106" s="7">
        <f t="shared" si="60"/>
        <v>0</v>
      </c>
      <c r="G106" s="2"/>
      <c r="H106" s="6">
        <v>10</v>
      </c>
      <c r="I106" s="2"/>
      <c r="J106" s="7">
        <f t="shared" si="61"/>
        <v>1.9576742740667368E-4</v>
      </c>
      <c r="K106" s="2"/>
      <c r="L106" s="6">
        <f t="shared" si="62"/>
        <v>-10</v>
      </c>
      <c r="M106" s="2"/>
      <c r="N106" s="7">
        <f t="shared" si="63"/>
        <v>-1</v>
      </c>
      <c r="O106" s="11"/>
      <c r="P106" s="6"/>
      <c r="Q106" s="2"/>
      <c r="R106" s="7">
        <f t="shared" si="64"/>
        <v>0</v>
      </c>
      <c r="S106" s="2"/>
      <c r="T106" s="6">
        <v>20</v>
      </c>
      <c r="U106" s="2"/>
      <c r="V106" s="7">
        <f t="shared" si="65"/>
        <v>1.8484555466975047E-4</v>
      </c>
      <c r="W106" s="2"/>
      <c r="X106" s="6">
        <f t="shared" si="66"/>
        <v>-20</v>
      </c>
      <c r="Y106" s="2"/>
      <c r="Z106" s="7">
        <f t="shared" si="67"/>
        <v>-1</v>
      </c>
    </row>
    <row r="107" spans="1:26" s="24" customFormat="1" hidden="1" outlineLevel="2" x14ac:dyDescent="0.25">
      <c r="A107" s="27"/>
      <c r="B107" s="11" t="str">
        <f>CONCATENATE("          ", "6241", " - ", "OFFICE EXPENSE")</f>
        <v xml:space="preserve">          6241 - OFFICE EXPENSE</v>
      </c>
      <c r="C107" s="11"/>
      <c r="D107" s="6">
        <v>47.12</v>
      </c>
      <c r="E107" s="2"/>
      <c r="F107" s="7">
        <f t="shared" si="60"/>
        <v>6.7804580636870928E-4</v>
      </c>
      <c r="G107" s="2"/>
      <c r="H107" s="6">
        <v>100</v>
      </c>
      <c r="I107" s="2"/>
      <c r="J107" s="7">
        <f t="shared" si="61"/>
        <v>1.9576742740667367E-3</v>
      </c>
      <c r="K107" s="2"/>
      <c r="L107" s="6">
        <f t="shared" si="62"/>
        <v>-52.88</v>
      </c>
      <c r="M107" s="2"/>
      <c r="N107" s="7">
        <f t="shared" si="63"/>
        <v>-0.52880000000000005</v>
      </c>
      <c r="O107" s="11"/>
      <c r="P107" s="6">
        <v>711.85</v>
      </c>
      <c r="Q107" s="2"/>
      <c r="R107" s="7">
        <f t="shared" si="64"/>
        <v>5.8842259430343102E-3</v>
      </c>
      <c r="S107" s="2"/>
      <c r="T107" s="6">
        <v>200</v>
      </c>
      <c r="U107" s="2"/>
      <c r="V107" s="7">
        <f t="shared" si="65"/>
        <v>1.8484555466975049E-3</v>
      </c>
      <c r="W107" s="2"/>
      <c r="X107" s="6">
        <f t="shared" si="66"/>
        <v>511.85</v>
      </c>
      <c r="Y107" s="2"/>
      <c r="Z107" s="7">
        <f t="shared" si="67"/>
        <v>2.55925</v>
      </c>
    </row>
    <row r="108" spans="1:26" s="24" customFormat="1" hidden="1" outlineLevel="2" x14ac:dyDescent="0.25">
      <c r="A108" s="27"/>
      <c r="B108" s="11" t="str">
        <f>CONCATENATE("          ", "6247", " - ", "STORE SUPPLIES")</f>
        <v xml:space="preserve">          6247 - STORE SUPPLIES</v>
      </c>
      <c r="C108" s="11"/>
      <c r="D108" s="6"/>
      <c r="E108" s="2"/>
      <c r="F108" s="7">
        <f t="shared" si="60"/>
        <v>0</v>
      </c>
      <c r="G108" s="2"/>
      <c r="H108" s="6">
        <v>25</v>
      </c>
      <c r="I108" s="2"/>
      <c r="J108" s="7">
        <f t="shared" si="61"/>
        <v>4.8941856851668418E-4</v>
      </c>
      <c r="K108" s="2"/>
      <c r="L108" s="6">
        <f t="shared" si="62"/>
        <v>-25</v>
      </c>
      <c r="M108" s="2"/>
      <c r="N108" s="7">
        <f t="shared" si="63"/>
        <v>-1</v>
      </c>
      <c r="O108" s="11"/>
      <c r="P108" s="6"/>
      <c r="Q108" s="2"/>
      <c r="R108" s="7">
        <f t="shared" si="64"/>
        <v>0</v>
      </c>
      <c r="S108" s="2"/>
      <c r="T108" s="6">
        <v>50</v>
      </c>
      <c r="U108" s="2"/>
      <c r="V108" s="7">
        <f t="shared" si="65"/>
        <v>4.6211388667437623E-4</v>
      </c>
      <c r="W108" s="2"/>
      <c r="X108" s="6">
        <f t="shared" si="66"/>
        <v>-50</v>
      </c>
      <c r="Y108" s="2"/>
      <c r="Z108" s="7">
        <f t="shared" si="67"/>
        <v>-1</v>
      </c>
    </row>
    <row r="109" spans="1:26" s="24" customFormat="1" hidden="1" outlineLevel="2" x14ac:dyDescent="0.25">
      <c r="A109" s="27"/>
      <c r="B109" s="11" t="str">
        <f>CONCATENATE("          ", "6248", " - ", "UNIFORMS")</f>
        <v xml:space="preserve">          6248 - UNIFORMS</v>
      </c>
      <c r="C109" s="11"/>
      <c r="D109" s="6"/>
      <c r="E109" s="2"/>
      <c r="F109" s="7">
        <f t="shared" si="60"/>
        <v>0</v>
      </c>
      <c r="G109" s="2"/>
      <c r="H109" s="6">
        <v>0</v>
      </c>
      <c r="I109" s="2"/>
      <c r="J109" s="7">
        <f t="shared" si="61"/>
        <v>0</v>
      </c>
      <c r="K109" s="2"/>
      <c r="L109" s="6">
        <f t="shared" si="62"/>
        <v>0</v>
      </c>
      <c r="M109" s="2"/>
      <c r="N109" s="7">
        <f t="shared" si="63"/>
        <v>0</v>
      </c>
      <c r="O109" s="11"/>
      <c r="P109" s="6"/>
      <c r="Q109" s="2"/>
      <c r="R109" s="7">
        <f t="shared" si="64"/>
        <v>0</v>
      </c>
      <c r="S109" s="2"/>
      <c r="T109" s="6">
        <v>0</v>
      </c>
      <c r="U109" s="2"/>
      <c r="V109" s="7">
        <f t="shared" si="65"/>
        <v>0</v>
      </c>
      <c r="W109" s="2"/>
      <c r="X109" s="6">
        <f t="shared" si="66"/>
        <v>0</v>
      </c>
      <c r="Y109" s="2"/>
      <c r="Z109" s="7">
        <f t="shared" si="67"/>
        <v>0</v>
      </c>
    </row>
    <row r="110" spans="1:26" s="26" customFormat="1" outlineLevel="1" collapsed="1" x14ac:dyDescent="0.25">
      <c r="A110" s="25"/>
      <c r="B110" s="13" t="str">
        <f>CONCATENATE("     ","Telephone/Data Lines                              ")</f>
        <v xml:space="preserve">     Telephone/Data Lines                              </v>
      </c>
      <c r="C110" s="13"/>
      <c r="D110" s="1">
        <f>SUM(OSRRefD22_17x_0)</f>
        <v>321.29000000000002</v>
      </c>
      <c r="E110" s="1"/>
      <c r="F110" s="5">
        <f t="shared" ref="F110:F112" si="68">IF(D$12=0,0,D110/D$12)</f>
        <v>4.6232881393930949E-3</v>
      </c>
      <c r="G110" s="1"/>
      <c r="H110" s="1">
        <f>SUM(OSRRefH22_17x_0)</f>
        <v>375</v>
      </c>
      <c r="I110" s="1"/>
      <c r="J110" s="5">
        <f t="shared" ref="J110:J112" si="69">IF(H$12=0,0,H110/H$12)</f>
        <v>7.3412785277502625E-3</v>
      </c>
      <c r="K110" s="1"/>
      <c r="L110" s="1">
        <f t="shared" ref="L110:L112" si="70">+D110-H110</f>
        <v>-53.70999999999998</v>
      </c>
      <c r="M110" s="1"/>
      <c r="N110" s="5">
        <f t="shared" ref="N110:N112" si="71">IF(H110=0,0,L110/H110)</f>
        <v>-0.14322666666666661</v>
      </c>
      <c r="O110" s="13"/>
      <c r="P110" s="1">
        <f>SUM(OSRRefP22_17x_0)</f>
        <v>250.93</v>
      </c>
      <c r="Q110" s="1"/>
      <c r="R110" s="5">
        <f t="shared" ref="R110:R112" si="72">IF(P$12=0,0,P110/P$12)</f>
        <v>2.0742134099678297E-3</v>
      </c>
      <c r="S110" s="1"/>
      <c r="T110" s="1">
        <f>SUM(OSRRefT22_17x_0)</f>
        <v>725</v>
      </c>
      <c r="U110" s="1"/>
      <c r="V110" s="5">
        <f t="shared" ref="V110:V112" si="73">IF(T$12=0,0,T110/T$12)</f>
        <v>6.700651356778455E-3</v>
      </c>
      <c r="W110" s="1"/>
      <c r="X110" s="1">
        <f t="shared" ref="X110:X112" si="74">+P110-T110</f>
        <v>-474.07</v>
      </c>
      <c r="Y110" s="1"/>
      <c r="Z110" s="5">
        <f t="shared" ref="Z110:Z112" si="75">IF(T110=0,0,X110/T110)</f>
        <v>-0.65388965517241382</v>
      </c>
    </row>
    <row r="111" spans="1:26" s="24" customFormat="1" hidden="1" outlineLevel="2" x14ac:dyDescent="0.25">
      <c r="A111" s="27"/>
      <c r="B111" s="11" t="str">
        <f>CONCATENATE("          ", "6303", " - ", "DATA PHONE LINES")</f>
        <v xml:space="preserve">          6303 - DATA PHONE LINES</v>
      </c>
      <c r="C111" s="11"/>
      <c r="D111" s="6"/>
      <c r="E111" s="2"/>
      <c r="F111" s="7">
        <f t="shared" si="68"/>
        <v>0</v>
      </c>
      <c r="G111" s="2"/>
      <c r="H111" s="6">
        <v>375</v>
      </c>
      <c r="I111" s="2"/>
      <c r="J111" s="7">
        <f t="shared" si="69"/>
        <v>7.3412785277502625E-3</v>
      </c>
      <c r="K111" s="2"/>
      <c r="L111" s="6">
        <f t="shared" si="70"/>
        <v>-375</v>
      </c>
      <c r="M111" s="2"/>
      <c r="N111" s="7">
        <f t="shared" si="71"/>
        <v>-1</v>
      </c>
      <c r="O111" s="11"/>
      <c r="P111" s="6"/>
      <c r="Q111" s="2"/>
      <c r="R111" s="7">
        <f t="shared" si="72"/>
        <v>0</v>
      </c>
      <c r="S111" s="2"/>
      <c r="T111" s="6">
        <v>725</v>
      </c>
      <c r="U111" s="2"/>
      <c r="V111" s="7">
        <f t="shared" si="73"/>
        <v>6.700651356778455E-3</v>
      </c>
      <c r="W111" s="2"/>
      <c r="X111" s="6">
        <f t="shared" si="74"/>
        <v>-725</v>
      </c>
      <c r="Y111" s="2"/>
      <c r="Z111" s="7">
        <f t="shared" si="75"/>
        <v>-1</v>
      </c>
    </row>
    <row r="112" spans="1:26" s="24" customFormat="1" hidden="1" outlineLevel="2" x14ac:dyDescent="0.25">
      <c r="A112" s="27"/>
      <c r="B112" s="11" t="str">
        <f>CONCATENATE("          ", "6309", " - ", "TELEPHONE")</f>
        <v xml:space="preserve">          6309 - TELEPHONE</v>
      </c>
      <c r="C112" s="11"/>
      <c r="D112" s="6">
        <v>321.29000000000002</v>
      </c>
      <c r="E112" s="2"/>
      <c r="F112" s="7">
        <f t="shared" si="68"/>
        <v>4.6232881393930949E-3</v>
      </c>
      <c r="G112" s="2"/>
      <c r="H112" s="6"/>
      <c r="I112" s="2"/>
      <c r="J112" s="7">
        <f t="shared" si="69"/>
        <v>0</v>
      </c>
      <c r="K112" s="2"/>
      <c r="L112" s="6">
        <f t="shared" si="70"/>
        <v>321.29000000000002</v>
      </c>
      <c r="M112" s="2"/>
      <c r="N112" s="7">
        <f t="shared" si="71"/>
        <v>0</v>
      </c>
      <c r="O112" s="11"/>
      <c r="P112" s="6">
        <v>250.93</v>
      </c>
      <c r="Q112" s="2"/>
      <c r="R112" s="7">
        <f t="shared" si="72"/>
        <v>2.0742134099678297E-3</v>
      </c>
      <c r="S112" s="2"/>
      <c r="T112" s="6"/>
      <c r="U112" s="2"/>
      <c r="V112" s="7">
        <f t="shared" si="73"/>
        <v>0</v>
      </c>
      <c r="W112" s="2"/>
      <c r="X112" s="6">
        <f t="shared" si="74"/>
        <v>250.93</v>
      </c>
      <c r="Y112" s="2"/>
      <c r="Z112" s="7">
        <f t="shared" si="75"/>
        <v>0</v>
      </c>
    </row>
    <row r="113" spans="1:26" s="26" customFormat="1" outlineLevel="1" collapsed="1" x14ac:dyDescent="0.25">
      <c r="A113" s="25"/>
      <c r="B113" s="13" t="str">
        <f>CONCATENATE("     ","Training                                          ")</f>
        <v xml:space="preserve">     Training                                          </v>
      </c>
      <c r="C113" s="13"/>
      <c r="D113" s="1">
        <f>SUM(OSRRefD22_18x_0)</f>
        <v>0</v>
      </c>
      <c r="E113" s="1"/>
      <c r="F113" s="5">
        <f t="shared" ref="F113:F118" si="76">IF(D$12=0,0,D113/D$12)</f>
        <v>0</v>
      </c>
      <c r="G113" s="1"/>
      <c r="H113" s="1">
        <f>SUM(OSRRefH22_18x_0)</f>
        <v>0</v>
      </c>
      <c r="I113" s="1"/>
      <c r="J113" s="5">
        <f t="shared" ref="J113:J118" si="77">IF(H$12=0,0,H113/H$12)</f>
        <v>0</v>
      </c>
      <c r="K113" s="1"/>
      <c r="L113" s="1">
        <f t="shared" ref="L113:L118" si="78">+D113-H113</f>
        <v>0</v>
      </c>
      <c r="M113" s="1"/>
      <c r="N113" s="5">
        <f t="shared" ref="N113:N118" si="79">IF(H113=0,0,L113/H113)</f>
        <v>0</v>
      </c>
      <c r="O113" s="13"/>
      <c r="P113" s="1">
        <f>SUM(OSRRefP22_18x_0)</f>
        <v>0</v>
      </c>
      <c r="Q113" s="1"/>
      <c r="R113" s="5">
        <f t="shared" ref="R113:R118" si="80">IF(P$12=0,0,P113/P$12)</f>
        <v>0</v>
      </c>
      <c r="S113" s="1"/>
      <c r="T113" s="1">
        <f>SUM(OSRRefT22_18x_0)</f>
        <v>0</v>
      </c>
      <c r="U113" s="1"/>
      <c r="V113" s="5">
        <f t="shared" ref="V113:V118" si="81">IF(T$12=0,0,T113/T$12)</f>
        <v>0</v>
      </c>
      <c r="W113" s="1"/>
      <c r="X113" s="1">
        <f t="shared" ref="X113:X118" si="82">+P113-T113</f>
        <v>0</v>
      </c>
      <c r="Y113" s="1"/>
      <c r="Z113" s="5">
        <f t="shared" ref="Z113:Z118" si="83">IF(T113=0,0,X113/T113)</f>
        <v>0</v>
      </c>
    </row>
    <row r="114" spans="1:26" s="24" customFormat="1" hidden="1" outlineLevel="2" x14ac:dyDescent="0.25">
      <c r="A114" s="27"/>
      <c r="B114" s="11" t="str">
        <f>CONCATENATE("          ", "6376", " - ", "TRAINING")</f>
        <v xml:space="preserve">          6376 - TRAINING</v>
      </c>
      <c r="C114" s="11"/>
      <c r="D114" s="6"/>
      <c r="E114" s="2"/>
      <c r="F114" s="7">
        <f t="shared" si="76"/>
        <v>0</v>
      </c>
      <c r="G114" s="2"/>
      <c r="H114" s="6">
        <v>0</v>
      </c>
      <c r="I114" s="2"/>
      <c r="J114" s="7">
        <f t="shared" si="77"/>
        <v>0</v>
      </c>
      <c r="K114" s="2"/>
      <c r="L114" s="6">
        <f t="shared" si="78"/>
        <v>0</v>
      </c>
      <c r="M114" s="2"/>
      <c r="N114" s="7">
        <f t="shared" si="79"/>
        <v>0</v>
      </c>
      <c r="O114" s="11"/>
      <c r="P114" s="6"/>
      <c r="Q114" s="2"/>
      <c r="R114" s="7">
        <f t="shared" si="80"/>
        <v>0</v>
      </c>
      <c r="S114" s="2"/>
      <c r="T114" s="6">
        <v>0</v>
      </c>
      <c r="U114" s="2"/>
      <c r="V114" s="7">
        <f t="shared" si="81"/>
        <v>0</v>
      </c>
      <c r="W114" s="2"/>
      <c r="X114" s="6">
        <f t="shared" si="82"/>
        <v>0</v>
      </c>
      <c r="Y114" s="2"/>
      <c r="Z114" s="7">
        <f t="shared" si="83"/>
        <v>0</v>
      </c>
    </row>
    <row r="115" spans="1:26" s="26" customFormat="1" outlineLevel="1" collapsed="1" x14ac:dyDescent="0.25">
      <c r="A115" s="25"/>
      <c r="B115" s="13" t="str">
        <f>CONCATENATE("     ","Travel                                            ")</f>
        <v xml:space="preserve">     Travel                                            </v>
      </c>
      <c r="C115" s="13"/>
      <c r="D115" s="1">
        <f>SUM(OSRRefD22_19x_0)</f>
        <v>68.67</v>
      </c>
      <c r="E115" s="1"/>
      <c r="F115" s="5">
        <f t="shared" si="76"/>
        <v>9.8814527850889775E-4</v>
      </c>
      <c r="G115" s="1"/>
      <c r="H115" s="1">
        <f>SUM(OSRRefH22_19x_0)</f>
        <v>100</v>
      </c>
      <c r="I115" s="1"/>
      <c r="J115" s="5">
        <f t="shared" si="77"/>
        <v>1.9576742740667367E-3</v>
      </c>
      <c r="K115" s="1"/>
      <c r="L115" s="1">
        <f t="shared" si="78"/>
        <v>-31.33</v>
      </c>
      <c r="M115" s="1"/>
      <c r="N115" s="5">
        <f t="shared" si="79"/>
        <v>-0.31329999999999997</v>
      </c>
      <c r="O115" s="13"/>
      <c r="P115" s="1">
        <f>SUM(OSRRefP22_19x_0)</f>
        <v>68.67</v>
      </c>
      <c r="Q115" s="1"/>
      <c r="R115" s="5">
        <f t="shared" si="80"/>
        <v>5.6763334341246904E-4</v>
      </c>
      <c r="S115" s="1"/>
      <c r="T115" s="1">
        <f>SUM(OSRRefT22_19x_0)</f>
        <v>160</v>
      </c>
      <c r="U115" s="1"/>
      <c r="V115" s="5">
        <f t="shared" si="81"/>
        <v>1.4787644373580038E-3</v>
      </c>
      <c r="W115" s="1"/>
      <c r="X115" s="1">
        <f t="shared" si="82"/>
        <v>-91.33</v>
      </c>
      <c r="Y115" s="1"/>
      <c r="Z115" s="5">
        <f t="shared" si="83"/>
        <v>-0.57081249999999994</v>
      </c>
    </row>
    <row r="116" spans="1:26" s="24" customFormat="1" hidden="1" outlineLevel="2" x14ac:dyDescent="0.25">
      <c r="A116" s="27"/>
      <c r="B116" s="11" t="str">
        <f>CONCATENATE("          ", "6294", " - ", "TRAVEL OPERATIONAL")</f>
        <v xml:space="preserve">          6294 - TRAVEL OPERATIONAL</v>
      </c>
      <c r="C116" s="11"/>
      <c r="D116" s="6">
        <v>68.67</v>
      </c>
      <c r="E116" s="2"/>
      <c r="F116" s="7">
        <f t="shared" si="76"/>
        <v>9.8814527850889775E-4</v>
      </c>
      <c r="G116" s="2"/>
      <c r="H116" s="6">
        <v>100</v>
      </c>
      <c r="I116" s="2"/>
      <c r="J116" s="7">
        <f t="shared" si="77"/>
        <v>1.9576742740667367E-3</v>
      </c>
      <c r="K116" s="2"/>
      <c r="L116" s="6">
        <f t="shared" si="78"/>
        <v>-31.33</v>
      </c>
      <c r="M116" s="2"/>
      <c r="N116" s="7">
        <f t="shared" si="79"/>
        <v>-0.31329999999999997</v>
      </c>
      <c r="O116" s="11"/>
      <c r="P116" s="6">
        <v>68.67</v>
      </c>
      <c r="Q116" s="2"/>
      <c r="R116" s="7">
        <f t="shared" si="80"/>
        <v>5.6763334341246904E-4</v>
      </c>
      <c r="S116" s="2"/>
      <c r="T116" s="6">
        <v>160</v>
      </c>
      <c r="U116" s="2"/>
      <c r="V116" s="7">
        <f t="shared" si="81"/>
        <v>1.4787644373580038E-3</v>
      </c>
      <c r="W116" s="2"/>
      <c r="X116" s="6">
        <f t="shared" si="82"/>
        <v>-91.33</v>
      </c>
      <c r="Y116" s="2"/>
      <c r="Z116" s="7">
        <f t="shared" si="83"/>
        <v>-0.57081249999999994</v>
      </c>
    </row>
    <row r="117" spans="1:26" s="26" customFormat="1" outlineLevel="1" collapsed="1" x14ac:dyDescent="0.25">
      <c r="A117" s="25"/>
      <c r="B117" s="13" t="str">
        <f>CONCATENATE("     ","Utilities                                         ")</f>
        <v xml:space="preserve">     Utilities                                         </v>
      </c>
      <c r="C117" s="13"/>
      <c r="D117" s="1">
        <f>SUM(OSRRefD22_20x_0)</f>
        <v>53.78</v>
      </c>
      <c r="E117" s="1"/>
      <c r="F117" s="5">
        <f t="shared" si="76"/>
        <v>7.7388165251505059E-4</v>
      </c>
      <c r="G117" s="1"/>
      <c r="H117" s="1">
        <f>SUM(OSRRefH22_20x_0)</f>
        <v>75</v>
      </c>
      <c r="I117" s="1"/>
      <c r="J117" s="5">
        <f t="shared" si="77"/>
        <v>1.4682557055500525E-3</v>
      </c>
      <c r="K117" s="1"/>
      <c r="L117" s="1">
        <f t="shared" si="78"/>
        <v>-21.22</v>
      </c>
      <c r="M117" s="1"/>
      <c r="N117" s="5">
        <f t="shared" si="79"/>
        <v>-0.28293333333333331</v>
      </c>
      <c r="O117" s="13"/>
      <c r="P117" s="1">
        <f>SUM(OSRRefP22_20x_0)</f>
        <v>96.78</v>
      </c>
      <c r="Q117" s="1"/>
      <c r="R117" s="5">
        <f t="shared" si="80"/>
        <v>7.9999351937467243E-4</v>
      </c>
      <c r="S117" s="1"/>
      <c r="T117" s="1">
        <f>SUM(OSRRefT22_20x_0)</f>
        <v>175</v>
      </c>
      <c r="U117" s="1"/>
      <c r="V117" s="5">
        <f t="shared" si="81"/>
        <v>1.6173986033603167E-3</v>
      </c>
      <c r="W117" s="1"/>
      <c r="X117" s="1">
        <f t="shared" si="82"/>
        <v>-78.22</v>
      </c>
      <c r="Y117" s="1"/>
      <c r="Z117" s="5">
        <f t="shared" si="83"/>
        <v>-0.44697142857142858</v>
      </c>
    </row>
    <row r="118" spans="1:26" s="24" customFormat="1" hidden="1" outlineLevel="2" x14ac:dyDescent="0.25">
      <c r="A118" s="27"/>
      <c r="B118" s="11" t="str">
        <f>CONCATENATE("          ", "6274", " - ", "UTILITIES")</f>
        <v xml:space="preserve">          6274 - UTILITIES</v>
      </c>
      <c r="C118" s="11"/>
      <c r="D118" s="6">
        <v>53.78</v>
      </c>
      <c r="E118" s="2"/>
      <c r="F118" s="7">
        <f t="shared" si="76"/>
        <v>7.7388165251505059E-4</v>
      </c>
      <c r="G118" s="2"/>
      <c r="H118" s="6">
        <v>75</v>
      </c>
      <c r="I118" s="2"/>
      <c r="J118" s="7">
        <f t="shared" si="77"/>
        <v>1.4682557055500525E-3</v>
      </c>
      <c r="K118" s="2"/>
      <c r="L118" s="6">
        <f t="shared" si="78"/>
        <v>-21.22</v>
      </c>
      <c r="M118" s="2"/>
      <c r="N118" s="7">
        <f t="shared" si="79"/>
        <v>-0.28293333333333331</v>
      </c>
      <c r="O118" s="11"/>
      <c r="P118" s="6">
        <v>96.78</v>
      </c>
      <c r="Q118" s="2"/>
      <c r="R118" s="7">
        <f t="shared" si="80"/>
        <v>7.9999351937467243E-4</v>
      </c>
      <c r="S118" s="2"/>
      <c r="T118" s="6">
        <v>175</v>
      </c>
      <c r="U118" s="2"/>
      <c r="V118" s="7">
        <f t="shared" si="81"/>
        <v>1.6173986033603167E-3</v>
      </c>
      <c r="W118" s="2"/>
      <c r="X118" s="6">
        <f t="shared" si="82"/>
        <v>-78.22</v>
      </c>
      <c r="Y118" s="2"/>
      <c r="Z118" s="7">
        <f t="shared" si="83"/>
        <v>-0.44697142857142858</v>
      </c>
    </row>
    <row r="119" spans="1:26" s="63" customFormat="1" x14ac:dyDescent="0.25">
      <c r="A119" s="36"/>
      <c r="B119" s="36"/>
      <c r="C119" s="36"/>
      <c r="D119" s="1"/>
      <c r="E119" s="1"/>
      <c r="F119" s="5"/>
      <c r="G119" s="1"/>
      <c r="H119" s="1"/>
      <c r="I119" s="1"/>
      <c r="J119" s="5"/>
      <c r="K119" s="1"/>
      <c r="L119" s="1"/>
      <c r="M119" s="1"/>
      <c r="N119" s="5"/>
      <c r="O119" s="36"/>
      <c r="P119" s="1"/>
      <c r="Q119" s="1"/>
      <c r="R119" s="5"/>
      <c r="S119" s="1"/>
      <c r="T119" s="1"/>
      <c r="U119" s="1"/>
      <c r="V119" s="5"/>
      <c r="W119" s="1"/>
      <c r="X119" s="1"/>
      <c r="Y119" s="1"/>
      <c r="Z119" s="5"/>
    </row>
    <row r="120" spans="1:26" s="23" customFormat="1" x14ac:dyDescent="0.25">
      <c r="A120" s="10"/>
      <c r="B120" s="28" t="s">
        <v>0</v>
      </c>
      <c r="C120" s="10"/>
      <c r="D120" s="4">
        <f>SUM(0)</f>
        <v>0</v>
      </c>
      <c r="E120" s="4"/>
      <c r="F120" s="12">
        <f>IF(D$12=0,0,D120/D$12)</f>
        <v>0</v>
      </c>
      <c r="G120" s="4"/>
      <c r="H120" s="4">
        <f>SUM(0)</f>
        <v>0</v>
      </c>
      <c r="I120" s="4"/>
      <c r="J120" s="12">
        <f>IF(H$12=0,0,H120/H$12)</f>
        <v>0</v>
      </c>
      <c r="K120" s="4"/>
      <c r="L120" s="4">
        <f>+D120-H120</f>
        <v>0</v>
      </c>
      <c r="M120" s="4"/>
      <c r="N120" s="12">
        <f>IF(H120=0,0,L120/H120)</f>
        <v>0</v>
      </c>
      <c r="O120" s="10"/>
      <c r="P120" s="4">
        <f>SUM(0)</f>
        <v>0</v>
      </c>
      <c r="Q120" s="4"/>
      <c r="R120" s="12">
        <f>IF(P$12=0,0,P120/P$12)</f>
        <v>0</v>
      </c>
      <c r="S120" s="4"/>
      <c r="T120" s="4">
        <f>SUM(0)</f>
        <v>0</v>
      </c>
      <c r="U120" s="4"/>
      <c r="V120" s="12">
        <f>IF(T$12=0,0,T120/T$12)</f>
        <v>0</v>
      </c>
      <c r="W120" s="4"/>
      <c r="X120" s="4">
        <f>+P120-T120</f>
        <v>0</v>
      </c>
      <c r="Y120" s="4"/>
      <c r="Z120" s="12">
        <f>IF(T120=0,0,X120/T120)</f>
        <v>0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x14ac:dyDescent="0.25">
      <c r="A122" s="10"/>
      <c r="B122" s="29" t="s">
        <v>3</v>
      </c>
      <c r="C122" s="29"/>
      <c r="D122" s="22">
        <f>+D47-D49+D120</f>
        <v>2532.5400000000081</v>
      </c>
      <c r="E122" s="14"/>
      <c r="F122" s="20">
        <f>IF(D$12=0,0,D122/D$12)</f>
        <v>3.6442659729648059E-2</v>
      </c>
      <c r="G122" s="14"/>
      <c r="H122" s="22">
        <f>+H47-H49+H120</f>
        <v>1935.5994916692325</v>
      </c>
      <c r="I122" s="14"/>
      <c r="J122" s="20">
        <f>IF(H$12=0,0,H122/H$12)</f>
        <v>3.7892733297375095E-2</v>
      </c>
      <c r="K122" s="15"/>
      <c r="L122" s="22">
        <f>+D122-H122</f>
        <v>596.94050833077563</v>
      </c>
      <c r="M122" s="15"/>
      <c r="N122" s="20">
        <f>IF(H122=0,0,L122/H122)</f>
        <v>0.30840083958483733</v>
      </c>
      <c r="O122" s="28"/>
      <c r="P122" s="22">
        <f>+P47-P49+P120</f>
        <v>5047.0600000000341</v>
      </c>
      <c r="Q122" s="14"/>
      <c r="R122" s="20">
        <f>IF(P$12=0,0,P122/P$12)</f>
        <v>4.1719521511625966E-2</v>
      </c>
      <c r="S122" s="14"/>
      <c r="T122" s="22">
        <f>+T47-T49+T120</f>
        <v>5694.1779450057802</v>
      </c>
      <c r="U122" s="14"/>
      <c r="V122" s="20">
        <f>IF(T$12=0,0,T122/T$12)</f>
        <v>5.2627174031642673E-2</v>
      </c>
      <c r="W122" s="15"/>
      <c r="X122" s="22">
        <f>+P122-T122</f>
        <v>-647.11794500574615</v>
      </c>
      <c r="Y122" s="15"/>
      <c r="Z122" s="20">
        <f>IF(T122=0,0,X122/T122)</f>
        <v>-0.1136455430890278</v>
      </c>
    </row>
    <row r="123" spans="1:26" x14ac:dyDescent="0.25">
      <c r="A123" s="9"/>
      <c r="B123" s="10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52"/>
      <c r="B124" s="10" t="s">
        <v>14</v>
      </c>
      <c r="C124" s="10"/>
      <c r="D124" s="4">
        <v>4378.84</v>
      </c>
      <c r="E124" s="4"/>
      <c r="F124" s="12">
        <f>IF(D$12=0,0,D124/D$12)</f>
        <v>6.3010485966883675E-2</v>
      </c>
      <c r="G124" s="4"/>
      <c r="H124" s="4">
        <v>3652</v>
      </c>
      <c r="I124" s="4"/>
      <c r="J124" s="12">
        <f>IF(H$12=0,0,H124/H$12)</f>
        <v>7.1494264488917228E-2</v>
      </c>
      <c r="K124" s="4"/>
      <c r="L124" s="4">
        <f>+D124-H124</f>
        <v>726.84000000000015</v>
      </c>
      <c r="M124" s="4"/>
      <c r="N124" s="12">
        <f>IF(H124=0,0,L124/H124)</f>
        <v>0.19902519167579413</v>
      </c>
      <c r="O124" s="10"/>
      <c r="P124" s="4">
        <v>15083.5</v>
      </c>
      <c r="Q124" s="4"/>
      <c r="R124" s="12">
        <f>IF(P$12=0,0,P124/P$12)</f>
        <v>0.12468177567150104</v>
      </c>
      <c r="S124" s="4"/>
      <c r="T124" s="4">
        <v>17572</v>
      </c>
      <c r="U124" s="4"/>
      <c r="V124" s="12">
        <f>IF(T$12=0,0,T124/T$12)</f>
        <v>0.16240530433284278</v>
      </c>
      <c r="W124" s="4"/>
      <c r="X124" s="4">
        <f>+P124-T124</f>
        <v>-2488.5</v>
      </c>
      <c r="Y124" s="4"/>
      <c r="Z124" s="12">
        <f>IF(T124=0,0,X124/T124)</f>
        <v>-0.14161734577737309</v>
      </c>
    </row>
    <row r="125" spans="1:26" x14ac:dyDescent="0.25">
      <c r="A125" s="9"/>
      <c r="B125" s="10"/>
      <c r="C125" s="10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O125" s="10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ht="15.75" thickBot="1" x14ac:dyDescent="0.3">
      <c r="A126" s="10"/>
      <c r="B126" s="29" t="s">
        <v>4</v>
      </c>
      <c r="C126" s="29"/>
      <c r="D126" s="31">
        <f>+D122-D124</f>
        <v>-1846.299999999992</v>
      </c>
      <c r="E126" s="14"/>
      <c r="F126" s="32">
        <f>IF(D$12=0,0,D126/D$12)</f>
        <v>-2.6567826237235623E-2</v>
      </c>
      <c r="G126" s="14"/>
      <c r="H126" s="31">
        <f>+H122-H124</f>
        <v>-1716.4005083307675</v>
      </c>
      <c r="I126" s="14"/>
      <c r="J126" s="32">
        <f>IF(H$12=0,0,H126/H$12)</f>
        <v>-3.3601531191542133E-2</v>
      </c>
      <c r="K126" s="15"/>
      <c r="L126" s="31">
        <f>D126-H126</f>
        <v>-129.89949166922452</v>
      </c>
      <c r="M126" s="15"/>
      <c r="N126" s="32">
        <f>IF(H126=0,0,L126/H126)</f>
        <v>7.5681340711996337E-2</v>
      </c>
      <c r="O126" s="28"/>
      <c r="P126" s="31">
        <f>+P122-P124</f>
        <v>-10036.439999999966</v>
      </c>
      <c r="Q126" s="14"/>
      <c r="R126" s="32">
        <f>IF(P$12=0,0,P126/P$12)</f>
        <v>-8.2962254159875071E-2</v>
      </c>
      <c r="S126" s="14"/>
      <c r="T126" s="31">
        <f>+T122-T124</f>
        <v>-11877.82205499422</v>
      </c>
      <c r="U126" s="14"/>
      <c r="V126" s="32">
        <f>IF(T$12=0,0,T126/T$12)</f>
        <v>-0.10977813030120011</v>
      </c>
      <c r="W126" s="15"/>
      <c r="X126" s="31">
        <f>P126-T126</f>
        <v>1841.3820549942538</v>
      </c>
      <c r="Y126" s="15"/>
      <c r="Z126" s="32">
        <f>IF(T126=0,0,X126/T126)</f>
        <v>-0.15502691036022176</v>
      </c>
    </row>
    <row r="127" spans="1:26" ht="15.75" thickTop="1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ht="15.75" thickBot="1" x14ac:dyDescent="0.3">
      <c r="A129" s="10"/>
      <c r="B129" s="29" t="s">
        <v>5</v>
      </c>
      <c r="C129" s="29"/>
      <c r="D129" s="33">
        <f>SUM(D126:D128)</f>
        <v>-1846.299999999992</v>
      </c>
      <c r="E129" s="14"/>
      <c r="F129" s="35">
        <f>IF(D$12=0,0,D129/D$12)</f>
        <v>-2.6567826237235623E-2</v>
      </c>
      <c r="G129" s="14"/>
      <c r="H129" s="33">
        <f>SUM(H126:H128)</f>
        <v>-1716.4005083307675</v>
      </c>
      <c r="I129" s="14"/>
      <c r="J129" s="35">
        <f>IF(H$12=0,0,H129/H$12)</f>
        <v>-3.3601531191542133E-2</v>
      </c>
      <c r="K129" s="15"/>
      <c r="L129" s="33">
        <f>+D129-H129</f>
        <v>-129.89949166922452</v>
      </c>
      <c r="M129" s="15"/>
      <c r="N129" s="35">
        <f>IF(H129=0,0,L129/H129)</f>
        <v>7.5681340711996337E-2</v>
      </c>
      <c r="O129" s="28"/>
      <c r="P129" s="33">
        <f>SUM(P126:P128)</f>
        <v>-10036.439999999966</v>
      </c>
      <c r="Q129" s="14"/>
      <c r="R129" s="35">
        <f>IF(P$12=0,0,P129/P$12)</f>
        <v>-8.2962254159875071E-2</v>
      </c>
      <c r="S129" s="14"/>
      <c r="T129" s="33">
        <f>SUM(T126:T128)</f>
        <v>-11877.82205499422</v>
      </c>
      <c r="U129" s="14"/>
      <c r="V129" s="35">
        <f>IF(T$12=0,0,T129/T$12)</f>
        <v>-0.10977813030120011</v>
      </c>
      <c r="W129" s="15"/>
      <c r="X129" s="33">
        <f>+P129-T129</f>
        <v>1841.3820549942538</v>
      </c>
      <c r="Y129" s="15"/>
      <c r="Z129" s="35">
        <f>IF(T129=0,0,X129/T129)</f>
        <v>-0.15502691036022176</v>
      </c>
    </row>
    <row r="130" spans="1:26" ht="15.75" thickTop="1" x14ac:dyDescent="0.25">
      <c r="A130" s="9"/>
      <c r="C130" s="9"/>
      <c r="D130" s="17"/>
      <c r="E130" s="17"/>
      <c r="G130" s="17"/>
      <c r="H130" s="17"/>
      <c r="I130" s="17"/>
      <c r="J130" s="42"/>
      <c r="K130" s="17"/>
      <c r="L130" s="17"/>
      <c r="M130" s="17"/>
      <c r="P130" s="17"/>
      <c r="Q130" s="17"/>
      <c r="R130" s="42"/>
      <c r="S130" s="17"/>
      <c r="T130" s="17"/>
      <c r="U130" s="17"/>
      <c r="V130" s="42"/>
      <c r="W130" s="17"/>
      <c r="X130" s="17"/>
    </row>
    <row r="131" spans="1:26" x14ac:dyDescent="0.25">
      <c r="A131" s="9"/>
      <c r="B131" s="61">
        <v>43732.706211886572</v>
      </c>
      <c r="D131" s="17"/>
      <c r="E131" s="17"/>
      <c r="G131" s="17"/>
      <c r="H131" s="17"/>
      <c r="I131" s="17"/>
      <c r="J131" s="42"/>
      <c r="K131" s="17"/>
      <c r="L131" s="17"/>
      <c r="M131" s="17"/>
      <c r="P131" s="17"/>
      <c r="Q131" s="17"/>
      <c r="R131" s="42"/>
      <c r="S131" s="17"/>
      <c r="T131" s="17"/>
      <c r="U131" s="17"/>
      <c r="V131" s="42"/>
      <c r="W131" s="17"/>
      <c r="X131" s="17"/>
    </row>
    <row r="132" spans="1:26" x14ac:dyDescent="0.25">
      <c r="A132" s="9"/>
      <c r="B132" s="62" t="s">
        <v>314</v>
      </c>
      <c r="D132" s="17"/>
      <c r="E132" s="17"/>
      <c r="G132" s="17"/>
      <c r="H132" s="17"/>
      <c r="I132" s="17"/>
      <c r="J132" s="42"/>
      <c r="K132" s="17"/>
      <c r="L132" s="17"/>
      <c r="M132" s="17"/>
      <c r="P132" s="17"/>
      <c r="Q132" s="17"/>
      <c r="R132" s="42"/>
      <c r="S132" s="17"/>
      <c r="T132" s="17"/>
      <c r="U132" s="17"/>
      <c r="V132" s="42"/>
      <c r="W132" s="17"/>
      <c r="X132" s="17"/>
    </row>
    <row r="133" spans="1:26" x14ac:dyDescent="0.25">
      <c r="A133" s="9"/>
      <c r="B133" s="58"/>
      <c r="D133" s="17"/>
      <c r="E133" s="17"/>
      <c r="G133" s="17"/>
      <c r="H133" s="17"/>
      <c r="I133" s="17"/>
      <c r="J133" s="42"/>
      <c r="K133" s="17"/>
      <c r="L133" s="17"/>
      <c r="M133" s="17"/>
      <c r="P133" s="17"/>
      <c r="Q133" s="17"/>
      <c r="R133" s="42"/>
      <c r="S133" s="17"/>
      <c r="T133" s="17"/>
      <c r="U133" s="17"/>
      <c r="V133" s="42"/>
      <c r="W133" s="17"/>
      <c r="X133" s="17"/>
    </row>
    <row r="134" spans="1:26" x14ac:dyDescent="0.25">
      <c r="D134" s="17"/>
      <c r="E134" s="17"/>
      <c r="G134" s="17"/>
      <c r="H134" s="17"/>
      <c r="I134" s="17"/>
      <c r="J134" s="42"/>
      <c r="K134" s="17"/>
      <c r="L134" s="17"/>
      <c r="M134" s="17"/>
      <c r="P134" s="17"/>
      <c r="Q134" s="17"/>
      <c r="R134" s="42"/>
      <c r="S134" s="17"/>
      <c r="T134" s="17"/>
      <c r="U134" s="17"/>
      <c r="V134" s="42"/>
      <c r="W134" s="17"/>
      <c r="X134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","327", " - ", "C-Store Vending Machine(s)")</f>
        <v>Department 327 - C-Store Vending Machine(s)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227.5</v>
      </c>
      <c r="E12" s="4"/>
      <c r="F12" s="12"/>
      <c r="G12" s="4"/>
      <c r="H12" s="4">
        <f>SUM(OSRRefH13x_0)</f>
        <v>347</v>
      </c>
      <c r="I12" s="4"/>
      <c r="J12" s="12"/>
      <c r="K12" s="4"/>
      <c r="L12" s="4">
        <f t="shared" ref="L12:L14" si="0">+D12-H12</f>
        <v>-119.5</v>
      </c>
      <c r="M12" s="4"/>
      <c r="N12" s="12">
        <f t="shared" ref="N12:N14" si="1">IF(H12=0,0,L12/H12)</f>
        <v>-0.34438040345821325</v>
      </c>
      <c r="O12" s="10"/>
      <c r="P12" s="4">
        <f>SUM(OSRRefP13x_0)</f>
        <v>464.5</v>
      </c>
      <c r="Q12" s="4"/>
      <c r="R12" s="12"/>
      <c r="S12" s="4"/>
      <c r="T12" s="4">
        <f>SUM(OSRRefT13x_0)</f>
        <v>508</v>
      </c>
      <c r="U12" s="4"/>
      <c r="V12" s="12"/>
      <c r="W12" s="4"/>
      <c r="X12" s="4">
        <f t="shared" ref="X12:X14" si="2">+P12-T12</f>
        <v>-43.5</v>
      </c>
      <c r="Y12" s="4"/>
      <c r="Z12" s="12">
        <f t="shared" ref="Z12:Z14" si="3">IF(T12=0,0,X12/T12)</f>
        <v>-8.562992125984252E-2</v>
      </c>
    </row>
    <row r="13" spans="1:26" s="24" customFormat="1" hidden="1" outlineLevel="1" x14ac:dyDescent="0.25">
      <c r="A13" s="46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1"/>
      <c r="G13" s="2"/>
      <c r="H13" s="2">
        <v>347</v>
      </c>
      <c r="I13" s="2"/>
      <c r="J13" s="21"/>
      <c r="K13" s="2"/>
      <c r="L13" s="2">
        <f t="shared" si="0"/>
        <v>-347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508</v>
      </c>
      <c r="U13" s="2"/>
      <c r="V13" s="21"/>
      <c r="W13" s="2"/>
      <c r="X13" s="2">
        <f t="shared" si="2"/>
        <v>-508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"4153", " - ", "NON-TAXABLE SALES-FOOD")</f>
        <v xml:space="preserve">          4153 - NON-TAXABLE SALES-FOOD</v>
      </c>
      <c r="C14" s="11"/>
      <c r="D14" s="2">
        <f>--227.5</f>
        <v>227.5</v>
      </c>
      <c r="E14" s="2"/>
      <c r="F14" s="21"/>
      <c r="G14" s="2"/>
      <c r="H14" s="2"/>
      <c r="I14" s="2"/>
      <c r="J14" s="21"/>
      <c r="K14" s="2"/>
      <c r="L14" s="2">
        <f t="shared" si="0"/>
        <v>227.5</v>
      </c>
      <c r="M14" s="2"/>
      <c r="N14" s="21">
        <f t="shared" si="1"/>
        <v>0</v>
      </c>
      <c r="O14" s="11"/>
      <c r="P14" s="2">
        <f>--464.5</f>
        <v>464.5</v>
      </c>
      <c r="Q14" s="2"/>
      <c r="R14" s="21"/>
      <c r="S14" s="2"/>
      <c r="T14" s="2"/>
      <c r="U14" s="2"/>
      <c r="V14" s="21"/>
      <c r="W14" s="2"/>
      <c r="X14" s="2">
        <f t="shared" si="2"/>
        <v>464.5</v>
      </c>
      <c r="Y14" s="2"/>
      <c r="Z14" s="21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8" t="s">
        <v>8</v>
      </c>
      <c r="C16" s="10"/>
      <c r="D16" s="4">
        <f>SUM(OSRRefD16x_0)</f>
        <v>2739</v>
      </c>
      <c r="E16" s="4"/>
      <c r="F16" s="12">
        <f t="shared" ref="F16:F18" si="4">IF(D$12=0,0,D16/D$12)</f>
        <v>12.039560439560439</v>
      </c>
      <c r="G16" s="4"/>
      <c r="H16" s="4">
        <f>SUM(OSRRefH16x_0)</f>
        <v>173</v>
      </c>
      <c r="I16" s="4"/>
      <c r="J16" s="12">
        <f t="shared" ref="J16:J18" si="5">IF(H$12=0,0,H16/H$12)</f>
        <v>0.49855907780979825</v>
      </c>
      <c r="K16" s="4"/>
      <c r="L16" s="4">
        <f t="shared" ref="L16:L18" si="6">+D16-H16</f>
        <v>2566</v>
      </c>
      <c r="M16" s="4"/>
      <c r="N16" s="12">
        <f t="shared" ref="N16:N18" si="7">IF(H16=0,0,L16/H16)</f>
        <v>14.832369942196532</v>
      </c>
      <c r="O16" s="10"/>
      <c r="P16" s="4">
        <f>SUM(OSRRefP16x_0)</f>
        <v>488.96</v>
      </c>
      <c r="Q16" s="4"/>
      <c r="R16" s="12">
        <f t="shared" ref="R16:R18" si="8">IF(P$12=0,0,P16/P$12)</f>
        <v>1.0526587728740582</v>
      </c>
      <c r="S16" s="4"/>
      <c r="T16" s="4">
        <f>SUM(OSRRefT16x_0)</f>
        <v>254</v>
      </c>
      <c r="U16" s="4"/>
      <c r="V16" s="12">
        <f t="shared" ref="V16:V18" si="9">IF(T$12=0,0,T16/T$12)</f>
        <v>0.5</v>
      </c>
      <c r="W16" s="4"/>
      <c r="X16" s="4">
        <f t="shared" ref="X16:X18" si="10">+P16-T16</f>
        <v>234.95999999999998</v>
      </c>
      <c r="Y16" s="4"/>
      <c r="Z16" s="12">
        <f t="shared" ref="Z16:Z18" si="11">IF(T16=0,0,X16/T16)</f>
        <v>0.92503937007874004</v>
      </c>
    </row>
    <row r="17" spans="1:26" s="24" customFormat="1" hidden="1" outlineLevel="1" x14ac:dyDescent="0.25">
      <c r="A17" s="46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1">
        <f t="shared" si="4"/>
        <v>0</v>
      </c>
      <c r="G17" s="2"/>
      <c r="H17" s="2">
        <v>173</v>
      </c>
      <c r="I17" s="2"/>
      <c r="J17" s="21">
        <f t="shared" si="5"/>
        <v>0.49855907780979825</v>
      </c>
      <c r="K17" s="2"/>
      <c r="L17" s="2">
        <f t="shared" si="6"/>
        <v>-173</v>
      </c>
      <c r="M17" s="2"/>
      <c r="N17" s="21">
        <f t="shared" si="7"/>
        <v>-1</v>
      </c>
      <c r="O17" s="11"/>
      <c r="P17" s="2"/>
      <c r="Q17" s="2"/>
      <c r="R17" s="21">
        <f t="shared" si="8"/>
        <v>0</v>
      </c>
      <c r="S17" s="2"/>
      <c r="T17" s="2">
        <v>254</v>
      </c>
      <c r="U17" s="2"/>
      <c r="V17" s="21">
        <f t="shared" si="9"/>
        <v>0.5</v>
      </c>
      <c r="W17" s="2"/>
      <c r="X17" s="2">
        <f t="shared" si="10"/>
        <v>-254</v>
      </c>
      <c r="Y17" s="2"/>
      <c r="Z17" s="21">
        <f t="shared" si="11"/>
        <v>-1</v>
      </c>
    </row>
    <row r="18" spans="1:26" s="24" customFormat="1" hidden="1" outlineLevel="1" x14ac:dyDescent="0.25">
      <c r="A18" s="46"/>
      <c r="B18" s="11" t="str">
        <f>CONCATENATE("          ", "5059", " - ", "PURCHASES @ COST-FOOD")</f>
        <v xml:space="preserve">          5059 - PURCHASES @ COST-FOOD</v>
      </c>
      <c r="C18" s="11"/>
      <c r="D18" s="2">
        <v>2739</v>
      </c>
      <c r="E18" s="2"/>
      <c r="F18" s="21">
        <f t="shared" si="4"/>
        <v>12.039560439560439</v>
      </c>
      <c r="G18" s="2"/>
      <c r="H18" s="2"/>
      <c r="I18" s="2"/>
      <c r="J18" s="21">
        <f t="shared" si="5"/>
        <v>0</v>
      </c>
      <c r="K18" s="2"/>
      <c r="L18" s="2">
        <f t="shared" si="6"/>
        <v>2739</v>
      </c>
      <c r="M18" s="2"/>
      <c r="N18" s="21">
        <f t="shared" si="7"/>
        <v>0</v>
      </c>
      <c r="O18" s="11"/>
      <c r="P18" s="2">
        <v>488.96</v>
      </c>
      <c r="Q18" s="2"/>
      <c r="R18" s="21">
        <f t="shared" si="8"/>
        <v>1.0526587728740582</v>
      </c>
      <c r="S18" s="2"/>
      <c r="T18" s="2"/>
      <c r="U18" s="2"/>
      <c r="V18" s="21">
        <f t="shared" si="9"/>
        <v>0</v>
      </c>
      <c r="W18" s="2"/>
      <c r="X18" s="2">
        <f t="shared" si="10"/>
        <v>488.96</v>
      </c>
      <c r="Y18" s="2"/>
      <c r="Z18" s="21">
        <f t="shared" si="11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9" t="s">
        <v>6</v>
      </c>
      <c r="C20" s="29"/>
      <c r="D20" s="22">
        <f>D12-D16</f>
        <v>-2511.5</v>
      </c>
      <c r="E20" s="14"/>
      <c r="F20" s="20">
        <f>IF(D$12=0,0,D20/D$12)</f>
        <v>-11.039560439560439</v>
      </c>
      <c r="G20" s="14"/>
      <c r="H20" s="22">
        <f>H12-H16</f>
        <v>174</v>
      </c>
      <c r="I20" s="14"/>
      <c r="J20" s="20">
        <f>IF(H$12=0,0,H20/H$12)</f>
        <v>0.50144092219020175</v>
      </c>
      <c r="K20" s="15"/>
      <c r="L20" s="22">
        <f>+D20-H20</f>
        <v>-2685.5</v>
      </c>
      <c r="M20" s="15"/>
      <c r="N20" s="20">
        <f>IF(H20=0,0,L20/H20)</f>
        <v>-15.433908045977011</v>
      </c>
      <c r="O20" s="28"/>
      <c r="P20" s="22">
        <f>P12-P16</f>
        <v>-24.45999999999998</v>
      </c>
      <c r="Q20" s="14"/>
      <c r="R20" s="20">
        <f>IF(P$12=0,0,P20/P$12)</f>
        <v>-5.2658772874058082E-2</v>
      </c>
      <c r="S20" s="14"/>
      <c r="T20" s="22">
        <f>T12-T16</f>
        <v>254</v>
      </c>
      <c r="U20" s="14"/>
      <c r="V20" s="20">
        <f>IF(T$12=0,0,T20/T$12)</f>
        <v>0.5</v>
      </c>
      <c r="W20" s="15"/>
      <c r="X20" s="22">
        <f>+P20-T20</f>
        <v>-278.45999999999998</v>
      </c>
      <c r="Y20" s="15"/>
      <c r="Z20" s="20">
        <f>IF(T20=0,0,X20/T20)</f>
        <v>-1.0962992125984252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8" t="s">
        <v>9</v>
      </c>
      <c r="C22" s="10"/>
      <c r="D22" s="19">
        <f>SUM(OSRRefD22x_0)</f>
        <v>53.89</v>
      </c>
      <c r="E22" s="19"/>
      <c r="F22" s="34">
        <f t="shared" ref="F22:F24" si="12">IF(D$12=0,0,D22/D$12)</f>
        <v>0.23687912087912089</v>
      </c>
      <c r="G22" s="19"/>
      <c r="H22" s="19">
        <f>SUM(OSRRefH22x_0)</f>
        <v>30</v>
      </c>
      <c r="I22" s="19"/>
      <c r="J22" s="34">
        <f t="shared" ref="J22:J24" si="13">IF(H$12=0,0,H22/H$12)</f>
        <v>8.645533141210375E-2</v>
      </c>
      <c r="K22" s="4"/>
      <c r="L22" s="19">
        <f t="shared" ref="L22:L24" si="14">+D22-H22</f>
        <v>23.89</v>
      </c>
      <c r="M22" s="4"/>
      <c r="N22" s="34">
        <f t="shared" ref="N22:N24" si="15">IF(H22=0,0,L22/H22)</f>
        <v>0.79633333333333334</v>
      </c>
      <c r="O22" s="10"/>
      <c r="P22" s="19">
        <f>SUM(OSRRefP22x_0)</f>
        <v>107.85</v>
      </c>
      <c r="Q22" s="19"/>
      <c r="R22" s="34">
        <f t="shared" ref="R22:R24" si="16">IF(P$12=0,0,P22/P$12)</f>
        <v>0.23218514531754575</v>
      </c>
      <c r="S22" s="19"/>
      <c r="T22" s="19">
        <f>SUM(OSRRefT22x_0)</f>
        <v>44</v>
      </c>
      <c r="U22" s="19"/>
      <c r="V22" s="34">
        <f t="shared" ref="V22:V24" si="17">IF(T$12=0,0,T22/T$12)</f>
        <v>8.6614173228346455E-2</v>
      </c>
      <c r="W22" s="4"/>
      <c r="X22" s="19">
        <f t="shared" ref="X22:X24" si="18">+P22-T22</f>
        <v>63.849999999999994</v>
      </c>
      <c r="Y22" s="4"/>
      <c r="Z22" s="34">
        <f t="shared" ref="Z22:Z24" si="19">IF(T22=0,0,X22/T22)</f>
        <v>1.4511363636363634</v>
      </c>
    </row>
    <row r="23" spans="1:26" s="26" customFormat="1" outlineLevel="1" collapsed="1" x14ac:dyDescent="0.25">
      <c r="A23" s="25"/>
      <c r="B23" s="13" t="str">
        <f>CONCATENATE("     ","Bank/card Fees                                    ")</f>
        <v xml:space="preserve">     Bank/card Fees                                    </v>
      </c>
      <c r="C23" s="13"/>
      <c r="D23" s="1">
        <f>SUM(OSRRefD22_0x_0)</f>
        <v>53.89</v>
      </c>
      <c r="E23" s="1"/>
      <c r="F23" s="5">
        <f t="shared" si="12"/>
        <v>0.23687912087912089</v>
      </c>
      <c r="G23" s="1"/>
      <c r="H23" s="1">
        <f>SUM(OSRRefH22_0x_0)</f>
        <v>30</v>
      </c>
      <c r="I23" s="1"/>
      <c r="J23" s="5">
        <f t="shared" si="13"/>
        <v>8.645533141210375E-2</v>
      </c>
      <c r="K23" s="1"/>
      <c r="L23" s="1">
        <f t="shared" si="14"/>
        <v>23.89</v>
      </c>
      <c r="M23" s="1"/>
      <c r="N23" s="5">
        <f t="shared" si="15"/>
        <v>0.79633333333333334</v>
      </c>
      <c r="O23" s="13"/>
      <c r="P23" s="1">
        <f>SUM(OSRRefP22_0x_0)</f>
        <v>107.85</v>
      </c>
      <c r="Q23" s="1"/>
      <c r="R23" s="5">
        <f t="shared" si="16"/>
        <v>0.23218514531754575</v>
      </c>
      <c r="S23" s="1"/>
      <c r="T23" s="1">
        <f>SUM(OSRRefT22_0x_0)</f>
        <v>44</v>
      </c>
      <c r="U23" s="1"/>
      <c r="V23" s="5">
        <f t="shared" si="17"/>
        <v>8.6614173228346455E-2</v>
      </c>
      <c r="W23" s="1"/>
      <c r="X23" s="1">
        <f t="shared" si="18"/>
        <v>63.849999999999994</v>
      </c>
      <c r="Y23" s="1"/>
      <c r="Z23" s="5">
        <f t="shared" si="19"/>
        <v>1.4511363636363634</v>
      </c>
    </row>
    <row r="24" spans="1:26" s="24" customFormat="1" hidden="1" outlineLevel="2" x14ac:dyDescent="0.25">
      <c r="A24" s="27"/>
      <c r="B24" s="11" t="str">
        <f>CONCATENATE("          ", "6381", " - ", "BANK/CREDIT CARD FEES")</f>
        <v xml:space="preserve">          6381 - BANK/CREDIT CARD FEES</v>
      </c>
      <c r="C24" s="11"/>
      <c r="D24" s="6">
        <v>53.89</v>
      </c>
      <c r="E24" s="2"/>
      <c r="F24" s="7">
        <f t="shared" si="12"/>
        <v>0.23687912087912089</v>
      </c>
      <c r="G24" s="2"/>
      <c r="H24" s="6">
        <v>30</v>
      </c>
      <c r="I24" s="2"/>
      <c r="J24" s="7">
        <f t="shared" si="13"/>
        <v>8.645533141210375E-2</v>
      </c>
      <c r="K24" s="2"/>
      <c r="L24" s="6">
        <f t="shared" si="14"/>
        <v>23.89</v>
      </c>
      <c r="M24" s="2"/>
      <c r="N24" s="7">
        <f t="shared" si="15"/>
        <v>0.79633333333333334</v>
      </c>
      <c r="O24" s="11"/>
      <c r="P24" s="6">
        <v>107.85</v>
      </c>
      <c r="Q24" s="2"/>
      <c r="R24" s="7">
        <f t="shared" si="16"/>
        <v>0.23218514531754575</v>
      </c>
      <c r="S24" s="2"/>
      <c r="T24" s="6">
        <v>44</v>
      </c>
      <c r="U24" s="2"/>
      <c r="V24" s="7">
        <f t="shared" si="17"/>
        <v>8.6614173228346455E-2</v>
      </c>
      <c r="W24" s="2"/>
      <c r="X24" s="6">
        <f t="shared" si="18"/>
        <v>63.849999999999994</v>
      </c>
      <c r="Y24" s="2"/>
      <c r="Z24" s="7">
        <f t="shared" si="19"/>
        <v>1.4511363636363634</v>
      </c>
    </row>
    <row r="25" spans="1:26" s="63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8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9" t="s">
        <v>3</v>
      </c>
      <c r="C28" s="29"/>
      <c r="D28" s="22">
        <f>+D20-D22+D26</f>
        <v>-2565.39</v>
      </c>
      <c r="E28" s="14"/>
      <c r="F28" s="20">
        <f>IF(D$12=0,0,D28/D$12)</f>
        <v>-11.27643956043956</v>
      </c>
      <c r="G28" s="14"/>
      <c r="H28" s="22">
        <f>+H20-H22+H26</f>
        <v>144</v>
      </c>
      <c r="I28" s="14"/>
      <c r="J28" s="20">
        <f>IF(H$12=0,0,H28/H$12)</f>
        <v>0.41498559077809799</v>
      </c>
      <c r="K28" s="15"/>
      <c r="L28" s="22">
        <f>+D28-H28</f>
        <v>-2709.39</v>
      </c>
      <c r="M28" s="15"/>
      <c r="N28" s="20">
        <f>IF(H28=0,0,L28/H28)</f>
        <v>-18.815208333333331</v>
      </c>
      <c r="O28" s="28"/>
      <c r="P28" s="22">
        <f>+P20-P22+P26</f>
        <v>-132.30999999999997</v>
      </c>
      <c r="Q28" s="14"/>
      <c r="R28" s="20">
        <f>IF(P$12=0,0,P28/P$12)</f>
        <v>-0.28484391819160382</v>
      </c>
      <c r="S28" s="14"/>
      <c r="T28" s="22">
        <f>+T20-T22+T26</f>
        <v>210</v>
      </c>
      <c r="U28" s="14"/>
      <c r="V28" s="20">
        <f>IF(T$12=0,0,T28/T$12)</f>
        <v>0.41338582677165353</v>
      </c>
      <c r="W28" s="15"/>
      <c r="X28" s="22">
        <f>+P28-T28</f>
        <v>-342.30999999999995</v>
      </c>
      <c r="Y28" s="15"/>
      <c r="Z28" s="20">
        <f>IF(T28=0,0,X28/T28)</f>
        <v>-1.6300476190476187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8.6300000000000008</v>
      </c>
      <c r="E30" s="4"/>
      <c r="F30" s="12">
        <f>IF(D$12=0,0,D30/D$12)</f>
        <v>3.7934065934065939E-2</v>
      </c>
      <c r="G30" s="4"/>
      <c r="H30" s="4">
        <v>43</v>
      </c>
      <c r="I30" s="4"/>
      <c r="J30" s="12">
        <f>IF(H$12=0,0,H30/H$12)</f>
        <v>0.1239193083573487</v>
      </c>
      <c r="K30" s="4"/>
      <c r="L30" s="4">
        <f>+D30-H30</f>
        <v>-34.369999999999997</v>
      </c>
      <c r="M30" s="4"/>
      <c r="N30" s="12">
        <f>IF(H30=0,0,L30/H30)</f>
        <v>-0.79930232558139525</v>
      </c>
      <c r="O30" s="10"/>
      <c r="P30" s="4">
        <v>57.91</v>
      </c>
      <c r="Q30" s="4"/>
      <c r="R30" s="12">
        <f>IF(P$12=0,0,P30/P$12)</f>
        <v>0.12467168998923572</v>
      </c>
      <c r="S30" s="4"/>
      <c r="T30" s="4">
        <v>82</v>
      </c>
      <c r="U30" s="4"/>
      <c r="V30" s="12">
        <f>IF(T$12=0,0,T30/T$12)</f>
        <v>0.16141732283464566</v>
      </c>
      <c r="W30" s="4"/>
      <c r="X30" s="4">
        <f>+P30-T30</f>
        <v>-24.090000000000003</v>
      </c>
      <c r="Y30" s="4"/>
      <c r="Z30" s="12">
        <f>IF(T30=0,0,X30/T30)</f>
        <v>-0.29378048780487809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9" t="s">
        <v>4</v>
      </c>
      <c r="C32" s="29"/>
      <c r="D32" s="31">
        <f>+D28-D30</f>
        <v>-2574.02</v>
      </c>
      <c r="E32" s="14"/>
      <c r="F32" s="32">
        <f>IF(D$12=0,0,D32/D$12)</f>
        <v>-11.314373626373627</v>
      </c>
      <c r="G32" s="14"/>
      <c r="H32" s="31">
        <f>+H28-H30</f>
        <v>101</v>
      </c>
      <c r="I32" s="14"/>
      <c r="J32" s="32">
        <f>IF(H$12=0,0,H32/H$12)</f>
        <v>0.29106628242074928</v>
      </c>
      <c r="K32" s="15"/>
      <c r="L32" s="31">
        <f>D32-H32</f>
        <v>-2675.02</v>
      </c>
      <c r="M32" s="15"/>
      <c r="N32" s="32">
        <f>IF(H32=0,0,L32/H32)</f>
        <v>-26.485346534653466</v>
      </c>
      <c r="O32" s="28"/>
      <c r="P32" s="31">
        <f>+P28-P30</f>
        <v>-190.21999999999997</v>
      </c>
      <c r="Q32" s="14"/>
      <c r="R32" s="32">
        <f>IF(P$12=0,0,P32/P$12)</f>
        <v>-0.40951560818083954</v>
      </c>
      <c r="S32" s="14"/>
      <c r="T32" s="31">
        <f>+T28-T30</f>
        <v>128</v>
      </c>
      <c r="U32" s="14"/>
      <c r="V32" s="32">
        <f>IF(T$12=0,0,T32/T$12)</f>
        <v>0.25196850393700787</v>
      </c>
      <c r="W32" s="15"/>
      <c r="X32" s="31">
        <f>P32-T32</f>
        <v>-318.21999999999997</v>
      </c>
      <c r="Y32" s="15"/>
      <c r="Z32" s="32">
        <f>IF(T32=0,0,X32/T32)</f>
        <v>-2.4860937499999998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9" t="s">
        <v>5</v>
      </c>
      <c r="C35" s="29"/>
      <c r="D35" s="33">
        <f>SUM(D32:D34)</f>
        <v>-2574.02</v>
      </c>
      <c r="E35" s="14"/>
      <c r="F35" s="35">
        <f>IF(D$12=0,0,D35/D$12)</f>
        <v>-11.314373626373627</v>
      </c>
      <c r="G35" s="14"/>
      <c r="H35" s="33">
        <f>SUM(H32:H34)</f>
        <v>101</v>
      </c>
      <c r="I35" s="14"/>
      <c r="J35" s="35">
        <f>IF(H$12=0,0,H35/H$12)</f>
        <v>0.29106628242074928</v>
      </c>
      <c r="K35" s="15"/>
      <c r="L35" s="33">
        <f>+D35-H35</f>
        <v>-2675.02</v>
      </c>
      <c r="M35" s="15"/>
      <c r="N35" s="35">
        <f>IF(H35=0,0,L35/H35)</f>
        <v>-26.485346534653466</v>
      </c>
      <c r="O35" s="28"/>
      <c r="P35" s="33">
        <f>SUM(P32:P34)</f>
        <v>-190.21999999999997</v>
      </c>
      <c r="Q35" s="14"/>
      <c r="R35" s="35">
        <f>IF(P$12=0,0,P35/P$12)</f>
        <v>-0.40951560818083954</v>
      </c>
      <c r="S35" s="14"/>
      <c r="T35" s="33">
        <f>SUM(T32:T34)</f>
        <v>128</v>
      </c>
      <c r="U35" s="14"/>
      <c r="V35" s="35">
        <f>IF(T$12=0,0,T35/T$12)</f>
        <v>0.25196850393700787</v>
      </c>
      <c r="W35" s="15"/>
      <c r="X35" s="33">
        <f>+P35-T35</f>
        <v>-318.21999999999997</v>
      </c>
      <c r="Y35" s="15"/>
      <c r="Z35" s="35">
        <f>IF(T35=0,0,X35/T35)</f>
        <v>-2.4860937499999998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25">
      <c r="A37" s="9"/>
      <c r="B37" s="61">
        <v>43732.706230011572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2" t="s">
        <v>314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58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4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310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854081.4</v>
      </c>
      <c r="E12" s="4"/>
      <c r="F12" s="12"/>
      <c r="G12" s="4"/>
      <c r="H12" s="4">
        <f>SUM(OSRRefH13x_0)</f>
        <v>925250</v>
      </c>
      <c r="I12" s="4"/>
      <c r="J12" s="12"/>
      <c r="K12" s="4"/>
      <c r="L12" s="4">
        <f t="shared" ref="L12:L24" si="0">+D12-H12</f>
        <v>-71168.599999999977</v>
      </c>
      <c r="M12" s="4"/>
      <c r="N12" s="12">
        <f t="shared" ref="N12:N24" si="1">IF(H12=0,0,L12/H12)</f>
        <v>-7.691823831396917E-2</v>
      </c>
      <c r="O12" s="10"/>
      <c r="P12" s="4">
        <f>SUM(OSRRefP13x_0)</f>
        <v>1542981.09</v>
      </c>
      <c r="Q12" s="4"/>
      <c r="R12" s="12"/>
      <c r="S12" s="4"/>
      <c r="T12" s="4">
        <f>SUM(OSRRefT13x_0)</f>
        <v>1672928</v>
      </c>
      <c r="U12" s="4"/>
      <c r="V12" s="12"/>
      <c r="W12" s="4"/>
      <c r="X12" s="4">
        <f t="shared" ref="X12:X24" si="2">+P12-T12</f>
        <v>-129946.90999999992</v>
      </c>
      <c r="Y12" s="4"/>
      <c r="Z12" s="12">
        <f t="shared" ref="Z12:Z24" si="3">IF(T12=0,0,X12/T12)</f>
        <v>-7.7676331557604339E-2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254274</v>
      </c>
      <c r="I13" s="2"/>
      <c r="J13" s="21"/>
      <c r="K13" s="2"/>
      <c r="L13" s="2">
        <f t="shared" si="0"/>
        <v>-254274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414709</v>
      </c>
      <c r="U13" s="2"/>
      <c r="V13" s="21"/>
      <c r="W13" s="2"/>
      <c r="X13" s="2">
        <f t="shared" si="2"/>
        <v>-414709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"4051", " - ", "TAXABLE SALES-FOOD")</f>
        <v xml:space="preserve">          4051 - TAXABLE SALES-FOOD</v>
      </c>
      <c r="C14" s="11"/>
      <c r="D14" s="2">
        <f>--34317.05</f>
        <v>34317.050000000003</v>
      </c>
      <c r="E14" s="2"/>
      <c r="F14" s="21"/>
      <c r="G14" s="2"/>
      <c r="H14" s="2"/>
      <c r="I14" s="2"/>
      <c r="J14" s="21"/>
      <c r="K14" s="2"/>
      <c r="L14" s="2">
        <f t="shared" si="0"/>
        <v>34317.050000000003</v>
      </c>
      <c r="M14" s="2"/>
      <c r="N14" s="21">
        <f t="shared" si="1"/>
        <v>0</v>
      </c>
      <c r="O14" s="11"/>
      <c r="P14" s="2">
        <f>--53195.75</f>
        <v>53195.75</v>
      </c>
      <c r="Q14" s="2"/>
      <c r="R14" s="21"/>
      <c r="S14" s="2"/>
      <c r="T14" s="2"/>
      <c r="U14" s="2"/>
      <c r="V14" s="21"/>
      <c r="W14" s="2"/>
      <c r="X14" s="2">
        <f t="shared" si="2"/>
        <v>53195.75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"4052", " - ", "TAXABLE SALES-FOOD")</f>
        <v xml:space="preserve">          4052 - TAXABLE SALES-FOOD</v>
      </c>
      <c r="C15" s="11"/>
      <c r="D15" s="2">
        <f>--95751.36</f>
        <v>95751.360000000001</v>
      </c>
      <c r="E15" s="2"/>
      <c r="F15" s="21"/>
      <c r="G15" s="2"/>
      <c r="H15" s="2"/>
      <c r="I15" s="2"/>
      <c r="J15" s="21"/>
      <c r="K15" s="2"/>
      <c r="L15" s="2">
        <f t="shared" si="0"/>
        <v>95751.360000000001</v>
      </c>
      <c r="M15" s="2"/>
      <c r="N15" s="21">
        <f t="shared" si="1"/>
        <v>0</v>
      </c>
      <c r="O15" s="11"/>
      <c r="P15" s="2">
        <f>--139530.2</f>
        <v>139530.20000000001</v>
      </c>
      <c r="Q15" s="2"/>
      <c r="R15" s="21"/>
      <c r="S15" s="2"/>
      <c r="T15" s="2"/>
      <c r="U15" s="2"/>
      <c r="V15" s="21"/>
      <c r="W15" s="2"/>
      <c r="X15" s="2">
        <f t="shared" si="2"/>
        <v>139530.20000000001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"4053", " - ", "TAXABLE SALES-FOOD")</f>
        <v xml:space="preserve">          4053 - TAXABLE SALES-FOOD</v>
      </c>
      <c r="C16" s="11"/>
      <c r="D16" s="2">
        <f>--20205.92</f>
        <v>20205.919999999998</v>
      </c>
      <c r="E16" s="2"/>
      <c r="F16" s="21"/>
      <c r="G16" s="2"/>
      <c r="H16" s="2"/>
      <c r="I16" s="2"/>
      <c r="J16" s="21"/>
      <c r="K16" s="2"/>
      <c r="L16" s="2">
        <f t="shared" si="0"/>
        <v>20205.919999999998</v>
      </c>
      <c r="M16" s="2"/>
      <c r="N16" s="21">
        <f t="shared" si="1"/>
        <v>0</v>
      </c>
      <c r="O16" s="11"/>
      <c r="P16" s="2">
        <f>--46281.13</f>
        <v>46281.13</v>
      </c>
      <c r="Q16" s="2"/>
      <c r="R16" s="21"/>
      <c r="S16" s="2"/>
      <c r="T16" s="2"/>
      <c r="U16" s="2"/>
      <c r="V16" s="21"/>
      <c r="W16" s="2"/>
      <c r="X16" s="2">
        <f t="shared" si="2"/>
        <v>46281.13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"4055", " - ", "TAXABLE SALES-FOOD")</f>
        <v xml:space="preserve">          4055 - TAXABLE SALES-FOOD</v>
      </c>
      <c r="C17" s="11"/>
      <c r="D17" s="2">
        <f>--29739.09</f>
        <v>29739.09</v>
      </c>
      <c r="E17" s="2"/>
      <c r="F17" s="21"/>
      <c r="G17" s="2"/>
      <c r="H17" s="2"/>
      <c r="I17" s="2"/>
      <c r="J17" s="21"/>
      <c r="K17" s="2"/>
      <c r="L17" s="2">
        <f t="shared" si="0"/>
        <v>29739.09</v>
      </c>
      <c r="M17" s="2"/>
      <c r="N17" s="21">
        <f t="shared" si="1"/>
        <v>0</v>
      </c>
      <c r="O17" s="11"/>
      <c r="P17" s="2">
        <f>--43982.72</f>
        <v>43982.720000000001</v>
      </c>
      <c r="Q17" s="2"/>
      <c r="R17" s="21"/>
      <c r="S17" s="2"/>
      <c r="T17" s="2"/>
      <c r="U17" s="2"/>
      <c r="V17" s="21"/>
      <c r="W17" s="2"/>
      <c r="X17" s="2">
        <f t="shared" si="2"/>
        <v>43982.720000000001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"4058", " - ", "TAXABLE SALES-FOOD")</f>
        <v xml:space="preserve">          4058 - TAXABLE SALES-FOOD</v>
      </c>
      <c r="C18" s="11"/>
      <c r="D18" s="2">
        <f>--9436.48</f>
        <v>9436.48</v>
      </c>
      <c r="E18" s="2"/>
      <c r="F18" s="21"/>
      <c r="G18" s="2"/>
      <c r="H18" s="2"/>
      <c r="I18" s="2"/>
      <c r="J18" s="21"/>
      <c r="K18" s="2"/>
      <c r="L18" s="2">
        <f t="shared" si="0"/>
        <v>9436.48</v>
      </c>
      <c r="M18" s="2"/>
      <c r="N18" s="21">
        <f t="shared" si="1"/>
        <v>0</v>
      </c>
      <c r="O18" s="11"/>
      <c r="P18" s="2">
        <f>--17838.14</f>
        <v>17838.14</v>
      </c>
      <c r="Q18" s="2"/>
      <c r="R18" s="21"/>
      <c r="S18" s="2"/>
      <c r="T18" s="2"/>
      <c r="U18" s="2"/>
      <c r="V18" s="21"/>
      <c r="W18" s="2"/>
      <c r="X18" s="2">
        <f t="shared" si="2"/>
        <v>17838.14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1"/>
      <c r="G19" s="2"/>
      <c r="H19" s="2">
        <v>670976</v>
      </c>
      <c r="I19" s="2"/>
      <c r="J19" s="21"/>
      <c r="K19" s="2"/>
      <c r="L19" s="2">
        <f t="shared" si="0"/>
        <v>-670976</v>
      </c>
      <c r="M19" s="2"/>
      <c r="N19" s="21">
        <f t="shared" si="1"/>
        <v>-1</v>
      </c>
      <c r="O19" s="11"/>
      <c r="P19" s="2">
        <f>0</f>
        <v>0</v>
      </c>
      <c r="Q19" s="2"/>
      <c r="R19" s="21"/>
      <c r="S19" s="2"/>
      <c r="T19" s="2">
        <v>1258219</v>
      </c>
      <c r="U19" s="2"/>
      <c r="V19" s="21"/>
      <c r="W19" s="2"/>
      <c r="X19" s="2">
        <f t="shared" si="2"/>
        <v>-1258219</v>
      </c>
      <c r="Y19" s="2"/>
      <c r="Z19" s="21">
        <f t="shared" si="3"/>
        <v>-1</v>
      </c>
    </row>
    <row r="20" spans="1:26" s="24" customFormat="1" hidden="1" outlineLevel="1" x14ac:dyDescent="0.25">
      <c r="A20" s="46"/>
      <c r="B20" s="11" t="str">
        <f>CONCATENATE("          ", "4151", " - ", "NON-TAXABLE SALES-FOOD")</f>
        <v xml:space="preserve">          4151 - NON-TAXABLE SALES-FOOD</v>
      </c>
      <c r="C20" s="11"/>
      <c r="D20" s="2">
        <f>--483731.26</f>
        <v>483731.26</v>
      </c>
      <c r="E20" s="2"/>
      <c r="F20" s="21"/>
      <c r="G20" s="2"/>
      <c r="H20" s="2"/>
      <c r="I20" s="2"/>
      <c r="J20" s="21"/>
      <c r="K20" s="2"/>
      <c r="L20" s="2">
        <f t="shared" si="0"/>
        <v>483731.26</v>
      </c>
      <c r="M20" s="2"/>
      <c r="N20" s="21">
        <f t="shared" si="1"/>
        <v>0</v>
      </c>
      <c r="O20" s="11"/>
      <c r="P20" s="2">
        <f>--1003377.76</f>
        <v>1003377.76</v>
      </c>
      <c r="Q20" s="2"/>
      <c r="R20" s="21"/>
      <c r="S20" s="2"/>
      <c r="T20" s="2"/>
      <c r="U20" s="2"/>
      <c r="V20" s="21"/>
      <c r="W20" s="2"/>
      <c r="X20" s="2">
        <f t="shared" si="2"/>
        <v>1003377.76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"4152", " - ", "NON-TAXABLE SALES-FOOD")</f>
        <v xml:space="preserve">          4152 - NON-TAXABLE SALES-FOOD</v>
      </c>
      <c r="C21" s="11"/>
      <c r="D21" s="2">
        <f>--3990.43</f>
        <v>3990.43</v>
      </c>
      <c r="E21" s="2"/>
      <c r="F21" s="21"/>
      <c r="G21" s="2"/>
      <c r="H21" s="2"/>
      <c r="I21" s="2"/>
      <c r="J21" s="21"/>
      <c r="K21" s="2"/>
      <c r="L21" s="2">
        <f t="shared" si="0"/>
        <v>3990.43</v>
      </c>
      <c r="M21" s="2"/>
      <c r="N21" s="21">
        <f t="shared" si="1"/>
        <v>0</v>
      </c>
      <c r="O21" s="11"/>
      <c r="P21" s="2">
        <f>--7657.52</f>
        <v>7657.52</v>
      </c>
      <c r="Q21" s="2"/>
      <c r="R21" s="21"/>
      <c r="S21" s="2"/>
      <c r="T21" s="2"/>
      <c r="U21" s="2"/>
      <c r="V21" s="21"/>
      <c r="W21" s="2"/>
      <c r="X21" s="2">
        <f t="shared" si="2"/>
        <v>7657.52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"4153", " - ", "NON-TAXABLE SALES-FOOD")</f>
        <v xml:space="preserve">          4153 - NON-TAXABLE SALES-FOOD</v>
      </c>
      <c r="C22" s="11"/>
      <c r="D22" s="2">
        <f>--100740.21</f>
        <v>100740.21</v>
      </c>
      <c r="E22" s="2"/>
      <c r="F22" s="21"/>
      <c r="G22" s="2"/>
      <c r="H22" s="2"/>
      <c r="I22" s="2"/>
      <c r="J22" s="21"/>
      <c r="K22" s="2"/>
      <c r="L22" s="2">
        <f t="shared" si="0"/>
        <v>100740.21</v>
      </c>
      <c r="M22" s="2"/>
      <c r="N22" s="21">
        <f t="shared" si="1"/>
        <v>0</v>
      </c>
      <c r="O22" s="11"/>
      <c r="P22" s="2">
        <f>--119751.92</f>
        <v>119751.92</v>
      </c>
      <c r="Q22" s="2"/>
      <c r="R22" s="21"/>
      <c r="S22" s="2"/>
      <c r="T22" s="2"/>
      <c r="U22" s="2"/>
      <c r="V22" s="21"/>
      <c r="W22" s="2"/>
      <c r="X22" s="2">
        <f t="shared" si="2"/>
        <v>119751.92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"4155", " - ", "NON-TAXABLE SALES-FOOD")</f>
        <v xml:space="preserve">          4155 - NON-TAXABLE SALES-FOOD</v>
      </c>
      <c r="C23" s="11"/>
      <c r="D23" s="2">
        <f>--45359.38</f>
        <v>45359.38</v>
      </c>
      <c r="E23" s="2"/>
      <c r="F23" s="21"/>
      <c r="G23" s="2"/>
      <c r="H23" s="2"/>
      <c r="I23" s="2"/>
      <c r="J23" s="21"/>
      <c r="K23" s="2"/>
      <c r="L23" s="2">
        <f t="shared" si="0"/>
        <v>45359.38</v>
      </c>
      <c r="M23" s="2"/>
      <c r="N23" s="21">
        <f t="shared" si="1"/>
        <v>0</v>
      </c>
      <c r="O23" s="11"/>
      <c r="P23" s="2">
        <f>--70996.04</f>
        <v>70996.039999999994</v>
      </c>
      <c r="Q23" s="2"/>
      <c r="R23" s="21"/>
      <c r="S23" s="2"/>
      <c r="T23" s="2"/>
      <c r="U23" s="2"/>
      <c r="V23" s="21"/>
      <c r="W23" s="2"/>
      <c r="X23" s="2">
        <f t="shared" si="2"/>
        <v>70996.039999999994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"4158", " - ", "NON-TAXABLE SALES-FOOD")</f>
        <v xml:space="preserve">          4158 - NON-TAXABLE SALES-FOOD</v>
      </c>
      <c r="C24" s="11"/>
      <c r="D24" s="2">
        <f>--30810.22</f>
        <v>30810.22</v>
      </c>
      <c r="E24" s="2"/>
      <c r="F24" s="21"/>
      <c r="G24" s="2"/>
      <c r="H24" s="2"/>
      <c r="I24" s="2"/>
      <c r="J24" s="21"/>
      <c r="K24" s="2"/>
      <c r="L24" s="2">
        <f t="shared" si="0"/>
        <v>30810.22</v>
      </c>
      <c r="M24" s="2"/>
      <c r="N24" s="21">
        <f t="shared" si="1"/>
        <v>0</v>
      </c>
      <c r="O24" s="11"/>
      <c r="P24" s="2">
        <f>--40369.91</f>
        <v>40369.910000000003</v>
      </c>
      <c r="Q24" s="2"/>
      <c r="R24" s="21"/>
      <c r="S24" s="2"/>
      <c r="T24" s="2"/>
      <c r="U24" s="2"/>
      <c r="V24" s="21"/>
      <c r="W24" s="2"/>
      <c r="X24" s="2">
        <f t="shared" si="2"/>
        <v>40369.910000000003</v>
      </c>
      <c r="Y24" s="2"/>
      <c r="Z24" s="21">
        <f t="shared" si="3"/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collapsed="1" x14ac:dyDescent="0.25">
      <c r="A26" s="10"/>
      <c r="B26" s="28" t="s">
        <v>8</v>
      </c>
      <c r="C26" s="10"/>
      <c r="D26" s="4">
        <f>SUM(OSRRefD16x_0)</f>
        <v>251281.21999999994</v>
      </c>
      <c r="E26" s="4"/>
      <c r="F26" s="12">
        <f t="shared" ref="F26:F29" si="4">IF(D$12=0,0,D26/D$12)</f>
        <v>0.29421226126690025</v>
      </c>
      <c r="G26" s="4"/>
      <c r="H26" s="4">
        <f>SUM(OSRRefH16x_0)</f>
        <v>315559.83</v>
      </c>
      <c r="I26" s="4"/>
      <c r="J26" s="12">
        <f t="shared" ref="J26:J29" si="5">IF(H$12=0,0,H26/H$12)</f>
        <v>0.34105358551742776</v>
      </c>
      <c r="K26" s="4"/>
      <c r="L26" s="4">
        <f t="shared" ref="L26:L29" si="6">+D26-H26</f>
        <v>-64278.610000000073</v>
      </c>
      <c r="M26" s="4"/>
      <c r="N26" s="12">
        <f t="shared" ref="N26:N29" si="7">IF(H26=0,0,L26/H26)</f>
        <v>-0.20369706118804815</v>
      </c>
      <c r="O26" s="10"/>
      <c r="P26" s="4">
        <f>SUM(OSRRefP16x_0)</f>
        <v>479309.92</v>
      </c>
      <c r="Q26" s="4"/>
      <c r="R26" s="12">
        <f t="shared" ref="R26:R29" si="8">IF(P$12=0,0,P26/P$12)</f>
        <v>0.31063888151733599</v>
      </c>
      <c r="S26" s="4"/>
      <c r="T26" s="4">
        <f>SUM(OSRRefT16x_0)</f>
        <v>546959.82999999996</v>
      </c>
      <c r="U26" s="4"/>
      <c r="V26" s="12">
        <f t="shared" ref="V26:V29" si="9">IF(T$12=0,0,T26/T$12)</f>
        <v>0.32694762117676313</v>
      </c>
      <c r="W26" s="4"/>
      <c r="X26" s="4">
        <f t="shared" ref="X26:X29" si="10">+P26-T26</f>
        <v>-67649.909999999974</v>
      </c>
      <c r="Y26" s="4"/>
      <c r="Z26" s="12">
        <f t="shared" ref="Z26:Z29" si="11">IF(T26=0,0,X26/T26)</f>
        <v>-0.12368350706851722</v>
      </c>
    </row>
    <row r="27" spans="1:26" s="24" customFormat="1" hidden="1" outlineLevel="1" x14ac:dyDescent="0.25">
      <c r="A27" s="46"/>
      <c r="B27" s="11" t="str">
        <f>CONCATENATE("          ", "5000", " - ", "PURCHASES @ COST")</f>
        <v xml:space="preserve">          5000 - PURCHASES @ COST</v>
      </c>
      <c r="C27" s="11"/>
      <c r="D27" s="2"/>
      <c r="E27" s="2"/>
      <c r="F27" s="21">
        <f t="shared" si="4"/>
        <v>0</v>
      </c>
      <c r="G27" s="2"/>
      <c r="H27" s="2">
        <v>315559.83</v>
      </c>
      <c r="I27" s="2"/>
      <c r="J27" s="21">
        <f t="shared" si="5"/>
        <v>0.34105358551742776</v>
      </c>
      <c r="K27" s="2"/>
      <c r="L27" s="2">
        <f t="shared" si="6"/>
        <v>-315559.83</v>
      </c>
      <c r="M27" s="2"/>
      <c r="N27" s="21">
        <f t="shared" si="7"/>
        <v>-1</v>
      </c>
      <c r="O27" s="11"/>
      <c r="P27" s="2"/>
      <c r="Q27" s="2"/>
      <c r="R27" s="21">
        <f t="shared" si="8"/>
        <v>0</v>
      </c>
      <c r="S27" s="2"/>
      <c r="T27" s="2">
        <v>546959.82999999996</v>
      </c>
      <c r="U27" s="2"/>
      <c r="V27" s="21">
        <f t="shared" si="9"/>
        <v>0.32694762117676313</v>
      </c>
      <c r="W27" s="2"/>
      <c r="X27" s="2">
        <f t="shared" si="10"/>
        <v>-546959.82999999996</v>
      </c>
      <c r="Y27" s="2"/>
      <c r="Z27" s="21">
        <f t="shared" si="11"/>
        <v>-1</v>
      </c>
    </row>
    <row r="28" spans="1:26" s="24" customFormat="1" hidden="1" outlineLevel="1" x14ac:dyDescent="0.25">
      <c r="A28" s="46"/>
      <c r="B28" s="11" t="str">
        <f>CONCATENATE("          ", "5053", " - ", "PURCHASES @ COST-FOOD")</f>
        <v xml:space="preserve">          5053 - PURCHASES @ COST-FOOD</v>
      </c>
      <c r="C28" s="11"/>
      <c r="D28" s="2">
        <v>296545.50999999995</v>
      </c>
      <c r="E28" s="2"/>
      <c r="F28" s="21">
        <f t="shared" si="4"/>
        <v>0.34720989123519136</v>
      </c>
      <c r="G28" s="2"/>
      <c r="H28" s="2"/>
      <c r="I28" s="2"/>
      <c r="J28" s="21">
        <f t="shared" si="5"/>
        <v>0</v>
      </c>
      <c r="K28" s="2"/>
      <c r="L28" s="2">
        <f t="shared" si="6"/>
        <v>296545.50999999995</v>
      </c>
      <c r="M28" s="2"/>
      <c r="N28" s="21">
        <f t="shared" si="7"/>
        <v>0</v>
      </c>
      <c r="O28" s="11"/>
      <c r="P28" s="2">
        <v>528619.21</v>
      </c>
      <c r="Q28" s="2"/>
      <c r="R28" s="21">
        <f t="shared" si="8"/>
        <v>0.34259603920356529</v>
      </c>
      <c r="S28" s="2"/>
      <c r="T28" s="2"/>
      <c r="U28" s="2"/>
      <c r="V28" s="21">
        <f t="shared" si="9"/>
        <v>0</v>
      </c>
      <c r="W28" s="2"/>
      <c r="X28" s="2">
        <f t="shared" si="10"/>
        <v>528619.21</v>
      </c>
      <c r="Y28" s="2"/>
      <c r="Z28" s="21">
        <f t="shared" si="11"/>
        <v>0</v>
      </c>
    </row>
    <row r="29" spans="1:26" s="24" customFormat="1" hidden="1" outlineLevel="1" x14ac:dyDescent="0.25">
      <c r="A29" s="46"/>
      <c r="B29" s="11" t="str">
        <f>CONCATENATE("          ", "5059", " - ", "PURCHASES @ COST-FOOD")</f>
        <v xml:space="preserve">          5059 - PURCHASES @ COST-FOOD</v>
      </c>
      <c r="C29" s="11"/>
      <c r="D29" s="2">
        <v>-45264.29</v>
      </c>
      <c r="E29" s="2"/>
      <c r="F29" s="21">
        <f t="shared" si="4"/>
        <v>-5.2997629968291077E-2</v>
      </c>
      <c r="G29" s="2"/>
      <c r="H29" s="2"/>
      <c r="I29" s="2"/>
      <c r="J29" s="21">
        <f t="shared" si="5"/>
        <v>0</v>
      </c>
      <c r="K29" s="2"/>
      <c r="L29" s="2">
        <f t="shared" si="6"/>
        <v>-45264.29</v>
      </c>
      <c r="M29" s="2"/>
      <c r="N29" s="21">
        <f t="shared" si="7"/>
        <v>0</v>
      </c>
      <c r="O29" s="11"/>
      <c r="P29" s="2">
        <v>-49309.29</v>
      </c>
      <c r="Q29" s="2"/>
      <c r="R29" s="21">
        <f t="shared" si="8"/>
        <v>-3.1957157686229323E-2</v>
      </c>
      <c r="S29" s="2"/>
      <c r="T29" s="2"/>
      <c r="U29" s="2"/>
      <c r="V29" s="21">
        <f t="shared" si="9"/>
        <v>0</v>
      </c>
      <c r="W29" s="2"/>
      <c r="X29" s="2">
        <f t="shared" si="10"/>
        <v>-49309.29</v>
      </c>
      <c r="Y29" s="2"/>
      <c r="Z29" s="21">
        <f t="shared" si="11"/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9" t="s">
        <v>6</v>
      </c>
      <c r="C31" s="29"/>
      <c r="D31" s="22">
        <f>D12-D26</f>
        <v>602800.18000000005</v>
      </c>
      <c r="E31" s="14"/>
      <c r="F31" s="20">
        <f>IF(D$12=0,0,D31/D$12)</f>
        <v>0.70578773873309975</v>
      </c>
      <c r="G31" s="14"/>
      <c r="H31" s="22">
        <f>H12-H26</f>
        <v>609690.16999999993</v>
      </c>
      <c r="I31" s="14"/>
      <c r="J31" s="20">
        <f>IF(H$12=0,0,H31/H$12)</f>
        <v>0.65894641448257218</v>
      </c>
      <c r="K31" s="15"/>
      <c r="L31" s="22">
        <f>+D31-H31</f>
        <v>-6889.9899999998743</v>
      </c>
      <c r="M31" s="15"/>
      <c r="N31" s="20">
        <f>IF(H31=0,0,L31/H31)</f>
        <v>-1.1300805456646735E-2</v>
      </c>
      <c r="O31" s="28"/>
      <c r="P31" s="22">
        <f>P12-P26</f>
        <v>1063671.1700000002</v>
      </c>
      <c r="Q31" s="14"/>
      <c r="R31" s="20">
        <f>IF(P$12=0,0,P31/P$12)</f>
        <v>0.68936111848266401</v>
      </c>
      <c r="S31" s="14"/>
      <c r="T31" s="22">
        <f>T12-T26</f>
        <v>1125968.17</v>
      </c>
      <c r="U31" s="14"/>
      <c r="V31" s="20">
        <f>IF(T$12=0,0,T31/T$12)</f>
        <v>0.67305237882323687</v>
      </c>
      <c r="W31" s="15"/>
      <c r="X31" s="22">
        <f>+P31-T31</f>
        <v>-62296.999999999767</v>
      </c>
      <c r="Y31" s="15"/>
      <c r="Z31" s="20">
        <f>IF(T31=0,0,X31/T31)</f>
        <v>-5.5327496513511362E-2</v>
      </c>
    </row>
    <row r="32" spans="1:26" x14ac:dyDescent="0.25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6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25">
      <c r="A33" s="10"/>
      <c r="B33" s="28" t="s">
        <v>9</v>
      </c>
      <c r="C33" s="10"/>
      <c r="D33" s="19">
        <f>SUM(OSRRefD22x_0)</f>
        <v>761049.23</v>
      </c>
      <c r="E33" s="19"/>
      <c r="F33" s="34">
        <f t="shared" ref="F33:F44" si="12">IF(D$12=0,0,D33/D$12)</f>
        <v>0.89107341525058381</v>
      </c>
      <c r="G33" s="19"/>
      <c r="H33" s="19">
        <f>SUM(OSRRefH22x_0)</f>
        <v>837503.73706415237</v>
      </c>
      <c r="I33" s="19"/>
      <c r="J33" s="34">
        <f t="shared" ref="J33:J44" si="13">IF(H$12=0,0,H33/H$12)</f>
        <v>0.90516480633791119</v>
      </c>
      <c r="K33" s="4"/>
      <c r="L33" s="19">
        <f t="shared" ref="L33:L44" si="14">+D33-H33</f>
        <v>-76454.507064152393</v>
      </c>
      <c r="M33" s="4"/>
      <c r="N33" s="34">
        <f t="shared" ref="N33:N44" si="15">IF(H33=0,0,L33/H33)</f>
        <v>-9.128855631398336E-2</v>
      </c>
      <c r="O33" s="10"/>
      <c r="P33" s="19">
        <f>SUM(OSRRefP22x_0)</f>
        <v>1570428.8899999997</v>
      </c>
      <c r="Q33" s="19"/>
      <c r="R33" s="34">
        <f t="shared" ref="R33:R44" si="16">IF(P$12=0,0,P33/P$12)</f>
        <v>1.0177888116567906</v>
      </c>
      <c r="S33" s="19"/>
      <c r="T33" s="19">
        <f>SUM(OSRRefT22x_0)</f>
        <v>1647768.7758031175</v>
      </c>
      <c r="U33" s="19"/>
      <c r="V33" s="34">
        <f t="shared" ref="V33:V44" si="17">IF(T$12=0,0,T33/T$12)</f>
        <v>0.9849609641318201</v>
      </c>
      <c r="W33" s="4"/>
      <c r="X33" s="19">
        <f t="shared" ref="X33:X44" si="18">+P33-T33</f>
        <v>-77339.885803117882</v>
      </c>
      <c r="Y33" s="4"/>
      <c r="Z33" s="34">
        <f t="shared" ref="Z33:Z44" si="19">IF(T33=0,0,X33/T33)</f>
        <v>-4.6936127774009226E-2</v>
      </c>
    </row>
    <row r="34" spans="1:26" s="26" customFormat="1" outlineLevel="1" collapsed="1" x14ac:dyDescent="0.25">
      <c r="A34" s="25"/>
      <c r="B34" s="13" t="str">
        <f>CONCATENATE("     ","*Benefits                                         ")</f>
        <v xml:space="preserve">     *Benefits                                         </v>
      </c>
      <c r="C34" s="13"/>
      <c r="D34" s="1">
        <f>SUM(OSRRefD22_0x_0)</f>
        <v>144777.88999999998</v>
      </c>
      <c r="E34" s="1"/>
      <c r="F34" s="5">
        <f t="shared" si="12"/>
        <v>0.16951298787211616</v>
      </c>
      <c r="G34" s="1"/>
      <c r="H34" s="1">
        <f>SUM(OSRRefH22_0x_0)</f>
        <v>152946.80662230618</v>
      </c>
      <c r="I34" s="1"/>
      <c r="J34" s="5">
        <f t="shared" si="13"/>
        <v>0.16530322250451898</v>
      </c>
      <c r="K34" s="1"/>
      <c r="L34" s="1">
        <f t="shared" si="14"/>
        <v>-8168.9166223061911</v>
      </c>
      <c r="M34" s="1"/>
      <c r="N34" s="5">
        <f t="shared" si="15"/>
        <v>-5.3410180981933716E-2</v>
      </c>
      <c r="O34" s="13"/>
      <c r="P34" s="1">
        <f>SUM(OSRRefP22_0x_0)</f>
        <v>311893.34999999998</v>
      </c>
      <c r="Q34" s="1"/>
      <c r="R34" s="5">
        <f t="shared" si="16"/>
        <v>0.20213685833311149</v>
      </c>
      <c r="S34" s="1"/>
      <c r="T34" s="1">
        <f>SUM(OSRRefT22_0x_0)</f>
        <v>307703.38189896347</v>
      </c>
      <c r="U34" s="1"/>
      <c r="V34" s="5">
        <f t="shared" si="17"/>
        <v>0.18393103701950322</v>
      </c>
      <c r="W34" s="1"/>
      <c r="X34" s="1">
        <f t="shared" si="18"/>
        <v>4189.968101036502</v>
      </c>
      <c r="Y34" s="1"/>
      <c r="Z34" s="5">
        <f t="shared" si="19"/>
        <v>1.3616906239959063E-2</v>
      </c>
    </row>
    <row r="35" spans="1:26" s="24" customFormat="1" hidden="1" outlineLevel="2" x14ac:dyDescent="0.25">
      <c r="A35" s="27"/>
      <c r="B35" s="11" t="str">
        <f>CONCATENATE("          ", "6111", " - ", "F.I.C.A.")</f>
        <v xml:space="preserve">          6111 - F.I.C.A.</v>
      </c>
      <c r="C35" s="11"/>
      <c r="D35" s="6">
        <v>25677.66</v>
      </c>
      <c r="E35" s="2"/>
      <c r="F35" s="7">
        <f t="shared" si="12"/>
        <v>3.0064651917252851E-2</v>
      </c>
      <c r="G35" s="2"/>
      <c r="H35" s="6">
        <v>27027.794910133845</v>
      </c>
      <c r="I35" s="2"/>
      <c r="J35" s="7">
        <f t="shared" si="13"/>
        <v>2.9211342783176272E-2</v>
      </c>
      <c r="K35" s="2"/>
      <c r="L35" s="6">
        <f t="shared" si="14"/>
        <v>-1350.1349101338456</v>
      </c>
      <c r="M35" s="2"/>
      <c r="N35" s="7">
        <f t="shared" si="15"/>
        <v>-4.9953572410290262E-2</v>
      </c>
      <c r="O35" s="11"/>
      <c r="P35" s="6">
        <v>49268.689999999995</v>
      </c>
      <c r="Q35" s="2"/>
      <c r="R35" s="7">
        <f t="shared" si="16"/>
        <v>3.193084498527457E-2</v>
      </c>
      <c r="S35" s="2"/>
      <c r="T35" s="6">
        <v>55154.028433591164</v>
      </c>
      <c r="U35" s="2"/>
      <c r="V35" s="7">
        <f t="shared" si="17"/>
        <v>3.2968560771050016E-2</v>
      </c>
      <c r="W35" s="2"/>
      <c r="X35" s="6">
        <f t="shared" si="18"/>
        <v>-5885.3384335911687</v>
      </c>
      <c r="Y35" s="2"/>
      <c r="Z35" s="7">
        <f t="shared" si="19"/>
        <v>-0.10670731768355737</v>
      </c>
    </row>
    <row r="36" spans="1:26" s="24" customFormat="1" hidden="1" outlineLevel="2" x14ac:dyDescent="0.25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13173.58</v>
      </c>
      <c r="E36" s="2"/>
      <c r="F36" s="7">
        <f t="shared" si="12"/>
        <v>1.5424267522978489E-2</v>
      </c>
      <c r="G36" s="2"/>
      <c r="H36" s="6">
        <v>15723.074931575384</v>
      </c>
      <c r="I36" s="2"/>
      <c r="J36" s="7">
        <f t="shared" si="13"/>
        <v>1.6993326054120923E-2</v>
      </c>
      <c r="K36" s="2"/>
      <c r="L36" s="6">
        <f t="shared" si="14"/>
        <v>-2549.4949315753838</v>
      </c>
      <c r="M36" s="2"/>
      <c r="N36" s="7">
        <f t="shared" si="15"/>
        <v>-0.16214989387702011</v>
      </c>
      <c r="O36" s="11"/>
      <c r="P36" s="6">
        <v>25177.14</v>
      </c>
      <c r="Q36" s="2"/>
      <c r="R36" s="7">
        <f t="shared" si="16"/>
        <v>1.6317205805808026E-2</v>
      </c>
      <c r="S36" s="2"/>
      <c r="T36" s="6">
        <v>30970.695045244611</v>
      </c>
      <c r="U36" s="2"/>
      <c r="V36" s="7">
        <f t="shared" si="17"/>
        <v>1.8512867885076112E-2</v>
      </c>
      <c r="W36" s="2"/>
      <c r="X36" s="6">
        <f t="shared" si="18"/>
        <v>-5793.5550452446114</v>
      </c>
      <c r="Y36" s="2"/>
      <c r="Z36" s="7">
        <f t="shared" si="19"/>
        <v>-0.18706570959356567</v>
      </c>
    </row>
    <row r="37" spans="1:26" s="24" customFormat="1" hidden="1" outlineLevel="2" x14ac:dyDescent="0.25">
      <c r="A37" s="27"/>
      <c r="B37" s="11" t="str">
        <f>CONCATENATE("          ", "6113", " - ", "GROUP INSURANCE")</f>
        <v xml:space="preserve">          6113 - GROUP INSURANCE</v>
      </c>
      <c r="C37" s="11"/>
      <c r="D37" s="6">
        <v>66228.41</v>
      </c>
      <c r="E37" s="2"/>
      <c r="F37" s="7">
        <f t="shared" si="12"/>
        <v>7.7543440238834374E-2</v>
      </c>
      <c r="G37" s="2"/>
      <c r="H37" s="6">
        <v>66243.846153846156</v>
      </c>
      <c r="I37" s="2"/>
      <c r="J37" s="7">
        <f t="shared" si="13"/>
        <v>7.1595618647766715E-2</v>
      </c>
      <c r="K37" s="2"/>
      <c r="L37" s="6">
        <f t="shared" si="14"/>
        <v>-15.436153846152592</v>
      </c>
      <c r="M37" s="2"/>
      <c r="N37" s="7">
        <f t="shared" si="15"/>
        <v>-2.330201934577188E-4</v>
      </c>
      <c r="O37" s="11"/>
      <c r="P37" s="6">
        <v>131292</v>
      </c>
      <c r="Q37" s="2"/>
      <c r="R37" s="7">
        <f t="shared" si="16"/>
        <v>8.5089830880558617E-2</v>
      </c>
      <c r="S37" s="2"/>
      <c r="T37" s="6">
        <v>137615.03846153847</v>
      </c>
      <c r="U37" s="2"/>
      <c r="V37" s="7">
        <f t="shared" si="17"/>
        <v>8.2259988751182636E-2</v>
      </c>
      <c r="W37" s="2"/>
      <c r="X37" s="6">
        <f t="shared" si="18"/>
        <v>-6323.0384615384683</v>
      </c>
      <c r="Y37" s="2"/>
      <c r="Z37" s="7">
        <f t="shared" si="19"/>
        <v>-4.5947292768483812E-2</v>
      </c>
    </row>
    <row r="38" spans="1:26" s="24" customFormat="1" hidden="1" outlineLevel="2" x14ac:dyDescent="0.25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902.42</v>
      </c>
      <c r="E38" s="2"/>
      <c r="F38" s="7">
        <f t="shared" si="12"/>
        <v>1.0565971814864483E-3</v>
      </c>
      <c r="G38" s="2"/>
      <c r="H38" s="6">
        <v>1092.6033959199999</v>
      </c>
      <c r="I38" s="2"/>
      <c r="J38" s="7">
        <f t="shared" si="13"/>
        <v>1.1808737053985408E-3</v>
      </c>
      <c r="K38" s="2"/>
      <c r="L38" s="6">
        <f t="shared" si="14"/>
        <v>-190.18339591999995</v>
      </c>
      <c r="M38" s="2"/>
      <c r="N38" s="7">
        <f t="shared" si="15"/>
        <v>-0.17406443786481249</v>
      </c>
      <c r="O38" s="11"/>
      <c r="P38" s="6">
        <v>1725.89</v>
      </c>
      <c r="Q38" s="2"/>
      <c r="R38" s="7">
        <f t="shared" si="16"/>
        <v>1.1185425480489848E-3</v>
      </c>
      <c r="S38" s="2"/>
      <c r="T38" s="6">
        <v>2166.2674892200002</v>
      </c>
      <c r="U38" s="2"/>
      <c r="V38" s="7">
        <f t="shared" si="17"/>
        <v>1.294895828882056E-3</v>
      </c>
      <c r="W38" s="2"/>
      <c r="X38" s="6">
        <f t="shared" si="18"/>
        <v>-440.37748922000014</v>
      </c>
      <c r="Y38" s="2"/>
      <c r="Z38" s="7">
        <f t="shared" si="19"/>
        <v>-0.20328860189771172</v>
      </c>
    </row>
    <row r="39" spans="1:26" s="24" customFormat="1" hidden="1" outlineLevel="2" x14ac:dyDescent="0.25">
      <c r="A39" s="27"/>
      <c r="B39" s="11" t="str">
        <f>CONCATENATE("          ", "6115", " - ", "P.E.R.S.")</f>
        <v xml:space="preserve">          6115 - P.E.R.S.</v>
      </c>
      <c r="C39" s="11"/>
      <c r="D39" s="6">
        <v>9994.9</v>
      </c>
      <c r="E39" s="2"/>
      <c r="F39" s="7">
        <f t="shared" si="12"/>
        <v>1.1702514537841475E-2</v>
      </c>
      <c r="G39" s="2"/>
      <c r="H39" s="6">
        <v>10432.659806830779</v>
      </c>
      <c r="I39" s="2"/>
      <c r="J39" s="7">
        <f t="shared" si="13"/>
        <v>1.1275503709084873E-2</v>
      </c>
      <c r="K39" s="2"/>
      <c r="L39" s="6">
        <f t="shared" si="14"/>
        <v>-437.75980683077978</v>
      </c>
      <c r="M39" s="2"/>
      <c r="N39" s="7">
        <f t="shared" si="15"/>
        <v>-4.1960517733373871E-2</v>
      </c>
      <c r="O39" s="11"/>
      <c r="P39" s="6">
        <v>19737.02</v>
      </c>
      <c r="Q39" s="2"/>
      <c r="R39" s="7">
        <f t="shared" si="16"/>
        <v>1.2791485344775028E-2</v>
      </c>
      <c r="S39" s="2"/>
      <c r="T39" s="6">
        <v>23473.484565369246</v>
      </c>
      <c r="U39" s="2"/>
      <c r="V39" s="7">
        <f t="shared" si="17"/>
        <v>1.403137765962985E-2</v>
      </c>
      <c r="W39" s="2"/>
      <c r="X39" s="6">
        <f t="shared" si="18"/>
        <v>-3736.464565369246</v>
      </c>
      <c r="Y39" s="2"/>
      <c r="Z39" s="7">
        <f t="shared" si="19"/>
        <v>-0.15917809539371514</v>
      </c>
    </row>
    <row r="40" spans="1:26" s="24" customFormat="1" hidden="1" outlineLevel="2" x14ac:dyDescent="0.25">
      <c r="A40" s="27"/>
      <c r="B40" s="11" t="str">
        <f>CONCATENATE("          ", "6116", " - ", "EDUCATIONAL BENEFITS")</f>
        <v xml:space="preserve">          6116 - EDUCATIONAL BENEFITS</v>
      </c>
      <c r="C40" s="11"/>
      <c r="D40" s="6"/>
      <c r="E40" s="2"/>
      <c r="F40" s="7">
        <f t="shared" si="12"/>
        <v>0</v>
      </c>
      <c r="G40" s="2"/>
      <c r="H40" s="6">
        <v>8000</v>
      </c>
      <c r="I40" s="2"/>
      <c r="J40" s="7">
        <f t="shared" si="13"/>
        <v>8.6463118076195618E-3</v>
      </c>
      <c r="K40" s="2"/>
      <c r="L40" s="6">
        <f t="shared" si="14"/>
        <v>-8000</v>
      </c>
      <c r="M40" s="2"/>
      <c r="N40" s="7">
        <f t="shared" si="15"/>
        <v>-1</v>
      </c>
      <c r="O40" s="11"/>
      <c r="P40" s="6"/>
      <c r="Q40" s="2"/>
      <c r="R40" s="7">
        <f t="shared" si="16"/>
        <v>0</v>
      </c>
      <c r="S40" s="2"/>
      <c r="T40" s="6">
        <v>8000</v>
      </c>
      <c r="U40" s="2"/>
      <c r="V40" s="7">
        <f t="shared" si="17"/>
        <v>4.7820348514699979E-3</v>
      </c>
      <c r="W40" s="2"/>
      <c r="X40" s="6">
        <f t="shared" si="18"/>
        <v>-8000</v>
      </c>
      <c r="Y40" s="2"/>
      <c r="Z40" s="7">
        <f t="shared" si="19"/>
        <v>-1</v>
      </c>
    </row>
    <row r="41" spans="1:26" s="24" customFormat="1" hidden="1" outlineLevel="2" x14ac:dyDescent="0.25">
      <c r="A41" s="27"/>
      <c r="B41" s="11" t="str">
        <f>CONCATENATE("          ", "6117", " - ", "RETIREMENT STAFF HOURLY")</f>
        <v xml:space="preserve">          6117 - RETIREMENT STAFF HOURLY</v>
      </c>
      <c r="C41" s="11"/>
      <c r="D41" s="6">
        <v>1221.05</v>
      </c>
      <c r="E41" s="2"/>
      <c r="F41" s="7">
        <f t="shared" si="12"/>
        <v>1.4296646666231111E-3</v>
      </c>
      <c r="G41" s="2"/>
      <c r="H41" s="6"/>
      <c r="I41" s="2"/>
      <c r="J41" s="7">
        <f t="shared" si="13"/>
        <v>0</v>
      </c>
      <c r="K41" s="2"/>
      <c r="L41" s="6">
        <f t="shared" si="14"/>
        <v>1221.05</v>
      </c>
      <c r="M41" s="2"/>
      <c r="N41" s="7">
        <f t="shared" si="15"/>
        <v>0</v>
      </c>
      <c r="O41" s="11"/>
      <c r="P41" s="6">
        <v>2659.31</v>
      </c>
      <c r="Q41" s="2"/>
      <c r="R41" s="7">
        <f t="shared" si="16"/>
        <v>1.7234883934967732E-3</v>
      </c>
      <c r="S41" s="2"/>
      <c r="T41" s="6"/>
      <c r="U41" s="2"/>
      <c r="V41" s="7">
        <f t="shared" si="17"/>
        <v>0</v>
      </c>
      <c r="W41" s="2"/>
      <c r="X41" s="6">
        <f t="shared" si="18"/>
        <v>2659.31</v>
      </c>
      <c r="Y41" s="2"/>
      <c r="Z41" s="7">
        <f t="shared" si="19"/>
        <v>0</v>
      </c>
    </row>
    <row r="42" spans="1:26" s="24" customFormat="1" hidden="1" outlineLevel="2" x14ac:dyDescent="0.25">
      <c r="A42" s="27"/>
      <c r="B42" s="11" t="str">
        <f>CONCATENATE("          ", "6118", " - ", "VACATION")</f>
        <v xml:space="preserve">          6118 - VACATION</v>
      </c>
      <c r="C42" s="11"/>
      <c r="D42" s="6">
        <v>13045.34</v>
      </c>
      <c r="E42" s="2"/>
      <c r="F42" s="7">
        <f t="shared" si="12"/>
        <v>1.5274117900237612E-2</v>
      </c>
      <c r="G42" s="2"/>
      <c r="H42" s="6">
        <v>8847.4539664615368</v>
      </c>
      <c r="I42" s="2"/>
      <c r="J42" s="7">
        <f t="shared" si="13"/>
        <v>9.5622307121983642E-3</v>
      </c>
      <c r="K42" s="2"/>
      <c r="L42" s="6">
        <f t="shared" si="14"/>
        <v>4197.8860335384634</v>
      </c>
      <c r="M42" s="2"/>
      <c r="N42" s="7">
        <f t="shared" si="15"/>
        <v>0.47447390508632076</v>
      </c>
      <c r="O42" s="11"/>
      <c r="P42" s="6">
        <v>32507.699999999997</v>
      </c>
      <c r="Q42" s="2"/>
      <c r="R42" s="7">
        <f t="shared" si="16"/>
        <v>2.1068113025286651E-2</v>
      </c>
      <c r="S42" s="2"/>
      <c r="T42" s="6">
        <v>19628.286604538451</v>
      </c>
      <c r="U42" s="2"/>
      <c r="V42" s="7">
        <f t="shared" si="17"/>
        <v>1.1732893827193072E-2</v>
      </c>
      <c r="W42" s="2"/>
      <c r="X42" s="6">
        <f t="shared" si="18"/>
        <v>12879.413395461546</v>
      </c>
      <c r="Y42" s="2"/>
      <c r="Z42" s="7">
        <f t="shared" si="19"/>
        <v>0.65616595350118689</v>
      </c>
    </row>
    <row r="43" spans="1:26" s="24" customFormat="1" hidden="1" outlineLevel="2" x14ac:dyDescent="0.25">
      <c r="A43" s="27"/>
      <c r="B43" s="11" t="str">
        <f>CONCATENATE("          ", "6119", " - ", "SICK LEAVE")</f>
        <v xml:space="preserve">          6119 - SICK LEAVE</v>
      </c>
      <c r="C43" s="11"/>
      <c r="D43" s="6">
        <v>8789.92</v>
      </c>
      <c r="E43" s="2"/>
      <c r="F43" s="7">
        <f t="shared" si="12"/>
        <v>1.0291665408004436E-2</v>
      </c>
      <c r="G43" s="2"/>
      <c r="H43" s="6">
        <v>12354.373457538466</v>
      </c>
      <c r="I43" s="2"/>
      <c r="J43" s="7">
        <f t="shared" si="13"/>
        <v>1.3352470637707069E-2</v>
      </c>
      <c r="K43" s="2"/>
      <c r="L43" s="6">
        <f t="shared" si="14"/>
        <v>-3564.453457538466</v>
      </c>
      <c r="M43" s="2"/>
      <c r="N43" s="7">
        <f t="shared" si="15"/>
        <v>-0.28851754156448023</v>
      </c>
      <c r="O43" s="11"/>
      <c r="P43" s="6">
        <v>38610.1</v>
      </c>
      <c r="Q43" s="2"/>
      <c r="R43" s="7">
        <f t="shared" si="16"/>
        <v>2.5023054559923347E-2</v>
      </c>
      <c r="S43" s="2"/>
      <c r="T43" s="6">
        <v>24245.581299461537</v>
      </c>
      <c r="U43" s="2"/>
      <c r="V43" s="7">
        <f t="shared" si="17"/>
        <v>1.4492901846021788E-2</v>
      </c>
      <c r="W43" s="2"/>
      <c r="X43" s="6">
        <f t="shared" si="18"/>
        <v>14364.518700538461</v>
      </c>
      <c r="Y43" s="2"/>
      <c r="Z43" s="7">
        <f t="shared" si="19"/>
        <v>0.59245924125801341</v>
      </c>
    </row>
    <row r="44" spans="1:26" s="24" customFormat="1" hidden="1" outlineLevel="2" x14ac:dyDescent="0.25">
      <c r="A44" s="27"/>
      <c r="B44" s="11" t="str">
        <f>CONCATENATE("          ", "6156", " - ", "EMPLOYEE MEALS")</f>
        <v xml:space="preserve">          6156 - EMPLOYEE MEALS</v>
      </c>
      <c r="C44" s="11"/>
      <c r="D44" s="6">
        <v>5744.61</v>
      </c>
      <c r="E44" s="2"/>
      <c r="F44" s="7">
        <f t="shared" si="12"/>
        <v>6.7260684988573686E-3</v>
      </c>
      <c r="G44" s="2"/>
      <c r="H44" s="6">
        <v>3225</v>
      </c>
      <c r="I44" s="2"/>
      <c r="J44" s="7">
        <f t="shared" si="13"/>
        <v>3.4855444474466359E-3</v>
      </c>
      <c r="K44" s="2"/>
      <c r="L44" s="6">
        <f t="shared" si="14"/>
        <v>2519.6099999999997</v>
      </c>
      <c r="M44" s="2"/>
      <c r="N44" s="7">
        <f t="shared" si="15"/>
        <v>0.78127441860465108</v>
      </c>
      <c r="O44" s="11"/>
      <c r="P44" s="6">
        <v>10915.5</v>
      </c>
      <c r="Q44" s="2"/>
      <c r="R44" s="7">
        <f t="shared" si="16"/>
        <v>7.0742927899395056E-3</v>
      </c>
      <c r="S44" s="2"/>
      <c r="T44" s="6">
        <v>6450</v>
      </c>
      <c r="U44" s="2"/>
      <c r="V44" s="7">
        <f t="shared" si="17"/>
        <v>3.8555155989976856E-3</v>
      </c>
      <c r="W44" s="2"/>
      <c r="X44" s="6">
        <f t="shared" si="18"/>
        <v>4465.5</v>
      </c>
      <c r="Y44" s="2"/>
      <c r="Z44" s="7">
        <f t="shared" si="19"/>
        <v>0.69232558139534883</v>
      </c>
    </row>
    <row r="45" spans="1:26" s="26" customFormat="1" outlineLevel="1" collapsed="1" x14ac:dyDescent="0.25">
      <c r="A45" s="25"/>
      <c r="B45" s="13" t="str">
        <f>CONCATENATE("     ","*Payroll                                          ")</f>
        <v xml:space="preserve">     *Payroll                                          </v>
      </c>
      <c r="C45" s="13"/>
      <c r="D45" s="1">
        <f>SUM(OSRRefD22_1x_0)</f>
        <v>376743.27999999997</v>
      </c>
      <c r="E45" s="1"/>
      <c r="F45" s="5">
        <f t="shared" ref="F45:F55" si="20">IF(D$12=0,0,D45/D$12)</f>
        <v>0.44110933688521958</v>
      </c>
      <c r="G45" s="1"/>
      <c r="H45" s="1">
        <f>SUM(OSRRefH22_1x_0)</f>
        <v>397699.5004418462</v>
      </c>
      <c r="I45" s="1"/>
      <c r="J45" s="5">
        <f t="shared" ref="J45:J55" si="21">IF(H$12=0,0,H45/H$12)</f>
        <v>0.42982923581934201</v>
      </c>
      <c r="K45" s="1"/>
      <c r="L45" s="1">
        <f t="shared" ref="L45:L55" si="22">+D45-H45</f>
        <v>-20956.220441846235</v>
      </c>
      <c r="M45" s="1"/>
      <c r="N45" s="5">
        <f t="shared" ref="N45:N55" si="23">IF(H45=0,0,L45/H45)</f>
        <v>-5.2693605142988022E-2</v>
      </c>
      <c r="O45" s="13"/>
      <c r="P45" s="1">
        <f>SUM(OSRRefP22_1x_0)</f>
        <v>742519.63</v>
      </c>
      <c r="Q45" s="1"/>
      <c r="R45" s="5">
        <f t="shared" ref="R45:R55" si="24">IF(P$12=0,0,P45/P$12)</f>
        <v>0.4812240634783152</v>
      </c>
      <c r="S45" s="1"/>
      <c r="T45" s="1">
        <f>SUM(OSRRefT22_1x_0)</f>
        <v>784757.06390415377</v>
      </c>
      <c r="U45" s="1"/>
      <c r="V45" s="5">
        <f t="shared" ref="V45:V55" si="25">IF(T$12=0,0,T45/T$12)</f>
        <v>0.46909195369086643</v>
      </c>
      <c r="W45" s="1"/>
      <c r="X45" s="1">
        <f t="shared" ref="X45:X55" si="26">+P45-T45</f>
        <v>-42237.433904153761</v>
      </c>
      <c r="Y45" s="1"/>
      <c r="Z45" s="5">
        <f t="shared" ref="Z45:Z55" si="27">IF(T45=0,0,X45/T45)</f>
        <v>-5.3822304821345868E-2</v>
      </c>
    </row>
    <row r="46" spans="1:26" s="24" customFormat="1" hidden="1" outlineLevel="2" x14ac:dyDescent="0.25">
      <c r="A46" s="27"/>
      <c r="B46" s="11" t="str">
        <f>CONCATENATE("          ", "6001", " - ", "ADMINISTRATIVE SALARIES")</f>
        <v xml:space="preserve">          6001 - ADMINISTRATIVE SALARIES</v>
      </c>
      <c r="C46" s="11"/>
      <c r="D46" s="6">
        <v>20350.510000000002</v>
      </c>
      <c r="E46" s="2"/>
      <c r="F46" s="7">
        <f t="shared" si="20"/>
        <v>2.3827365869342199E-2</v>
      </c>
      <c r="G46" s="2"/>
      <c r="H46" s="6">
        <v>20213.021076923069</v>
      </c>
      <c r="I46" s="2"/>
      <c r="J46" s="7">
        <f t="shared" si="21"/>
        <v>2.1846010350632876E-2</v>
      </c>
      <c r="K46" s="2"/>
      <c r="L46" s="6">
        <f t="shared" si="22"/>
        <v>137.48892307693313</v>
      </c>
      <c r="M46" s="2"/>
      <c r="N46" s="7">
        <f t="shared" si="23"/>
        <v>6.8019977099762867E-3</v>
      </c>
      <c r="O46" s="11"/>
      <c r="P46" s="6">
        <v>48514.71</v>
      </c>
      <c r="Q46" s="2"/>
      <c r="R46" s="7">
        <f t="shared" si="24"/>
        <v>3.1442193500893778E-2</v>
      </c>
      <c r="S46" s="2"/>
      <c r="T46" s="6">
        <v>45479.297423076918</v>
      </c>
      <c r="U46" s="2"/>
      <c r="V46" s="7">
        <f t="shared" si="25"/>
        <v>2.7185448162190432E-2</v>
      </c>
      <c r="W46" s="2"/>
      <c r="X46" s="6">
        <f t="shared" si="26"/>
        <v>3035.4125769230814</v>
      </c>
      <c r="Y46" s="2"/>
      <c r="Z46" s="7">
        <f t="shared" si="27"/>
        <v>6.6742732384050971E-2</v>
      </c>
    </row>
    <row r="47" spans="1:26" s="24" customFormat="1" hidden="1" outlineLevel="2" x14ac:dyDescent="0.25">
      <c r="A47" s="27"/>
      <c r="B47" s="11" t="str">
        <f>CONCATENATE("          ", "6002", " - ", "STAFF SALARIES")</f>
        <v xml:space="preserve">          6002 - STAFF SALARIES</v>
      </c>
      <c r="C47" s="11"/>
      <c r="D47" s="6">
        <v>87438.76</v>
      </c>
      <c r="E47" s="2"/>
      <c r="F47" s="7">
        <f t="shared" si="20"/>
        <v>0.10237754855684715</v>
      </c>
      <c r="G47" s="2"/>
      <c r="H47" s="6">
        <v>91046.740620923098</v>
      </c>
      <c r="I47" s="2"/>
      <c r="J47" s="7">
        <f t="shared" si="21"/>
        <v>9.8402313559495372E-2</v>
      </c>
      <c r="K47" s="2"/>
      <c r="L47" s="6">
        <f t="shared" si="22"/>
        <v>-3607.9806209231028</v>
      </c>
      <c r="M47" s="2"/>
      <c r="N47" s="7">
        <f t="shared" si="23"/>
        <v>-3.962778454579808E-2</v>
      </c>
      <c r="O47" s="11"/>
      <c r="P47" s="6">
        <v>190849.47999999998</v>
      </c>
      <c r="Q47" s="2"/>
      <c r="R47" s="7">
        <f t="shared" si="24"/>
        <v>0.12368880035982811</v>
      </c>
      <c r="S47" s="2"/>
      <c r="T47" s="6">
        <v>204855.16639707683</v>
      </c>
      <c r="U47" s="2"/>
      <c r="V47" s="7">
        <f t="shared" si="25"/>
        <v>0.12245306815181337</v>
      </c>
      <c r="W47" s="2"/>
      <c r="X47" s="6">
        <f t="shared" si="26"/>
        <v>-14005.686397076846</v>
      </c>
      <c r="Y47" s="2"/>
      <c r="Z47" s="7">
        <f t="shared" si="27"/>
        <v>-6.8368724320719401E-2</v>
      </c>
    </row>
    <row r="48" spans="1:26" s="24" customFormat="1" hidden="1" outlineLevel="2" x14ac:dyDescent="0.25">
      <c r="A48" s="27"/>
      <c r="B48" s="11" t="str">
        <f>CONCATENATE("          ", "6003", " - ", "STAFF HOURLY-9 MONTH")</f>
        <v xml:space="preserve">          6003 - STAFF HOURLY-9 MONTH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7"/>
      <c r="B49" s="11" t="str">
        <f>CONCATENATE("          ", "6004", " - ", "STAFF HOURLY")</f>
        <v xml:space="preserve">          6004 - STAFF HOURLY</v>
      </c>
      <c r="C49" s="11"/>
      <c r="D49" s="6">
        <v>55345.77</v>
      </c>
      <c r="E49" s="2"/>
      <c r="F49" s="7">
        <f t="shared" si="20"/>
        <v>6.4801516576757201E-2</v>
      </c>
      <c r="G49" s="2"/>
      <c r="H49" s="6">
        <v>132478.38494000002</v>
      </c>
      <c r="I49" s="2"/>
      <c r="J49" s="7">
        <f t="shared" si="21"/>
        <v>0.14318117799513647</v>
      </c>
      <c r="K49" s="2"/>
      <c r="L49" s="6">
        <f t="shared" si="22"/>
        <v>-77132.614940000029</v>
      </c>
      <c r="M49" s="2"/>
      <c r="N49" s="7">
        <f t="shared" si="23"/>
        <v>-0.58222792325656514</v>
      </c>
      <c r="O49" s="11"/>
      <c r="P49" s="6">
        <v>116428.26999999999</v>
      </c>
      <c r="Q49" s="2"/>
      <c r="R49" s="7">
        <f t="shared" si="24"/>
        <v>7.5456705694299853E-2</v>
      </c>
      <c r="S49" s="2"/>
      <c r="T49" s="6">
        <v>259932.11138000002</v>
      </c>
      <c r="U49" s="2"/>
      <c r="V49" s="7">
        <f t="shared" si="25"/>
        <v>0.15537555195441766</v>
      </c>
      <c r="W49" s="2"/>
      <c r="X49" s="6">
        <f t="shared" si="26"/>
        <v>-143503.84138000003</v>
      </c>
      <c r="Y49" s="2"/>
      <c r="Z49" s="7">
        <f t="shared" si="27"/>
        <v>-0.55208200563649812</v>
      </c>
    </row>
    <row r="50" spans="1:26" s="24" customFormat="1" hidden="1" outlineLevel="2" x14ac:dyDescent="0.25">
      <c r="A50" s="27"/>
      <c r="B50" s="11" t="str">
        <f>CONCATENATE("          ", "6005", " - ", "TEMPORARY WAGES-HOURLY")</f>
        <v xml:space="preserve">          6005 - TEMPORARY WAGES-HOURLY</v>
      </c>
      <c r="C50" s="11"/>
      <c r="D50" s="6">
        <v>66390.38</v>
      </c>
      <c r="E50" s="2"/>
      <c r="F50" s="7">
        <f t="shared" si="20"/>
        <v>7.7733082584400037E-2</v>
      </c>
      <c r="G50" s="2"/>
      <c r="H50" s="6">
        <v>39211.111303999998</v>
      </c>
      <c r="I50" s="2"/>
      <c r="J50" s="7">
        <f t="shared" si="21"/>
        <v>4.237893683220751E-2</v>
      </c>
      <c r="K50" s="2"/>
      <c r="L50" s="6">
        <f t="shared" si="22"/>
        <v>27179.268696000006</v>
      </c>
      <c r="M50" s="2"/>
      <c r="N50" s="7">
        <f t="shared" si="23"/>
        <v>0.69315221609716016</v>
      </c>
      <c r="O50" s="11"/>
      <c r="P50" s="6">
        <v>127888.62999999999</v>
      </c>
      <c r="Q50" s="2"/>
      <c r="R50" s="7">
        <f t="shared" si="24"/>
        <v>8.288412011582072E-2</v>
      </c>
      <c r="S50" s="2"/>
      <c r="T50" s="6">
        <v>74219.133704000007</v>
      </c>
      <c r="U50" s="2"/>
      <c r="V50" s="7">
        <f t="shared" si="25"/>
        <v>4.4364810502304945E-2</v>
      </c>
      <c r="W50" s="2"/>
      <c r="X50" s="6">
        <f t="shared" si="26"/>
        <v>53669.496295999983</v>
      </c>
      <c r="Y50" s="2"/>
      <c r="Z50" s="7">
        <f t="shared" si="27"/>
        <v>0.72312210635661855</v>
      </c>
    </row>
    <row r="51" spans="1:26" s="24" customFormat="1" hidden="1" outlineLevel="2" x14ac:dyDescent="0.25">
      <c r="A51" s="27"/>
      <c r="B51" s="11" t="str">
        <f>CONCATENATE("          ", "6006", " - ", "TEMPORARY PART TIME")</f>
        <v xml:space="preserve">          6006 - TEMPORARY PART TIME</v>
      </c>
      <c r="C51" s="11"/>
      <c r="D51" s="6">
        <v>7103.69</v>
      </c>
      <c r="E51" s="2"/>
      <c r="F51" s="7">
        <f t="shared" si="20"/>
        <v>8.3173453958838104E-3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7103.69</v>
      </c>
      <c r="M51" s="2"/>
      <c r="N51" s="7">
        <f t="shared" si="23"/>
        <v>0</v>
      </c>
      <c r="O51" s="11"/>
      <c r="P51" s="6">
        <v>15678.9</v>
      </c>
      <c r="Q51" s="2"/>
      <c r="R51" s="7">
        <f t="shared" si="24"/>
        <v>1.0161433669935643E-2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15678.9</v>
      </c>
      <c r="Y51" s="2"/>
      <c r="Z51" s="7">
        <f t="shared" si="27"/>
        <v>0</v>
      </c>
    </row>
    <row r="52" spans="1:26" s="24" customFormat="1" hidden="1" outlineLevel="2" x14ac:dyDescent="0.25">
      <c r="A52" s="27"/>
      <c r="B52" s="11" t="str">
        <f>CONCATENATE("          ", "6007", " - ", "STUDENT HOURLY")</f>
        <v xml:space="preserve">          6007 - STUDENT HOURLY</v>
      </c>
      <c r="C52" s="11"/>
      <c r="D52" s="6">
        <v>127234.93000000001</v>
      </c>
      <c r="E52" s="2"/>
      <c r="F52" s="7">
        <f t="shared" si="20"/>
        <v>0.14897283795197977</v>
      </c>
      <c r="G52" s="2"/>
      <c r="H52" s="6">
        <v>91354.242499999993</v>
      </c>
      <c r="I52" s="2"/>
      <c r="J52" s="7">
        <f t="shared" si="21"/>
        <v>9.8734658200486353E-2</v>
      </c>
      <c r="K52" s="2"/>
      <c r="L52" s="6">
        <f t="shared" si="22"/>
        <v>35880.687500000015</v>
      </c>
      <c r="M52" s="2"/>
      <c r="N52" s="7">
        <f t="shared" si="23"/>
        <v>0.39276432618879215</v>
      </c>
      <c r="O52" s="11"/>
      <c r="P52" s="6">
        <v>220276.98</v>
      </c>
      <c r="Q52" s="2"/>
      <c r="R52" s="7">
        <f t="shared" si="24"/>
        <v>0.14276064783140019</v>
      </c>
      <c r="S52" s="2"/>
      <c r="T52" s="6">
        <v>167257.6925</v>
      </c>
      <c r="U52" s="2"/>
      <c r="V52" s="7">
        <f t="shared" si="25"/>
        <v>9.9979014338931499E-2</v>
      </c>
      <c r="W52" s="2"/>
      <c r="X52" s="6">
        <f t="shared" si="26"/>
        <v>53019.287500000006</v>
      </c>
      <c r="Y52" s="2"/>
      <c r="Z52" s="7">
        <f t="shared" si="27"/>
        <v>0.31699162356912225</v>
      </c>
    </row>
    <row r="53" spans="1:26" s="24" customFormat="1" hidden="1" outlineLevel="2" x14ac:dyDescent="0.25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6">
        <v>12879.24</v>
      </c>
      <c r="E53" s="2"/>
      <c r="F53" s="7">
        <f t="shared" si="20"/>
        <v>1.5079639950009448E-2</v>
      </c>
      <c r="G53" s="2"/>
      <c r="H53" s="6">
        <v>23396</v>
      </c>
      <c r="I53" s="2"/>
      <c r="J53" s="7">
        <f t="shared" si="21"/>
        <v>2.528613888138341E-2</v>
      </c>
      <c r="K53" s="2"/>
      <c r="L53" s="6">
        <f t="shared" si="22"/>
        <v>-10516.76</v>
      </c>
      <c r="M53" s="2"/>
      <c r="N53" s="7">
        <f t="shared" si="23"/>
        <v>-0.44951102752607286</v>
      </c>
      <c r="O53" s="11"/>
      <c r="P53" s="6">
        <v>22882.66</v>
      </c>
      <c r="Q53" s="2"/>
      <c r="R53" s="7">
        <f t="shared" si="24"/>
        <v>1.4830162306136881E-2</v>
      </c>
      <c r="S53" s="2"/>
      <c r="T53" s="6">
        <v>33013.662499999999</v>
      </c>
      <c r="U53" s="2"/>
      <c r="V53" s="7">
        <f t="shared" si="25"/>
        <v>1.9734060581208517E-2</v>
      </c>
      <c r="W53" s="2"/>
      <c r="X53" s="6">
        <f t="shared" si="26"/>
        <v>-10131.002499999999</v>
      </c>
      <c r="Y53" s="2"/>
      <c r="Z53" s="7">
        <f t="shared" si="27"/>
        <v>-0.30687302567535485</v>
      </c>
    </row>
    <row r="54" spans="1:26" s="24" customFormat="1" hidden="1" outlineLevel="2" x14ac:dyDescent="0.25">
      <c r="A54" s="27"/>
      <c r="B54" s="11" t="str">
        <f>CONCATENATE("          ", "6009", " - ", "TEMPORARY-SEASONAL")</f>
        <v xml:space="preserve">          6009 - TEMPORARY-SEASONAL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4" customFormat="1" hidden="1" outlineLevel="2" x14ac:dyDescent="0.25">
      <c r="A55" s="27"/>
      <c r="B55" s="11" t="str">
        <f>CONCATENATE("          ", "6010", " - ", "GRATUITY")</f>
        <v xml:space="preserve">          6010 - GRATUITY</v>
      </c>
      <c r="C55" s="11"/>
      <c r="D55" s="6"/>
      <c r="E55" s="2"/>
      <c r="F55" s="7">
        <f t="shared" si="20"/>
        <v>0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0</v>
      </c>
      <c r="M55" s="2"/>
      <c r="N55" s="7">
        <f t="shared" si="23"/>
        <v>0</v>
      </c>
      <c r="O55" s="11"/>
      <c r="P55" s="6"/>
      <c r="Q55" s="2"/>
      <c r="R55" s="7">
        <f t="shared" si="24"/>
        <v>0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0</v>
      </c>
      <c r="Y55" s="2"/>
      <c r="Z55" s="7">
        <f t="shared" si="27"/>
        <v>0</v>
      </c>
    </row>
    <row r="56" spans="1:26" s="26" customFormat="1" outlineLevel="1" collapsed="1" x14ac:dyDescent="0.25">
      <c r="A56" s="25"/>
      <c r="B56" s="13" t="str">
        <f>CONCATENATE("     ","Advertising/Promo                                 ")</f>
        <v xml:space="preserve">     Advertising/Promo                                 </v>
      </c>
      <c r="C56" s="13"/>
      <c r="D56" s="1">
        <f>SUM(OSRRefD22_2x_0)</f>
        <v>8051.84</v>
      </c>
      <c r="E56" s="1"/>
      <c r="F56" s="5">
        <f t="shared" ref="F56:F60" si="28">IF(D$12=0,0,D56/D$12)</f>
        <v>9.4274854832337995E-3</v>
      </c>
      <c r="G56" s="1"/>
      <c r="H56" s="1">
        <f>SUM(OSRRefH22_2x_0)</f>
        <v>5425</v>
      </c>
      <c r="I56" s="1"/>
      <c r="J56" s="5">
        <f t="shared" ref="J56:J60" si="29">IF(H$12=0,0,H56/H$12)</f>
        <v>5.8632801945420155E-3</v>
      </c>
      <c r="K56" s="1"/>
      <c r="L56" s="1">
        <f t="shared" ref="L56:L60" si="30">+D56-H56</f>
        <v>2626.84</v>
      </c>
      <c r="M56" s="1"/>
      <c r="N56" s="5">
        <f t="shared" ref="N56:N60" si="31">IF(H56=0,0,L56/H56)</f>
        <v>0.48421013824884795</v>
      </c>
      <c r="O56" s="13"/>
      <c r="P56" s="1">
        <f>SUM(OSRRefP22_2x_0)</f>
        <v>11968.74</v>
      </c>
      <c r="Q56" s="1"/>
      <c r="R56" s="5">
        <f t="shared" ref="R56:R60" si="32">IF(P$12=0,0,P56/P$12)</f>
        <v>7.7568935080079299E-3</v>
      </c>
      <c r="S56" s="1"/>
      <c r="T56" s="1">
        <f>SUM(OSRRefT22_2x_0)</f>
        <v>10800</v>
      </c>
      <c r="U56" s="1"/>
      <c r="V56" s="5">
        <f t="shared" ref="V56:V60" si="33">IF(T$12=0,0,T56/T$12)</f>
        <v>6.4557470494844968E-3</v>
      </c>
      <c r="W56" s="1"/>
      <c r="X56" s="1">
        <f t="shared" ref="X56:X60" si="34">+P56-T56</f>
        <v>1168.7399999999998</v>
      </c>
      <c r="Y56" s="1"/>
      <c r="Z56" s="5">
        <f t="shared" ref="Z56:Z60" si="35">IF(T56=0,0,X56/T56)</f>
        <v>0.10821666666666664</v>
      </c>
    </row>
    <row r="57" spans="1:26" s="24" customFormat="1" hidden="1" outlineLevel="2" x14ac:dyDescent="0.25">
      <c r="A57" s="27"/>
      <c r="B57" s="11" t="str">
        <f>CONCATENATE("          ", "6362", " - ", "ADVERTISING EXPENSE")</f>
        <v xml:space="preserve">          6362 - ADVERTISING EXPENSE</v>
      </c>
      <c r="C57" s="11"/>
      <c r="D57" s="6">
        <v>8051.84</v>
      </c>
      <c r="E57" s="2"/>
      <c r="F57" s="7">
        <f t="shared" si="28"/>
        <v>9.4274854832337995E-3</v>
      </c>
      <c r="G57" s="2"/>
      <c r="H57" s="6">
        <v>5425</v>
      </c>
      <c r="I57" s="2"/>
      <c r="J57" s="7">
        <f t="shared" si="29"/>
        <v>5.8632801945420155E-3</v>
      </c>
      <c r="K57" s="2"/>
      <c r="L57" s="6">
        <f t="shared" si="30"/>
        <v>2626.84</v>
      </c>
      <c r="M57" s="2"/>
      <c r="N57" s="7">
        <f t="shared" si="31"/>
        <v>0.48421013824884795</v>
      </c>
      <c r="O57" s="11"/>
      <c r="P57" s="6">
        <v>11968.74</v>
      </c>
      <c r="Q57" s="2"/>
      <c r="R57" s="7">
        <f t="shared" si="32"/>
        <v>7.7568935080079299E-3</v>
      </c>
      <c r="S57" s="2"/>
      <c r="T57" s="6">
        <v>10800</v>
      </c>
      <c r="U57" s="2"/>
      <c r="V57" s="7">
        <f t="shared" si="33"/>
        <v>6.4557470494844968E-3</v>
      </c>
      <c r="W57" s="2"/>
      <c r="X57" s="6">
        <f t="shared" si="34"/>
        <v>1168.7399999999998</v>
      </c>
      <c r="Y57" s="2"/>
      <c r="Z57" s="7">
        <f t="shared" si="35"/>
        <v>0.10821666666666664</v>
      </c>
    </row>
    <row r="58" spans="1:26" s="26" customFormat="1" outlineLevel="1" collapsed="1" x14ac:dyDescent="0.25">
      <c r="A58" s="25"/>
      <c r="B58" s="13" t="str">
        <f>CONCATENATE("     ","Bad Debts/Over/Short                              ")</f>
        <v xml:space="preserve">     Bad Debts/Over/Short                              </v>
      </c>
      <c r="C58" s="13"/>
      <c r="D58" s="1">
        <f>SUM(OSRRefD22_3x_0)</f>
        <v>5.55</v>
      </c>
      <c r="E58" s="1"/>
      <c r="F58" s="5">
        <f t="shared" si="28"/>
        <v>6.4982096554262853E-6</v>
      </c>
      <c r="G58" s="1"/>
      <c r="H58" s="1">
        <f>SUM(OSRRefH22_3x_0)</f>
        <v>274</v>
      </c>
      <c r="I58" s="1"/>
      <c r="J58" s="5">
        <f t="shared" si="29"/>
        <v>2.9613617941097003E-4</v>
      </c>
      <c r="K58" s="1"/>
      <c r="L58" s="1">
        <f t="shared" si="30"/>
        <v>-268.45</v>
      </c>
      <c r="M58" s="1"/>
      <c r="N58" s="5">
        <f t="shared" si="31"/>
        <v>-0.97974452554744518</v>
      </c>
      <c r="O58" s="13"/>
      <c r="P58" s="1">
        <f>SUM(OSRRefP22_3x_0)</f>
        <v>-15.13</v>
      </c>
      <c r="Q58" s="1"/>
      <c r="R58" s="5">
        <f t="shared" si="32"/>
        <v>-9.8056937301804518E-6</v>
      </c>
      <c r="S58" s="1"/>
      <c r="T58" s="1">
        <f>SUM(OSRRefT22_3x_0)</f>
        <v>426</v>
      </c>
      <c r="U58" s="1"/>
      <c r="V58" s="5">
        <f t="shared" si="33"/>
        <v>2.5464335584077734E-4</v>
      </c>
      <c r="W58" s="1"/>
      <c r="X58" s="1">
        <f t="shared" si="34"/>
        <v>-441.13</v>
      </c>
      <c r="Y58" s="1"/>
      <c r="Z58" s="5">
        <f t="shared" si="35"/>
        <v>-1.0355164319248826</v>
      </c>
    </row>
    <row r="59" spans="1:26" s="24" customFormat="1" hidden="1" outlineLevel="2" x14ac:dyDescent="0.25">
      <c r="A59" s="27"/>
      <c r="B59" s="11" t="str">
        <f>CONCATENATE("          ", "6272", " - ", "CASH (OVER/SHORT)")</f>
        <v xml:space="preserve">          6272 - CASH (OVER/SHORT)</v>
      </c>
      <c r="C59" s="11"/>
      <c r="D59" s="6">
        <v>5.55</v>
      </c>
      <c r="E59" s="2"/>
      <c r="F59" s="7">
        <f t="shared" si="28"/>
        <v>6.4982096554262853E-6</v>
      </c>
      <c r="G59" s="2"/>
      <c r="H59" s="6">
        <v>224</v>
      </c>
      <c r="I59" s="2"/>
      <c r="J59" s="7">
        <f t="shared" si="29"/>
        <v>2.4209673061334776E-4</v>
      </c>
      <c r="K59" s="2"/>
      <c r="L59" s="6">
        <f t="shared" si="30"/>
        <v>-218.45</v>
      </c>
      <c r="M59" s="2"/>
      <c r="N59" s="7">
        <f t="shared" si="31"/>
        <v>-0.97522321428571423</v>
      </c>
      <c r="O59" s="11"/>
      <c r="P59" s="6">
        <v>-15.13</v>
      </c>
      <c r="Q59" s="2"/>
      <c r="R59" s="7">
        <f t="shared" si="32"/>
        <v>-9.8056937301804518E-6</v>
      </c>
      <c r="S59" s="2"/>
      <c r="T59" s="6">
        <v>376</v>
      </c>
      <c r="U59" s="2"/>
      <c r="V59" s="7">
        <f t="shared" si="33"/>
        <v>2.2475563801908988E-4</v>
      </c>
      <c r="W59" s="2"/>
      <c r="X59" s="6">
        <f t="shared" si="34"/>
        <v>-391.13</v>
      </c>
      <c r="Y59" s="2"/>
      <c r="Z59" s="7">
        <f t="shared" si="35"/>
        <v>-1.0402393617021277</v>
      </c>
    </row>
    <row r="60" spans="1:26" s="24" customFormat="1" hidden="1" outlineLevel="2" x14ac:dyDescent="0.25">
      <c r="A60" s="27"/>
      <c r="B60" s="11" t="str">
        <f>CONCATENATE("          ", "6342", " - ", "BAD DEBT")</f>
        <v xml:space="preserve">          6342 - BAD DEBT</v>
      </c>
      <c r="C60" s="11"/>
      <c r="D60" s="6"/>
      <c r="E60" s="2"/>
      <c r="F60" s="7">
        <f t="shared" si="28"/>
        <v>0</v>
      </c>
      <c r="G60" s="2"/>
      <c r="H60" s="6">
        <v>50</v>
      </c>
      <c r="I60" s="2"/>
      <c r="J60" s="7">
        <f t="shared" si="29"/>
        <v>5.4039448797622264E-5</v>
      </c>
      <c r="K60" s="2"/>
      <c r="L60" s="6">
        <f t="shared" si="30"/>
        <v>-50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50</v>
      </c>
      <c r="U60" s="2"/>
      <c r="V60" s="7">
        <f t="shared" si="33"/>
        <v>2.9887717821687484E-5</v>
      </c>
      <c r="W60" s="2"/>
      <c r="X60" s="6">
        <f t="shared" si="34"/>
        <v>-50</v>
      </c>
      <c r="Y60" s="2"/>
      <c r="Z60" s="7">
        <f t="shared" si="35"/>
        <v>-1</v>
      </c>
    </row>
    <row r="61" spans="1:26" s="26" customFormat="1" outlineLevel="1" collapsed="1" x14ac:dyDescent="0.25">
      <c r="A61" s="25"/>
      <c r="B61" s="13" t="str">
        <f>CONCATENATE("     ","Bank/card Fees                                    ")</f>
        <v xml:space="preserve">     Bank/card Fees                                    </v>
      </c>
      <c r="C61" s="13"/>
      <c r="D61" s="1">
        <f>SUM(OSRRefD22_4x_0)</f>
        <v>9024.08</v>
      </c>
      <c r="E61" s="1"/>
      <c r="F61" s="5">
        <f t="shared" ref="F61:F67" si="36">IF(D$12=0,0,D61/D$12)</f>
        <v>1.0565831313034096E-2</v>
      </c>
      <c r="G61" s="1"/>
      <c r="H61" s="1">
        <f>SUM(OSRRefH22_4x_0)</f>
        <v>8441</v>
      </c>
      <c r="I61" s="1"/>
      <c r="J61" s="5">
        <f t="shared" ref="J61:J67" si="37">IF(H$12=0,0,H61/H$12)</f>
        <v>9.1229397460145904E-3</v>
      </c>
      <c r="K61" s="1"/>
      <c r="L61" s="1">
        <f t="shared" ref="L61:L67" si="38">+D61-H61</f>
        <v>583.07999999999993</v>
      </c>
      <c r="M61" s="1"/>
      <c r="N61" s="5">
        <f t="shared" ref="N61:N67" si="39">IF(H61=0,0,L61/H61)</f>
        <v>6.9077123563558815E-2</v>
      </c>
      <c r="O61" s="13"/>
      <c r="P61" s="1">
        <f>SUM(OSRRefP22_4x_0)</f>
        <v>13566.72</v>
      </c>
      <c r="Q61" s="1"/>
      <c r="R61" s="5">
        <f t="shared" ref="R61:R67" si="40">IF(P$12=0,0,P61/P$12)</f>
        <v>8.7925380861278071E-3</v>
      </c>
      <c r="S61" s="1"/>
      <c r="T61" s="1">
        <f>SUM(OSRRefT22_4x_0)</f>
        <v>13451</v>
      </c>
      <c r="U61" s="1"/>
      <c r="V61" s="5">
        <f t="shared" ref="V61:V67" si="41">IF(T$12=0,0,T61/T$12)</f>
        <v>8.0403938483903665E-3</v>
      </c>
      <c r="W61" s="1"/>
      <c r="X61" s="1">
        <f t="shared" ref="X61:X67" si="42">+P61-T61</f>
        <v>115.71999999999935</v>
      </c>
      <c r="Y61" s="1"/>
      <c r="Z61" s="5">
        <f t="shared" ref="Z61:Z67" si="43">IF(T61=0,0,X61/T61)</f>
        <v>8.6030778380789038E-3</v>
      </c>
    </row>
    <row r="62" spans="1:26" s="24" customFormat="1" hidden="1" outlineLevel="2" x14ac:dyDescent="0.25">
      <c r="A62" s="27"/>
      <c r="B62" s="11" t="str">
        <f>CONCATENATE("          ", "6381", " - ", "BANK/CREDIT CARD FEES")</f>
        <v xml:space="preserve">          6381 - BANK/CREDIT CARD FEES</v>
      </c>
      <c r="C62" s="11"/>
      <c r="D62" s="6">
        <v>9024.08</v>
      </c>
      <c r="E62" s="2"/>
      <c r="F62" s="7">
        <f t="shared" si="36"/>
        <v>1.0565831313034096E-2</v>
      </c>
      <c r="G62" s="2"/>
      <c r="H62" s="6">
        <v>8441</v>
      </c>
      <c r="I62" s="2"/>
      <c r="J62" s="7">
        <f t="shared" si="37"/>
        <v>9.1229397460145904E-3</v>
      </c>
      <c r="K62" s="2"/>
      <c r="L62" s="6">
        <f t="shared" si="38"/>
        <v>583.07999999999993</v>
      </c>
      <c r="M62" s="2"/>
      <c r="N62" s="7">
        <f t="shared" si="39"/>
        <v>6.9077123563558815E-2</v>
      </c>
      <c r="O62" s="11"/>
      <c r="P62" s="6">
        <v>13566.72</v>
      </c>
      <c r="Q62" s="2"/>
      <c r="R62" s="7">
        <f t="shared" si="40"/>
        <v>8.7925380861278071E-3</v>
      </c>
      <c r="S62" s="2"/>
      <c r="T62" s="6">
        <v>13451</v>
      </c>
      <c r="U62" s="2"/>
      <c r="V62" s="7">
        <f t="shared" si="41"/>
        <v>8.0403938483903665E-3</v>
      </c>
      <c r="W62" s="2"/>
      <c r="X62" s="6">
        <f t="shared" si="42"/>
        <v>115.71999999999935</v>
      </c>
      <c r="Y62" s="2"/>
      <c r="Z62" s="7">
        <f t="shared" si="43"/>
        <v>8.6030778380789038E-3</v>
      </c>
    </row>
    <row r="63" spans="1:26" s="26" customFormat="1" outlineLevel="1" collapsed="1" x14ac:dyDescent="0.25">
      <c r="A63" s="25"/>
      <c r="B63" s="13" t="str">
        <f>CONCATENATE("     ","Depreciation                                      ")</f>
        <v xml:space="preserve">     Depreciation                                      </v>
      </c>
      <c r="C63" s="13"/>
      <c r="D63" s="1">
        <f>SUM(OSRRefD22_5x_0)</f>
        <v>39571.050000000003</v>
      </c>
      <c r="E63" s="1"/>
      <c r="F63" s="5">
        <f t="shared" si="36"/>
        <v>4.633170796132547E-2</v>
      </c>
      <c r="G63" s="1"/>
      <c r="H63" s="1">
        <f>SUM(OSRRefH22_5x_0)</f>
        <v>39187</v>
      </c>
      <c r="I63" s="1"/>
      <c r="J63" s="5">
        <f t="shared" si="37"/>
        <v>4.2352877600648473E-2</v>
      </c>
      <c r="K63" s="1"/>
      <c r="L63" s="1">
        <f t="shared" si="38"/>
        <v>384.05000000000291</v>
      </c>
      <c r="M63" s="1"/>
      <c r="N63" s="5">
        <f t="shared" si="39"/>
        <v>9.8004440248042179E-3</v>
      </c>
      <c r="O63" s="13"/>
      <c r="P63" s="1">
        <f>SUM(OSRRefP22_5x_0)</f>
        <v>79142.100000000006</v>
      </c>
      <c r="Q63" s="1"/>
      <c r="R63" s="5">
        <f t="shared" si="40"/>
        <v>5.1291684981051841E-2</v>
      </c>
      <c r="S63" s="1"/>
      <c r="T63" s="1">
        <f>SUM(OSRRefT22_5x_0)</f>
        <v>78374</v>
      </c>
      <c r="U63" s="1"/>
      <c r="V63" s="5">
        <f t="shared" si="41"/>
        <v>4.68483999311387E-2</v>
      </c>
      <c r="W63" s="1"/>
      <c r="X63" s="1">
        <f t="shared" si="42"/>
        <v>768.10000000000582</v>
      </c>
      <c r="Y63" s="1"/>
      <c r="Z63" s="5">
        <f t="shared" si="43"/>
        <v>9.8004440248042179E-3</v>
      </c>
    </row>
    <row r="64" spans="1:26" s="24" customFormat="1" hidden="1" outlineLevel="2" x14ac:dyDescent="0.25">
      <c r="A64" s="27"/>
      <c r="B64" s="11" t="str">
        <f>CONCATENATE("          ", "6321", " - ", "BUILDING DEPRECIATION")</f>
        <v xml:space="preserve">          6321 - BUILDING DEPRECIATION</v>
      </c>
      <c r="C64" s="11"/>
      <c r="D64" s="6">
        <v>24042.959999999999</v>
      </c>
      <c r="E64" s="2"/>
      <c r="F64" s="7">
        <f t="shared" si="36"/>
        <v>2.8150665732797831E-2</v>
      </c>
      <c r="G64" s="2"/>
      <c r="H64" s="6">
        <v>23119</v>
      </c>
      <c r="I64" s="2"/>
      <c r="J64" s="7">
        <f t="shared" si="37"/>
        <v>2.4986760335044583E-2</v>
      </c>
      <c r="K64" s="2"/>
      <c r="L64" s="6">
        <f t="shared" si="38"/>
        <v>923.95999999999913</v>
      </c>
      <c r="M64" s="2"/>
      <c r="N64" s="7">
        <f t="shared" si="39"/>
        <v>3.9965396427181069E-2</v>
      </c>
      <c r="O64" s="11"/>
      <c r="P64" s="6">
        <v>48085.919999999998</v>
      </c>
      <c r="Q64" s="2"/>
      <c r="R64" s="7">
        <f t="shared" si="40"/>
        <v>3.1164296381623182E-2</v>
      </c>
      <c r="S64" s="2"/>
      <c r="T64" s="6">
        <v>46238</v>
      </c>
      <c r="U64" s="2"/>
      <c r="V64" s="7">
        <f t="shared" si="41"/>
        <v>2.763896593278372E-2</v>
      </c>
      <c r="W64" s="2"/>
      <c r="X64" s="6">
        <f t="shared" si="42"/>
        <v>1847.9199999999983</v>
      </c>
      <c r="Y64" s="2"/>
      <c r="Z64" s="7">
        <f t="shared" si="43"/>
        <v>3.9965396427181069E-2</v>
      </c>
    </row>
    <row r="65" spans="1:26" s="24" customFormat="1" hidden="1" outlineLevel="2" x14ac:dyDescent="0.25">
      <c r="A65" s="27"/>
      <c r="B65" s="11" t="str">
        <f>CONCATENATE("          ", "6322", " - ", "EQUIPMENT DEPRECIATION EXPENSE")</f>
        <v xml:space="preserve">          6322 - EQUIPMENT DEPRECIATION EXPENSE</v>
      </c>
      <c r="C65" s="11"/>
      <c r="D65" s="6">
        <v>15103.84</v>
      </c>
      <c r="E65" s="2"/>
      <c r="F65" s="7">
        <f t="shared" si="36"/>
        <v>1.7684309715678154E-2</v>
      </c>
      <c r="G65" s="2"/>
      <c r="H65" s="6">
        <v>15301</v>
      </c>
      <c r="I65" s="2"/>
      <c r="J65" s="7">
        <f t="shared" si="37"/>
        <v>1.6537152121048365E-2</v>
      </c>
      <c r="K65" s="2"/>
      <c r="L65" s="6">
        <f t="shared" si="38"/>
        <v>-197.15999999999985</v>
      </c>
      <c r="M65" s="2"/>
      <c r="N65" s="7">
        <f t="shared" si="39"/>
        <v>-1.2885432324684651E-2</v>
      </c>
      <c r="O65" s="11"/>
      <c r="P65" s="6">
        <v>30207.68</v>
      </c>
      <c r="Q65" s="2"/>
      <c r="R65" s="7">
        <f t="shared" si="40"/>
        <v>1.9577479073317743E-2</v>
      </c>
      <c r="S65" s="2"/>
      <c r="T65" s="6">
        <v>30602</v>
      </c>
      <c r="U65" s="2"/>
      <c r="V65" s="7">
        <f t="shared" si="41"/>
        <v>1.8292478815585607E-2</v>
      </c>
      <c r="W65" s="2"/>
      <c r="X65" s="6">
        <f t="shared" si="42"/>
        <v>-394.31999999999971</v>
      </c>
      <c r="Y65" s="2"/>
      <c r="Z65" s="7">
        <f t="shared" si="43"/>
        <v>-1.2885432324684651E-2</v>
      </c>
    </row>
    <row r="66" spans="1:26" s="24" customFormat="1" hidden="1" outlineLevel="2" x14ac:dyDescent="0.25">
      <c r="A66" s="27"/>
      <c r="B66" s="11" t="str">
        <f>CONCATENATE("          ", "6324", " - ", "FURNITURE + FIXT DEPRECIATION")</f>
        <v xml:space="preserve">          6324 - FURNITURE + FIXT DEPRECIATION</v>
      </c>
      <c r="C66" s="11"/>
      <c r="D66" s="6"/>
      <c r="E66" s="2"/>
      <c r="F66" s="7">
        <f t="shared" si="36"/>
        <v>0</v>
      </c>
      <c r="G66" s="2"/>
      <c r="H66" s="6">
        <v>343</v>
      </c>
      <c r="I66" s="2"/>
      <c r="J66" s="7">
        <f t="shared" si="37"/>
        <v>3.7071061875168873E-4</v>
      </c>
      <c r="K66" s="2"/>
      <c r="L66" s="6">
        <f t="shared" si="38"/>
        <v>-343</v>
      </c>
      <c r="M66" s="2"/>
      <c r="N66" s="7">
        <f t="shared" si="39"/>
        <v>-1</v>
      </c>
      <c r="O66" s="11"/>
      <c r="P66" s="6"/>
      <c r="Q66" s="2"/>
      <c r="R66" s="7">
        <f t="shared" si="40"/>
        <v>0</v>
      </c>
      <c r="S66" s="2"/>
      <c r="T66" s="6">
        <v>686</v>
      </c>
      <c r="U66" s="2"/>
      <c r="V66" s="7">
        <f t="shared" si="41"/>
        <v>4.1005948851355231E-4</v>
      </c>
      <c r="W66" s="2"/>
      <c r="X66" s="6">
        <f t="shared" si="42"/>
        <v>-686</v>
      </c>
      <c r="Y66" s="2"/>
      <c r="Z66" s="7">
        <f t="shared" si="43"/>
        <v>-1</v>
      </c>
    </row>
    <row r="67" spans="1:26" s="24" customFormat="1" hidden="1" outlineLevel="2" x14ac:dyDescent="0.25">
      <c r="A67" s="27"/>
      <c r="B67" s="11" t="str">
        <f>CONCATENATE("          ", "6326", " - ", "VEHICLES DEPRECIATION EXPENSE")</f>
        <v xml:space="preserve">          6326 - VEHICLES DEPRECIATION EXPENSE</v>
      </c>
      <c r="C67" s="11"/>
      <c r="D67" s="6">
        <v>424.25</v>
      </c>
      <c r="E67" s="2"/>
      <c r="F67" s="7">
        <f t="shared" si="36"/>
        <v>4.9673251284947778E-4</v>
      </c>
      <c r="G67" s="2"/>
      <c r="H67" s="6">
        <v>424</v>
      </c>
      <c r="I67" s="2"/>
      <c r="J67" s="7">
        <f t="shared" si="37"/>
        <v>4.5825452580383678E-4</v>
      </c>
      <c r="K67" s="2"/>
      <c r="L67" s="6">
        <f t="shared" si="38"/>
        <v>0.25</v>
      </c>
      <c r="M67" s="2"/>
      <c r="N67" s="7">
        <f t="shared" si="39"/>
        <v>5.8962264150943394E-4</v>
      </c>
      <c r="O67" s="11"/>
      <c r="P67" s="6">
        <v>848.5</v>
      </c>
      <c r="Q67" s="2"/>
      <c r="R67" s="7">
        <f t="shared" si="40"/>
        <v>5.4990952611091298E-4</v>
      </c>
      <c r="S67" s="2"/>
      <c r="T67" s="6">
        <v>848</v>
      </c>
      <c r="U67" s="2"/>
      <c r="V67" s="7">
        <f t="shared" si="41"/>
        <v>5.0689569425581976E-4</v>
      </c>
      <c r="W67" s="2"/>
      <c r="X67" s="6">
        <f t="shared" si="42"/>
        <v>0.5</v>
      </c>
      <c r="Y67" s="2"/>
      <c r="Z67" s="7">
        <f t="shared" si="43"/>
        <v>5.8962264150943394E-4</v>
      </c>
    </row>
    <row r="68" spans="1:26" s="26" customFormat="1" outlineLevel="1" collapsed="1" x14ac:dyDescent="0.25">
      <c r="A68" s="25"/>
      <c r="B68" s="13" t="str">
        <f>CONCATENATE("     ","Donations                                         ")</f>
        <v xml:space="preserve">     Donations                                         </v>
      </c>
      <c r="C68" s="13"/>
      <c r="D68" s="1">
        <f>SUM(OSRRefD22_6x_0)</f>
        <v>7780.75</v>
      </c>
      <c r="E68" s="1"/>
      <c r="F68" s="5">
        <f t="shared" ref="F68:F70" si="44">IF(D$12=0,0,D68/D$12)</f>
        <v>9.1100801399023549E-3</v>
      </c>
      <c r="G68" s="1"/>
      <c r="H68" s="1">
        <f>SUM(OSRRefH22_6x_0)</f>
        <v>9207</v>
      </c>
      <c r="I68" s="1"/>
      <c r="J68" s="5">
        <f t="shared" ref="J68:J70" si="45">IF(H$12=0,0,H68/H$12)</f>
        <v>9.9508241015941641E-3</v>
      </c>
      <c r="K68" s="1"/>
      <c r="L68" s="1">
        <f t="shared" ref="L68:L70" si="46">+D68-H68</f>
        <v>-1426.25</v>
      </c>
      <c r="M68" s="1"/>
      <c r="N68" s="5">
        <f t="shared" ref="N68:N70" si="47">IF(H68=0,0,L68/H68)</f>
        <v>-0.15490930813511458</v>
      </c>
      <c r="O68" s="13"/>
      <c r="P68" s="1">
        <f>SUM(OSRRefP22_6x_0)</f>
        <v>7780.75</v>
      </c>
      <c r="Q68" s="1"/>
      <c r="R68" s="5">
        <f t="shared" ref="R68:R70" si="48">IF(P$12=0,0,P68/P$12)</f>
        <v>5.0426735949174852E-3</v>
      </c>
      <c r="S68" s="1"/>
      <c r="T68" s="1">
        <f>SUM(OSRRefT22_6x_0)</f>
        <v>9307</v>
      </c>
      <c r="U68" s="1"/>
      <c r="V68" s="5">
        <f t="shared" ref="V68:V70" si="49">IF(T$12=0,0,T68/T$12)</f>
        <v>5.5632997953289085E-3</v>
      </c>
      <c r="W68" s="1"/>
      <c r="X68" s="1">
        <f t="shared" ref="X68:X70" si="50">+P68-T68</f>
        <v>-1526.25</v>
      </c>
      <c r="Y68" s="1"/>
      <c r="Z68" s="5">
        <f t="shared" ref="Z68:Z70" si="51">IF(T68=0,0,X68/T68)</f>
        <v>-0.16398947029117869</v>
      </c>
    </row>
    <row r="69" spans="1:26" s="24" customFormat="1" hidden="1" outlineLevel="2" x14ac:dyDescent="0.25">
      <c r="A69" s="27"/>
      <c r="B69" s="11" t="str">
        <f>CONCATENATE("          ", "6396", " - ", "COUPONS-CHARTROOM")</f>
        <v xml:space="preserve">          6396 - COUPONS-CHARTROOM</v>
      </c>
      <c r="C69" s="11"/>
      <c r="D69" s="6"/>
      <c r="E69" s="2"/>
      <c r="F69" s="7">
        <f t="shared" si="44"/>
        <v>0</v>
      </c>
      <c r="G69" s="2"/>
      <c r="H69" s="6">
        <v>100</v>
      </c>
      <c r="I69" s="2"/>
      <c r="J69" s="7">
        <f t="shared" si="45"/>
        <v>1.0807889759524453E-4</v>
      </c>
      <c r="K69" s="2"/>
      <c r="L69" s="6">
        <f t="shared" si="46"/>
        <v>-100</v>
      </c>
      <c r="M69" s="2"/>
      <c r="N69" s="7">
        <f t="shared" si="47"/>
        <v>-1</v>
      </c>
      <c r="O69" s="11"/>
      <c r="P69" s="6"/>
      <c r="Q69" s="2"/>
      <c r="R69" s="7">
        <f t="shared" si="48"/>
        <v>0</v>
      </c>
      <c r="S69" s="2"/>
      <c r="T69" s="6">
        <v>200</v>
      </c>
      <c r="U69" s="2"/>
      <c r="V69" s="7">
        <f t="shared" si="49"/>
        <v>1.1955087128674993E-4</v>
      </c>
      <c r="W69" s="2"/>
      <c r="X69" s="6">
        <f t="shared" si="50"/>
        <v>-200</v>
      </c>
      <c r="Y69" s="2"/>
      <c r="Z69" s="7">
        <f t="shared" si="51"/>
        <v>-1</v>
      </c>
    </row>
    <row r="70" spans="1:26" s="24" customFormat="1" hidden="1" outlineLevel="2" x14ac:dyDescent="0.25">
      <c r="A70" s="27"/>
      <c r="B70" s="11" t="str">
        <f>CONCATENATE("          ", "6399", " - ", "DONATION-ON CAMPUS")</f>
        <v xml:space="preserve">          6399 - DONATION-ON CAMPUS</v>
      </c>
      <c r="C70" s="11"/>
      <c r="D70" s="6">
        <v>7780.75</v>
      </c>
      <c r="E70" s="2"/>
      <c r="F70" s="7">
        <f t="shared" si="44"/>
        <v>9.1100801399023549E-3</v>
      </c>
      <c r="G70" s="2"/>
      <c r="H70" s="6">
        <v>9107</v>
      </c>
      <c r="I70" s="2"/>
      <c r="J70" s="7">
        <f t="shared" si="45"/>
        <v>9.8427452039989184E-3</v>
      </c>
      <c r="K70" s="2"/>
      <c r="L70" s="6">
        <f t="shared" si="46"/>
        <v>-1326.25</v>
      </c>
      <c r="M70" s="2"/>
      <c r="N70" s="7">
        <f t="shared" si="47"/>
        <v>-0.14562973536839793</v>
      </c>
      <c r="O70" s="11"/>
      <c r="P70" s="6">
        <v>7780.75</v>
      </c>
      <c r="Q70" s="2"/>
      <c r="R70" s="7">
        <f t="shared" si="48"/>
        <v>5.0426735949174852E-3</v>
      </c>
      <c r="S70" s="2"/>
      <c r="T70" s="6">
        <v>9107</v>
      </c>
      <c r="U70" s="2"/>
      <c r="V70" s="7">
        <f t="shared" si="49"/>
        <v>5.4437489240421588E-3</v>
      </c>
      <c r="W70" s="2"/>
      <c r="X70" s="6">
        <f t="shared" si="50"/>
        <v>-1326.25</v>
      </c>
      <c r="Y70" s="2"/>
      <c r="Z70" s="7">
        <f t="shared" si="51"/>
        <v>-0.14562973536839793</v>
      </c>
    </row>
    <row r="71" spans="1:26" s="26" customFormat="1" outlineLevel="1" collapsed="1" x14ac:dyDescent="0.25">
      <c r="A71" s="25"/>
      <c r="B71" s="13" t="str">
        <f>CONCATENATE("     ","Employees' Appreciation                           ")</f>
        <v xml:space="preserve">     Employees' Appreciation                           </v>
      </c>
      <c r="C71" s="13"/>
      <c r="D71" s="1">
        <f>SUM(OSRRefD22_7x_0)</f>
        <v>403.02</v>
      </c>
      <c r="E71" s="1"/>
      <c r="F71" s="5">
        <f t="shared" ref="F71:F79" si="52">IF(D$12=0,0,D71/D$12)</f>
        <v>4.7187539735673906E-4</v>
      </c>
      <c r="G71" s="1"/>
      <c r="H71" s="1">
        <f>SUM(OSRRefH22_7x_0)</f>
        <v>955</v>
      </c>
      <c r="I71" s="1"/>
      <c r="J71" s="5">
        <f t="shared" ref="J71:J79" si="53">IF(H$12=0,0,H71/H$12)</f>
        <v>1.0321534720345853E-3</v>
      </c>
      <c r="K71" s="1"/>
      <c r="L71" s="1">
        <f t="shared" ref="L71:L79" si="54">+D71-H71</f>
        <v>-551.98</v>
      </c>
      <c r="M71" s="1"/>
      <c r="N71" s="5">
        <f t="shared" ref="N71:N79" si="55">IF(H71=0,0,L71/H71)</f>
        <v>-0.57798952879581156</v>
      </c>
      <c r="O71" s="13"/>
      <c r="P71" s="1">
        <f>SUM(OSRRefP22_7x_0)</f>
        <v>512.78</v>
      </c>
      <c r="Q71" s="1"/>
      <c r="R71" s="5">
        <f t="shared" ref="R71:R79" si="56">IF(P$12=0,0,P71/P$12)</f>
        <v>3.3233070925062339E-4</v>
      </c>
      <c r="S71" s="1"/>
      <c r="T71" s="1">
        <f>SUM(OSRRefT22_7x_0)</f>
        <v>1915</v>
      </c>
      <c r="U71" s="1"/>
      <c r="V71" s="5">
        <f t="shared" ref="V71:V79" si="57">IF(T$12=0,0,T71/T$12)</f>
        <v>1.1446995925706307E-3</v>
      </c>
      <c r="W71" s="1"/>
      <c r="X71" s="1">
        <f t="shared" ref="X71:X79" si="58">+P71-T71</f>
        <v>-1402.22</v>
      </c>
      <c r="Y71" s="1"/>
      <c r="Z71" s="5">
        <f t="shared" ref="Z71:Z79" si="59">IF(T71=0,0,X71/T71)</f>
        <v>-0.73222976501305481</v>
      </c>
    </row>
    <row r="72" spans="1:26" s="24" customFormat="1" hidden="1" outlineLevel="2" x14ac:dyDescent="0.25">
      <c r="A72" s="27"/>
      <c r="B72" s="11" t="str">
        <f>CONCATENATE("          ", "6277", " - ", "EMPLOYEE APPRECIATION")</f>
        <v xml:space="preserve">          6277 - EMPLOYEE APPRECIATION</v>
      </c>
      <c r="C72" s="11"/>
      <c r="D72" s="6">
        <v>403.02</v>
      </c>
      <c r="E72" s="2"/>
      <c r="F72" s="7">
        <f t="shared" si="52"/>
        <v>4.7187539735673906E-4</v>
      </c>
      <c r="G72" s="2"/>
      <c r="H72" s="6">
        <v>955</v>
      </c>
      <c r="I72" s="2"/>
      <c r="J72" s="7">
        <f t="shared" si="53"/>
        <v>1.0321534720345853E-3</v>
      </c>
      <c r="K72" s="2"/>
      <c r="L72" s="6">
        <f t="shared" si="54"/>
        <v>-551.98</v>
      </c>
      <c r="M72" s="2"/>
      <c r="N72" s="7">
        <f t="shared" si="55"/>
        <v>-0.57798952879581156</v>
      </c>
      <c r="O72" s="11"/>
      <c r="P72" s="6">
        <v>512.78</v>
      </c>
      <c r="Q72" s="2"/>
      <c r="R72" s="7">
        <f t="shared" si="56"/>
        <v>3.3233070925062339E-4</v>
      </c>
      <c r="S72" s="2"/>
      <c r="T72" s="6">
        <v>1915</v>
      </c>
      <c r="U72" s="2"/>
      <c r="V72" s="7">
        <f t="shared" si="57"/>
        <v>1.1446995925706307E-3</v>
      </c>
      <c r="W72" s="2"/>
      <c r="X72" s="6">
        <f t="shared" si="58"/>
        <v>-1402.22</v>
      </c>
      <c r="Y72" s="2"/>
      <c r="Z72" s="7">
        <f t="shared" si="59"/>
        <v>-0.73222976501305481</v>
      </c>
    </row>
    <row r="73" spans="1:26" s="26" customFormat="1" outlineLevel="1" collapsed="1" x14ac:dyDescent="0.25">
      <c r="A73" s="25"/>
      <c r="B73" s="13" t="str">
        <f>CONCATENATE("     ","Equipment Rental                                  ")</f>
        <v xml:space="preserve">     Equipment Rental                                  </v>
      </c>
      <c r="C73" s="13"/>
      <c r="D73" s="1">
        <f>SUM(OSRRefD22_8x_0)</f>
        <v>5077.03</v>
      </c>
      <c r="E73" s="1"/>
      <c r="F73" s="5">
        <f t="shared" si="52"/>
        <v>5.944433399439444E-3</v>
      </c>
      <c r="G73" s="1"/>
      <c r="H73" s="1">
        <f>SUM(OSRRefH22_8x_0)</f>
        <v>1975</v>
      </c>
      <c r="I73" s="1"/>
      <c r="J73" s="5">
        <f t="shared" si="53"/>
        <v>2.1345582275060795E-3</v>
      </c>
      <c r="K73" s="1"/>
      <c r="L73" s="1">
        <f t="shared" si="54"/>
        <v>3102.0299999999997</v>
      </c>
      <c r="M73" s="1"/>
      <c r="N73" s="5">
        <f t="shared" si="55"/>
        <v>1.5706481012658227</v>
      </c>
      <c r="O73" s="13"/>
      <c r="P73" s="1">
        <f>SUM(OSRRefP22_8x_0)</f>
        <v>6866.67</v>
      </c>
      <c r="Q73" s="1"/>
      <c r="R73" s="5">
        <f t="shared" si="56"/>
        <v>4.4502619277077462E-3</v>
      </c>
      <c r="S73" s="1"/>
      <c r="T73" s="1">
        <f>SUM(OSRRefT22_8x_0)</f>
        <v>4435</v>
      </c>
      <c r="U73" s="1"/>
      <c r="V73" s="5">
        <f t="shared" si="57"/>
        <v>2.6510405707836798E-3</v>
      </c>
      <c r="W73" s="1"/>
      <c r="X73" s="1">
        <f t="shared" si="58"/>
        <v>2431.67</v>
      </c>
      <c r="Y73" s="1"/>
      <c r="Z73" s="5">
        <f t="shared" si="59"/>
        <v>0.54829086809470129</v>
      </c>
    </row>
    <row r="74" spans="1:26" s="24" customFormat="1" hidden="1" outlineLevel="2" x14ac:dyDescent="0.25">
      <c r="A74" s="27"/>
      <c r="B74" s="11" t="str">
        <f>CONCATENATE("          ", "6351", " - ", "EQUIPMENT RENTAL")</f>
        <v xml:space="preserve">          6351 - EQUIPMENT RENTAL</v>
      </c>
      <c r="C74" s="11"/>
      <c r="D74" s="6">
        <v>5077.03</v>
      </c>
      <c r="E74" s="2"/>
      <c r="F74" s="7">
        <f t="shared" si="52"/>
        <v>5.944433399439444E-3</v>
      </c>
      <c r="G74" s="2"/>
      <c r="H74" s="6">
        <v>1975</v>
      </c>
      <c r="I74" s="2"/>
      <c r="J74" s="7">
        <f t="shared" si="53"/>
        <v>2.1345582275060795E-3</v>
      </c>
      <c r="K74" s="2"/>
      <c r="L74" s="6">
        <f t="shared" si="54"/>
        <v>3102.0299999999997</v>
      </c>
      <c r="M74" s="2"/>
      <c r="N74" s="7">
        <f t="shared" si="55"/>
        <v>1.5706481012658227</v>
      </c>
      <c r="O74" s="11"/>
      <c r="P74" s="6">
        <v>6866.67</v>
      </c>
      <c r="Q74" s="2"/>
      <c r="R74" s="7">
        <f t="shared" si="56"/>
        <v>4.4502619277077462E-3</v>
      </c>
      <c r="S74" s="2"/>
      <c r="T74" s="6">
        <v>4435</v>
      </c>
      <c r="U74" s="2"/>
      <c r="V74" s="7">
        <f t="shared" si="57"/>
        <v>2.6510405707836798E-3</v>
      </c>
      <c r="W74" s="2"/>
      <c r="X74" s="6">
        <f t="shared" si="58"/>
        <v>2431.67</v>
      </c>
      <c r="Y74" s="2"/>
      <c r="Z74" s="7">
        <f t="shared" si="59"/>
        <v>0.54829086809470129</v>
      </c>
    </row>
    <row r="75" spans="1:26" s="26" customFormat="1" outlineLevel="1" collapsed="1" x14ac:dyDescent="0.25">
      <c r="A75" s="25"/>
      <c r="B75" s="13" t="str">
        <f>CONCATENATE("     ","Freight out/Postage                               ")</f>
        <v xml:space="preserve">     Freight out/Postage                               </v>
      </c>
      <c r="C75" s="13"/>
      <c r="D75" s="1">
        <f>SUM(OSRRefD22_9x_0)</f>
        <v>0</v>
      </c>
      <c r="E75" s="1"/>
      <c r="F75" s="5">
        <f t="shared" si="52"/>
        <v>0</v>
      </c>
      <c r="G75" s="1"/>
      <c r="H75" s="1">
        <f>SUM(OSRRefH22_9x_0)</f>
        <v>1</v>
      </c>
      <c r="I75" s="1"/>
      <c r="J75" s="5">
        <f t="shared" si="53"/>
        <v>1.0807889759524454E-6</v>
      </c>
      <c r="K75" s="1"/>
      <c r="L75" s="1">
        <f t="shared" si="54"/>
        <v>-1</v>
      </c>
      <c r="M75" s="1"/>
      <c r="N75" s="5">
        <f t="shared" si="55"/>
        <v>-1</v>
      </c>
      <c r="O75" s="13"/>
      <c r="P75" s="1">
        <f>SUM(OSRRefP22_9x_0)</f>
        <v>0</v>
      </c>
      <c r="Q75" s="1"/>
      <c r="R75" s="5">
        <f t="shared" si="56"/>
        <v>0</v>
      </c>
      <c r="S75" s="1"/>
      <c r="T75" s="1">
        <f>SUM(OSRRefT22_9x_0)</f>
        <v>2</v>
      </c>
      <c r="U75" s="1"/>
      <c r="V75" s="5">
        <f t="shared" si="57"/>
        <v>1.1955087128674995E-6</v>
      </c>
      <c r="W75" s="1"/>
      <c r="X75" s="1">
        <f t="shared" si="58"/>
        <v>-2</v>
      </c>
      <c r="Y75" s="1"/>
      <c r="Z75" s="5">
        <f t="shared" si="59"/>
        <v>-1</v>
      </c>
    </row>
    <row r="76" spans="1:26" s="24" customFormat="1" hidden="1" outlineLevel="2" x14ac:dyDescent="0.25">
      <c r="A76" s="27"/>
      <c r="B76" s="11" t="str">
        <f>CONCATENATE("          ", "6307", " - ", "POSTAGE")</f>
        <v xml:space="preserve">          6307 - POSTAGE</v>
      </c>
      <c r="C76" s="11"/>
      <c r="D76" s="6"/>
      <c r="E76" s="2"/>
      <c r="F76" s="7">
        <f t="shared" si="52"/>
        <v>0</v>
      </c>
      <c r="G76" s="2"/>
      <c r="H76" s="6">
        <v>1</v>
      </c>
      <c r="I76" s="2"/>
      <c r="J76" s="7">
        <f t="shared" si="53"/>
        <v>1.0807889759524454E-6</v>
      </c>
      <c r="K76" s="2"/>
      <c r="L76" s="6">
        <f t="shared" si="54"/>
        <v>-1</v>
      </c>
      <c r="M76" s="2"/>
      <c r="N76" s="7">
        <f t="shared" si="55"/>
        <v>-1</v>
      </c>
      <c r="O76" s="11"/>
      <c r="P76" s="6"/>
      <c r="Q76" s="2"/>
      <c r="R76" s="7">
        <f t="shared" si="56"/>
        <v>0</v>
      </c>
      <c r="S76" s="2"/>
      <c r="T76" s="6">
        <v>2</v>
      </c>
      <c r="U76" s="2"/>
      <c r="V76" s="7">
        <f t="shared" si="57"/>
        <v>1.1955087128674995E-6</v>
      </c>
      <c r="W76" s="2"/>
      <c r="X76" s="6">
        <f t="shared" si="58"/>
        <v>-2</v>
      </c>
      <c r="Y76" s="2"/>
      <c r="Z76" s="7">
        <f t="shared" si="59"/>
        <v>-1</v>
      </c>
    </row>
    <row r="77" spans="1:26" s="26" customFormat="1" outlineLevel="1" collapsed="1" x14ac:dyDescent="0.25">
      <c r="A77" s="25"/>
      <c r="B77" s="13" t="str">
        <f>CONCATENATE("     ","General                                           ")</f>
        <v xml:space="preserve">     General                                           </v>
      </c>
      <c r="C77" s="13"/>
      <c r="D77" s="1">
        <f>SUM(OSRRefD22_10x_0)</f>
        <v>4937.93</v>
      </c>
      <c r="E77" s="1"/>
      <c r="F77" s="5">
        <f t="shared" si="52"/>
        <v>5.7815683610484905E-3</v>
      </c>
      <c r="G77" s="1"/>
      <c r="H77" s="1">
        <f>SUM(OSRRefH22_10x_0)</f>
        <v>6749</v>
      </c>
      <c r="I77" s="1"/>
      <c r="J77" s="5">
        <f t="shared" si="53"/>
        <v>7.2942447987030534E-3</v>
      </c>
      <c r="K77" s="1"/>
      <c r="L77" s="1">
        <f t="shared" si="54"/>
        <v>-1811.0699999999997</v>
      </c>
      <c r="M77" s="1"/>
      <c r="N77" s="5">
        <f t="shared" si="55"/>
        <v>-0.26834642169210249</v>
      </c>
      <c r="O77" s="13"/>
      <c r="P77" s="1">
        <f>SUM(OSRRefP22_10x_0)</f>
        <v>28176.84</v>
      </c>
      <c r="Q77" s="1"/>
      <c r="R77" s="5">
        <f t="shared" si="56"/>
        <v>1.8261299624870969E-2</v>
      </c>
      <c r="S77" s="1"/>
      <c r="T77" s="1">
        <f>SUM(OSRRefT22_10x_0)</f>
        <v>21174</v>
      </c>
      <c r="U77" s="1"/>
      <c r="V77" s="5">
        <f t="shared" si="57"/>
        <v>1.2656850743128216E-2</v>
      </c>
      <c r="W77" s="1"/>
      <c r="X77" s="1">
        <f t="shared" si="58"/>
        <v>7002.84</v>
      </c>
      <c r="Y77" s="1"/>
      <c r="Z77" s="5">
        <f t="shared" si="59"/>
        <v>0.33072825162935676</v>
      </c>
    </row>
    <row r="78" spans="1:26" s="24" customFormat="1" hidden="1" outlineLevel="2" x14ac:dyDescent="0.25">
      <c r="A78" s="27"/>
      <c r="B78" s="11" t="str">
        <f>CONCATENATE("          ", "6269", " - ", "ENTERTAINMENT")</f>
        <v xml:space="preserve">          6269 - ENTERTAINMENT</v>
      </c>
      <c r="C78" s="11"/>
      <c r="D78" s="6">
        <v>2600</v>
      </c>
      <c r="E78" s="2"/>
      <c r="F78" s="7">
        <f t="shared" si="52"/>
        <v>3.0442063250645662E-3</v>
      </c>
      <c r="G78" s="2"/>
      <c r="H78" s="6">
        <v>350</v>
      </c>
      <c r="I78" s="2"/>
      <c r="J78" s="7">
        <f t="shared" si="53"/>
        <v>3.7827614158335586E-4</v>
      </c>
      <c r="K78" s="2"/>
      <c r="L78" s="6">
        <f t="shared" si="54"/>
        <v>2250</v>
      </c>
      <c r="M78" s="2"/>
      <c r="N78" s="7">
        <f t="shared" si="55"/>
        <v>6.4285714285714288</v>
      </c>
      <c r="O78" s="11"/>
      <c r="P78" s="6">
        <v>2600</v>
      </c>
      <c r="Q78" s="2"/>
      <c r="R78" s="7">
        <f t="shared" si="56"/>
        <v>1.6850498148360327E-3</v>
      </c>
      <c r="S78" s="2"/>
      <c r="T78" s="6">
        <v>1500</v>
      </c>
      <c r="U78" s="2"/>
      <c r="V78" s="7">
        <f t="shared" si="57"/>
        <v>8.966315346506245E-4</v>
      </c>
      <c r="W78" s="2"/>
      <c r="X78" s="6">
        <f t="shared" si="58"/>
        <v>1100</v>
      </c>
      <c r="Y78" s="2"/>
      <c r="Z78" s="7">
        <f t="shared" si="59"/>
        <v>0.73333333333333328</v>
      </c>
    </row>
    <row r="79" spans="1:26" s="24" customFormat="1" hidden="1" outlineLevel="2" x14ac:dyDescent="0.25">
      <c r="A79" s="27"/>
      <c r="B79" s="11" t="str">
        <f>CONCATENATE("          ", "6279", " - ", "GENERAL EXPENSE")</f>
        <v xml:space="preserve">          6279 - GENERAL EXPENSE</v>
      </c>
      <c r="C79" s="11"/>
      <c r="D79" s="6">
        <v>2337.9299999999998</v>
      </c>
      <c r="E79" s="2"/>
      <c r="F79" s="7">
        <f t="shared" si="52"/>
        <v>2.7373620359839234E-3</v>
      </c>
      <c r="G79" s="2"/>
      <c r="H79" s="6">
        <v>6399</v>
      </c>
      <c r="I79" s="2"/>
      <c r="J79" s="7">
        <f t="shared" si="53"/>
        <v>6.915968657119697E-3</v>
      </c>
      <c r="K79" s="2"/>
      <c r="L79" s="6">
        <f t="shared" si="54"/>
        <v>-4061.07</v>
      </c>
      <c r="M79" s="2"/>
      <c r="N79" s="7">
        <f t="shared" si="55"/>
        <v>-0.63464135021097046</v>
      </c>
      <c r="O79" s="11"/>
      <c r="P79" s="6">
        <v>25576.84</v>
      </c>
      <c r="Q79" s="2"/>
      <c r="R79" s="7">
        <f t="shared" si="56"/>
        <v>1.6576249810034936E-2</v>
      </c>
      <c r="S79" s="2"/>
      <c r="T79" s="6">
        <v>19674</v>
      </c>
      <c r="U79" s="2"/>
      <c r="V79" s="7">
        <f t="shared" si="57"/>
        <v>1.1760219208477592E-2</v>
      </c>
      <c r="W79" s="2"/>
      <c r="X79" s="6">
        <f t="shared" si="58"/>
        <v>5902.84</v>
      </c>
      <c r="Y79" s="2"/>
      <c r="Z79" s="7">
        <f t="shared" si="59"/>
        <v>0.30003253024296028</v>
      </c>
    </row>
    <row r="80" spans="1:26" s="26" customFormat="1" outlineLevel="1" collapsed="1" x14ac:dyDescent="0.25">
      <c r="A80" s="25"/>
      <c r="B80" s="13" t="str">
        <f>CONCATENATE("     ","Insurance                                         ")</f>
        <v xml:space="preserve">     Insurance                                         </v>
      </c>
      <c r="C80" s="13"/>
      <c r="D80" s="1">
        <f>SUM(OSRRefD22_11x_0)</f>
        <v>4246.03</v>
      </c>
      <c r="E80" s="1"/>
      <c r="F80" s="5">
        <f t="shared" ref="F80:F94" si="60">IF(D$12=0,0,D80/D$12)</f>
        <v>4.9714582240053462E-3</v>
      </c>
      <c r="G80" s="1"/>
      <c r="H80" s="1">
        <f>SUM(OSRRefH22_11x_0)</f>
        <v>4009</v>
      </c>
      <c r="I80" s="1"/>
      <c r="J80" s="5">
        <f t="shared" ref="J80:J94" si="61">IF(H$12=0,0,H80/H$12)</f>
        <v>4.3328830045933535E-3</v>
      </c>
      <c r="K80" s="1"/>
      <c r="L80" s="1">
        <f t="shared" ref="L80:L94" si="62">+D80-H80</f>
        <v>237.02999999999975</v>
      </c>
      <c r="M80" s="1"/>
      <c r="N80" s="5">
        <f t="shared" ref="N80:N94" si="63">IF(H80=0,0,L80/H80)</f>
        <v>5.9124469942629022E-2</v>
      </c>
      <c r="O80" s="13"/>
      <c r="P80" s="1">
        <f>SUM(OSRRefP22_11x_0)</f>
        <v>8492.06</v>
      </c>
      <c r="Q80" s="1"/>
      <c r="R80" s="5">
        <f t="shared" ref="R80:R94" si="64">IF(P$12=0,0,P80/P$12)</f>
        <v>5.5036708194524915E-3</v>
      </c>
      <c r="S80" s="1"/>
      <c r="T80" s="1">
        <f>SUM(OSRRefT22_11x_0)</f>
        <v>8018</v>
      </c>
      <c r="U80" s="1"/>
      <c r="V80" s="5">
        <f t="shared" ref="V80:V94" si="65">IF(T$12=0,0,T80/T$12)</f>
        <v>4.7927944298858053E-3</v>
      </c>
      <c r="W80" s="1"/>
      <c r="X80" s="1">
        <f t="shared" ref="X80:X94" si="66">+P80-T80</f>
        <v>474.05999999999949</v>
      </c>
      <c r="Y80" s="1"/>
      <c r="Z80" s="5">
        <f t="shared" ref="Z80:Z94" si="67">IF(T80=0,0,X80/T80)</f>
        <v>5.9124469942629022E-2</v>
      </c>
    </row>
    <row r="81" spans="1:26" s="24" customFormat="1" hidden="1" outlineLevel="2" x14ac:dyDescent="0.25">
      <c r="A81" s="27"/>
      <c r="B81" s="11" t="str">
        <f>CONCATENATE("          ", "6314", " - ", "LIABILITY INSURANCE")</f>
        <v xml:space="preserve">          6314 - LIABILITY INSURANCE</v>
      </c>
      <c r="C81" s="11"/>
      <c r="D81" s="6">
        <v>4246.03</v>
      </c>
      <c r="E81" s="2"/>
      <c r="F81" s="7">
        <f t="shared" si="60"/>
        <v>4.9714582240053462E-3</v>
      </c>
      <c r="G81" s="2"/>
      <c r="H81" s="6">
        <v>4009</v>
      </c>
      <c r="I81" s="2"/>
      <c r="J81" s="7">
        <f t="shared" si="61"/>
        <v>4.3328830045933535E-3</v>
      </c>
      <c r="K81" s="2"/>
      <c r="L81" s="6">
        <f t="shared" si="62"/>
        <v>237.02999999999975</v>
      </c>
      <c r="M81" s="2"/>
      <c r="N81" s="7">
        <f t="shared" si="63"/>
        <v>5.9124469942629022E-2</v>
      </c>
      <c r="O81" s="11"/>
      <c r="P81" s="6">
        <v>8492.06</v>
      </c>
      <c r="Q81" s="2"/>
      <c r="R81" s="7">
        <f t="shared" si="64"/>
        <v>5.5036708194524915E-3</v>
      </c>
      <c r="S81" s="2"/>
      <c r="T81" s="6">
        <v>8018</v>
      </c>
      <c r="U81" s="2"/>
      <c r="V81" s="7">
        <f t="shared" si="65"/>
        <v>4.7927944298858053E-3</v>
      </c>
      <c r="W81" s="2"/>
      <c r="X81" s="6">
        <f t="shared" si="66"/>
        <v>474.05999999999949</v>
      </c>
      <c r="Y81" s="2"/>
      <c r="Z81" s="7">
        <f t="shared" si="67"/>
        <v>5.9124469942629022E-2</v>
      </c>
    </row>
    <row r="82" spans="1:26" s="26" customFormat="1" outlineLevel="1" collapsed="1" x14ac:dyDescent="0.25">
      <c r="A82" s="25"/>
      <c r="B82" s="13" t="str">
        <f>CONCATENATE("     ","Interest                                          ")</f>
        <v xml:space="preserve">     Interest                                          </v>
      </c>
      <c r="C82" s="13"/>
      <c r="D82" s="1">
        <f>SUM(OSRRefD22_12x_0)</f>
        <v>7630</v>
      </c>
      <c r="E82" s="1"/>
      <c r="F82" s="5">
        <f t="shared" si="60"/>
        <v>8.9335747154779387E-3</v>
      </c>
      <c r="G82" s="1"/>
      <c r="H82" s="1">
        <f>SUM(OSRRefH22_12x_0)</f>
        <v>7754</v>
      </c>
      <c r="I82" s="1"/>
      <c r="J82" s="5">
        <f t="shared" si="61"/>
        <v>8.3804377195352605E-3</v>
      </c>
      <c r="K82" s="1"/>
      <c r="L82" s="1">
        <f t="shared" si="62"/>
        <v>-124</v>
      </c>
      <c r="M82" s="1"/>
      <c r="N82" s="5">
        <f t="shared" si="63"/>
        <v>-1.5991746195511993E-2</v>
      </c>
      <c r="O82" s="13"/>
      <c r="P82" s="1">
        <f>SUM(OSRRefP22_12x_0)</f>
        <v>15260</v>
      </c>
      <c r="Q82" s="1"/>
      <c r="R82" s="5">
        <f t="shared" si="64"/>
        <v>9.8899462209222529E-3</v>
      </c>
      <c r="S82" s="1"/>
      <c r="T82" s="1">
        <f>SUM(OSRRefT22_12x_0)</f>
        <v>15508</v>
      </c>
      <c r="U82" s="1"/>
      <c r="V82" s="5">
        <f t="shared" si="65"/>
        <v>9.2699745595745901E-3</v>
      </c>
      <c r="W82" s="1"/>
      <c r="X82" s="1">
        <f t="shared" si="66"/>
        <v>-248</v>
      </c>
      <c r="Y82" s="1"/>
      <c r="Z82" s="5">
        <f t="shared" si="67"/>
        <v>-1.5991746195511993E-2</v>
      </c>
    </row>
    <row r="83" spans="1:26" s="24" customFormat="1" hidden="1" outlineLevel="2" x14ac:dyDescent="0.25">
      <c r="A83" s="27"/>
      <c r="B83" s="11" t="str">
        <f>CONCATENATE("          ", "6401", " - ", "INTEREST EXPENSE")</f>
        <v xml:space="preserve">          6401 - INTEREST EXPENSE</v>
      </c>
      <c r="C83" s="11"/>
      <c r="D83" s="6">
        <v>7630</v>
      </c>
      <c r="E83" s="2"/>
      <c r="F83" s="7">
        <f t="shared" si="60"/>
        <v>8.9335747154779387E-3</v>
      </c>
      <c r="G83" s="2"/>
      <c r="H83" s="6">
        <v>7754</v>
      </c>
      <c r="I83" s="2"/>
      <c r="J83" s="7">
        <f t="shared" si="61"/>
        <v>8.3804377195352605E-3</v>
      </c>
      <c r="K83" s="2"/>
      <c r="L83" s="6">
        <f t="shared" si="62"/>
        <v>-124</v>
      </c>
      <c r="M83" s="2"/>
      <c r="N83" s="7">
        <f t="shared" si="63"/>
        <v>-1.5991746195511993E-2</v>
      </c>
      <c r="O83" s="11"/>
      <c r="P83" s="6">
        <v>15260</v>
      </c>
      <c r="Q83" s="2"/>
      <c r="R83" s="7">
        <f t="shared" si="64"/>
        <v>9.8899462209222529E-3</v>
      </c>
      <c r="S83" s="2"/>
      <c r="T83" s="6">
        <v>15508</v>
      </c>
      <c r="U83" s="2"/>
      <c r="V83" s="7">
        <f t="shared" si="65"/>
        <v>9.2699745595745901E-3</v>
      </c>
      <c r="W83" s="2"/>
      <c r="X83" s="6">
        <f t="shared" si="66"/>
        <v>-248</v>
      </c>
      <c r="Y83" s="2"/>
      <c r="Z83" s="7">
        <f t="shared" si="67"/>
        <v>-1.5991746195511993E-2</v>
      </c>
    </row>
    <row r="84" spans="1:26" s="26" customFormat="1" outlineLevel="1" collapsed="1" x14ac:dyDescent="0.25">
      <c r="A84" s="25"/>
      <c r="B84" s="13" t="str">
        <f>CONCATENATE("     ","Professional Services                             ")</f>
        <v xml:space="preserve">     Professional Services                             </v>
      </c>
      <c r="C84" s="13"/>
      <c r="D84" s="1">
        <f>SUM(OSRRefD22_13x_0)</f>
        <v>125</v>
      </c>
      <c r="E84" s="1"/>
      <c r="F84" s="5">
        <f t="shared" si="60"/>
        <v>1.4635607332041185E-4</v>
      </c>
      <c r="G84" s="1"/>
      <c r="H84" s="1">
        <f>SUM(OSRRefH22_13x_0)</f>
        <v>0</v>
      </c>
      <c r="I84" s="1"/>
      <c r="J84" s="5">
        <f t="shared" si="61"/>
        <v>0</v>
      </c>
      <c r="K84" s="1"/>
      <c r="L84" s="1">
        <f t="shared" si="62"/>
        <v>125</v>
      </c>
      <c r="M84" s="1"/>
      <c r="N84" s="5">
        <f t="shared" si="63"/>
        <v>0</v>
      </c>
      <c r="O84" s="13"/>
      <c r="P84" s="1">
        <f>SUM(OSRRefP22_13x_0)</f>
        <v>125</v>
      </c>
      <c r="Q84" s="1"/>
      <c r="R84" s="5">
        <f t="shared" si="64"/>
        <v>8.1012010328655414E-5</v>
      </c>
      <c r="S84" s="1"/>
      <c r="T84" s="1">
        <f>SUM(OSRRefT22_13x_0)</f>
        <v>0</v>
      </c>
      <c r="U84" s="1"/>
      <c r="V84" s="5">
        <f t="shared" si="65"/>
        <v>0</v>
      </c>
      <c r="W84" s="1"/>
      <c r="X84" s="1">
        <f t="shared" si="66"/>
        <v>125</v>
      </c>
      <c r="Y84" s="1"/>
      <c r="Z84" s="5">
        <f t="shared" si="67"/>
        <v>0</v>
      </c>
    </row>
    <row r="85" spans="1:26" s="24" customFormat="1" hidden="1" outlineLevel="2" x14ac:dyDescent="0.25">
      <c r="A85" s="27"/>
      <c r="B85" s="11" t="str">
        <f>CONCATENATE("          ", "6336", " - ", "PROFESSIONAL SERVICES")</f>
        <v xml:space="preserve">          6336 - PROFESSIONAL SERVICES</v>
      </c>
      <c r="C85" s="11"/>
      <c r="D85" s="6">
        <v>125</v>
      </c>
      <c r="E85" s="2"/>
      <c r="F85" s="7">
        <f t="shared" si="60"/>
        <v>1.4635607332041185E-4</v>
      </c>
      <c r="G85" s="2"/>
      <c r="H85" s="6"/>
      <c r="I85" s="2"/>
      <c r="J85" s="7">
        <f t="shared" si="61"/>
        <v>0</v>
      </c>
      <c r="K85" s="2"/>
      <c r="L85" s="6">
        <f t="shared" si="62"/>
        <v>125</v>
      </c>
      <c r="M85" s="2"/>
      <c r="N85" s="7">
        <f t="shared" si="63"/>
        <v>0</v>
      </c>
      <c r="O85" s="11"/>
      <c r="P85" s="6">
        <v>125</v>
      </c>
      <c r="Q85" s="2"/>
      <c r="R85" s="7">
        <f t="shared" si="64"/>
        <v>8.1012010328655414E-5</v>
      </c>
      <c r="S85" s="2"/>
      <c r="T85" s="6"/>
      <c r="U85" s="2"/>
      <c r="V85" s="7">
        <f t="shared" si="65"/>
        <v>0</v>
      </c>
      <c r="W85" s="2"/>
      <c r="X85" s="6">
        <f t="shared" si="66"/>
        <v>125</v>
      </c>
      <c r="Y85" s="2"/>
      <c r="Z85" s="7">
        <f t="shared" si="67"/>
        <v>0</v>
      </c>
    </row>
    <row r="86" spans="1:26" s="26" customFormat="1" outlineLevel="1" collapsed="1" x14ac:dyDescent="0.25">
      <c r="A86" s="25"/>
      <c r="B86" s="13" t="str">
        <f>CONCATENATE("     ","R/H Commissions                                   ")</f>
        <v xml:space="preserve">     R/H Commissions                                   </v>
      </c>
      <c r="C86" s="13"/>
      <c r="D86" s="1">
        <f>SUM(OSRRefD22_14x_0)</f>
        <v>32320.179999999997</v>
      </c>
      <c r="E86" s="1"/>
      <c r="F86" s="5">
        <f t="shared" si="60"/>
        <v>3.7842037070471263E-2</v>
      </c>
      <c r="G86" s="1"/>
      <c r="H86" s="1">
        <f>SUM(OSRRefH22_14x_0)</f>
        <v>37900</v>
      </c>
      <c r="I86" s="1"/>
      <c r="J86" s="5">
        <f t="shared" si="61"/>
        <v>4.0961902188597674E-2</v>
      </c>
      <c r="K86" s="1"/>
      <c r="L86" s="1">
        <f t="shared" si="62"/>
        <v>-5579.8200000000033</v>
      </c>
      <c r="M86" s="1"/>
      <c r="N86" s="5">
        <f t="shared" si="63"/>
        <v>-0.14722480211081804</v>
      </c>
      <c r="O86" s="13"/>
      <c r="P86" s="1">
        <f>SUM(OSRRefP22_14x_0)</f>
        <v>72032.83</v>
      </c>
      <c r="Q86" s="1"/>
      <c r="R86" s="5">
        <f t="shared" si="64"/>
        <v>4.6684194943698236E-2</v>
      </c>
      <c r="S86" s="1"/>
      <c r="T86" s="1">
        <f>SUM(OSRRefT22_14x_0)</f>
        <v>77724</v>
      </c>
      <c r="U86" s="1"/>
      <c r="V86" s="5">
        <f t="shared" si="65"/>
        <v>4.6459859599456761E-2</v>
      </c>
      <c r="W86" s="1"/>
      <c r="X86" s="1">
        <f t="shared" si="66"/>
        <v>-5691.1699999999983</v>
      </c>
      <c r="Y86" s="1"/>
      <c r="Z86" s="5">
        <f t="shared" si="67"/>
        <v>-7.3222814060007177E-2</v>
      </c>
    </row>
    <row r="87" spans="1:26" s="24" customFormat="1" hidden="1" outlineLevel="2" x14ac:dyDescent="0.25">
      <c r="A87" s="27"/>
      <c r="B87" s="11" t="str">
        <f>CONCATENATE("          ", "6387", " - ", "COMMISSION DUE HOUSING")</f>
        <v xml:space="preserve">          6387 - COMMISSION DUE HOUSING</v>
      </c>
      <c r="C87" s="11"/>
      <c r="D87" s="6">
        <v>32320.179999999997</v>
      </c>
      <c r="E87" s="2"/>
      <c r="F87" s="7">
        <f t="shared" si="60"/>
        <v>3.7842037070471263E-2</v>
      </c>
      <c r="G87" s="2"/>
      <c r="H87" s="6">
        <v>37900</v>
      </c>
      <c r="I87" s="2"/>
      <c r="J87" s="7">
        <f t="shared" si="61"/>
        <v>4.0961902188597674E-2</v>
      </c>
      <c r="K87" s="2"/>
      <c r="L87" s="6">
        <f t="shared" si="62"/>
        <v>-5579.8200000000033</v>
      </c>
      <c r="M87" s="2"/>
      <c r="N87" s="7">
        <f t="shared" si="63"/>
        <v>-0.14722480211081804</v>
      </c>
      <c r="O87" s="11"/>
      <c r="P87" s="6">
        <v>72032.83</v>
      </c>
      <c r="Q87" s="2"/>
      <c r="R87" s="7">
        <f t="shared" si="64"/>
        <v>4.6684194943698236E-2</v>
      </c>
      <c r="S87" s="2"/>
      <c r="T87" s="6">
        <v>77724</v>
      </c>
      <c r="U87" s="2"/>
      <c r="V87" s="7">
        <f t="shared" si="65"/>
        <v>4.6459859599456761E-2</v>
      </c>
      <c r="W87" s="2"/>
      <c r="X87" s="6">
        <f t="shared" si="66"/>
        <v>-5691.1699999999983</v>
      </c>
      <c r="Y87" s="2"/>
      <c r="Z87" s="7">
        <f t="shared" si="67"/>
        <v>-7.3222814060007177E-2</v>
      </c>
    </row>
    <row r="88" spans="1:26" s="26" customFormat="1" outlineLevel="1" collapsed="1" x14ac:dyDescent="0.25">
      <c r="A88" s="25"/>
      <c r="B88" s="13" t="str">
        <f>CONCATENATE("     ","Rent                                              ")</f>
        <v xml:space="preserve">     Rent                                              </v>
      </c>
      <c r="C88" s="13"/>
      <c r="D88" s="1">
        <f>SUM(OSRRefD22_15x_0)</f>
        <v>1850</v>
      </c>
      <c r="E88" s="1"/>
      <c r="F88" s="5">
        <f t="shared" si="60"/>
        <v>2.1660698851420951E-3</v>
      </c>
      <c r="G88" s="1"/>
      <c r="H88" s="1">
        <f>SUM(OSRRefH22_15x_0)</f>
        <v>1850</v>
      </c>
      <c r="I88" s="1"/>
      <c r="J88" s="5">
        <f t="shared" si="61"/>
        <v>1.9994596055120236E-3</v>
      </c>
      <c r="K88" s="1"/>
      <c r="L88" s="1">
        <f t="shared" si="62"/>
        <v>0</v>
      </c>
      <c r="M88" s="1"/>
      <c r="N88" s="5">
        <f t="shared" si="63"/>
        <v>0</v>
      </c>
      <c r="O88" s="13"/>
      <c r="P88" s="1">
        <f>SUM(OSRRefP22_15x_0)</f>
        <v>3700</v>
      </c>
      <c r="Q88" s="1"/>
      <c r="R88" s="5">
        <f t="shared" si="64"/>
        <v>2.3979555057282004E-3</v>
      </c>
      <c r="S88" s="1"/>
      <c r="T88" s="1">
        <f>SUM(OSRRefT22_15x_0)</f>
        <v>3700</v>
      </c>
      <c r="U88" s="1"/>
      <c r="V88" s="5">
        <f t="shared" si="65"/>
        <v>2.2116911188048739E-3</v>
      </c>
      <c r="W88" s="1"/>
      <c r="X88" s="1">
        <f t="shared" si="66"/>
        <v>0</v>
      </c>
      <c r="Y88" s="1"/>
      <c r="Z88" s="5">
        <f t="shared" si="67"/>
        <v>0</v>
      </c>
    </row>
    <row r="89" spans="1:26" s="24" customFormat="1" hidden="1" outlineLevel="2" x14ac:dyDescent="0.25">
      <c r="A89" s="27"/>
      <c r="B89" s="11" t="str">
        <f>CONCATENATE("          ", "6273", " - ", "RENT")</f>
        <v xml:space="preserve">          6273 - RENT</v>
      </c>
      <c r="C89" s="11"/>
      <c r="D89" s="6">
        <v>1850</v>
      </c>
      <c r="E89" s="2"/>
      <c r="F89" s="7">
        <f t="shared" si="60"/>
        <v>2.1660698851420951E-3</v>
      </c>
      <c r="G89" s="2"/>
      <c r="H89" s="6">
        <v>1850</v>
      </c>
      <c r="I89" s="2"/>
      <c r="J89" s="7">
        <f t="shared" si="61"/>
        <v>1.9994596055120236E-3</v>
      </c>
      <c r="K89" s="2"/>
      <c r="L89" s="6">
        <f t="shared" si="62"/>
        <v>0</v>
      </c>
      <c r="M89" s="2"/>
      <c r="N89" s="7">
        <f t="shared" si="63"/>
        <v>0</v>
      </c>
      <c r="O89" s="11"/>
      <c r="P89" s="6">
        <v>3700</v>
      </c>
      <c r="Q89" s="2"/>
      <c r="R89" s="7">
        <f t="shared" si="64"/>
        <v>2.3979555057282004E-3</v>
      </c>
      <c r="S89" s="2"/>
      <c r="T89" s="6">
        <v>3700</v>
      </c>
      <c r="U89" s="2"/>
      <c r="V89" s="7">
        <f t="shared" si="65"/>
        <v>2.2116911188048739E-3</v>
      </c>
      <c r="W89" s="2"/>
      <c r="X89" s="6">
        <f t="shared" si="66"/>
        <v>0</v>
      </c>
      <c r="Y89" s="2"/>
      <c r="Z89" s="7">
        <f t="shared" si="67"/>
        <v>0</v>
      </c>
    </row>
    <row r="90" spans="1:26" s="26" customFormat="1" outlineLevel="1" collapsed="1" x14ac:dyDescent="0.25">
      <c r="A90" s="25"/>
      <c r="B90" s="13" t="str">
        <f>CONCATENATE("     ","Repair and Maintenance                            ")</f>
        <v xml:space="preserve">     Repair and Maintenance                            </v>
      </c>
      <c r="C90" s="13"/>
      <c r="D90" s="1">
        <f>SUM(OSRRefD22_16x_0)</f>
        <v>21962.65</v>
      </c>
      <c r="E90" s="1"/>
      <c r="F90" s="5">
        <f t="shared" si="60"/>
        <v>2.5714937709684346E-2</v>
      </c>
      <c r="G90" s="1"/>
      <c r="H90" s="1">
        <f>SUM(OSRRefH22_16x_0)</f>
        <v>32687</v>
      </c>
      <c r="I90" s="1"/>
      <c r="J90" s="5">
        <f t="shared" si="61"/>
        <v>3.5327749256957579E-2</v>
      </c>
      <c r="K90" s="1"/>
      <c r="L90" s="1">
        <f t="shared" si="62"/>
        <v>-10724.349999999999</v>
      </c>
      <c r="M90" s="1"/>
      <c r="N90" s="5">
        <f t="shared" si="63"/>
        <v>-0.32809220791140203</v>
      </c>
      <c r="O90" s="13"/>
      <c r="P90" s="1">
        <f>SUM(OSRRefP22_16x_0)</f>
        <v>47839.02</v>
      </c>
      <c r="Q90" s="1"/>
      <c r="R90" s="5">
        <f t="shared" si="64"/>
        <v>3.1004281458822024E-2</v>
      </c>
      <c r="S90" s="1"/>
      <c r="T90" s="1">
        <f>SUM(OSRRefT22_16x_0)</f>
        <v>52899</v>
      </c>
      <c r="U90" s="1"/>
      <c r="V90" s="5">
        <f t="shared" si="65"/>
        <v>3.1620607700988922E-2</v>
      </c>
      <c r="W90" s="1"/>
      <c r="X90" s="1">
        <f t="shared" si="66"/>
        <v>-5059.9800000000032</v>
      </c>
      <c r="Y90" s="1"/>
      <c r="Z90" s="5">
        <f t="shared" si="67"/>
        <v>-9.5653604037883574E-2</v>
      </c>
    </row>
    <row r="91" spans="1:26" s="24" customFormat="1" hidden="1" outlineLevel="2" x14ac:dyDescent="0.25">
      <c r="A91" s="27"/>
      <c r="B91" s="11" t="str">
        <f>CONCATENATE("          ", "6371", " - ", "COMPUTER SOFTWARE MAINTENANCE")</f>
        <v xml:space="preserve">          6371 - COMPUTER SOFTWARE MAINTENANCE</v>
      </c>
      <c r="C91" s="11"/>
      <c r="D91" s="6"/>
      <c r="E91" s="2"/>
      <c r="F91" s="7">
        <f t="shared" si="60"/>
        <v>0</v>
      </c>
      <c r="G91" s="2"/>
      <c r="H91" s="6">
        <v>1547</v>
      </c>
      <c r="I91" s="2"/>
      <c r="J91" s="7">
        <f t="shared" si="61"/>
        <v>1.6719805457984329E-3</v>
      </c>
      <c r="K91" s="2"/>
      <c r="L91" s="6">
        <f t="shared" si="62"/>
        <v>-1547</v>
      </c>
      <c r="M91" s="2"/>
      <c r="N91" s="7">
        <f t="shared" si="63"/>
        <v>-1</v>
      </c>
      <c r="O91" s="11"/>
      <c r="P91" s="6"/>
      <c r="Q91" s="2"/>
      <c r="R91" s="7">
        <f t="shared" si="64"/>
        <v>0</v>
      </c>
      <c r="S91" s="2"/>
      <c r="T91" s="6">
        <v>3594</v>
      </c>
      <c r="U91" s="2"/>
      <c r="V91" s="7">
        <f t="shared" si="65"/>
        <v>2.1483291570228965E-3</v>
      </c>
      <c r="W91" s="2"/>
      <c r="X91" s="6">
        <f t="shared" si="66"/>
        <v>-3594</v>
      </c>
      <c r="Y91" s="2"/>
      <c r="Z91" s="7">
        <f t="shared" si="67"/>
        <v>-1</v>
      </c>
    </row>
    <row r="92" spans="1:26" s="24" customFormat="1" hidden="1" outlineLevel="2" x14ac:dyDescent="0.25">
      <c r="A92" s="27"/>
      <c r="B92" s="11" t="str">
        <f>CONCATENATE("          ", "6372", " - ", "COMPUTER HARDWARE MAINTENANCE")</f>
        <v xml:space="preserve">          6372 - COMPUTER HARDWARE MAINTENANCE</v>
      </c>
      <c r="C92" s="11"/>
      <c r="D92" s="6"/>
      <c r="E92" s="2"/>
      <c r="F92" s="7">
        <f t="shared" si="60"/>
        <v>0</v>
      </c>
      <c r="G92" s="2"/>
      <c r="H92" s="6"/>
      <c r="I92" s="2"/>
      <c r="J92" s="7">
        <f t="shared" si="61"/>
        <v>0</v>
      </c>
      <c r="K92" s="2"/>
      <c r="L92" s="6">
        <f t="shared" si="62"/>
        <v>0</v>
      </c>
      <c r="M92" s="2"/>
      <c r="N92" s="7">
        <f t="shared" si="63"/>
        <v>0</v>
      </c>
      <c r="O92" s="11"/>
      <c r="P92" s="6"/>
      <c r="Q92" s="2"/>
      <c r="R92" s="7">
        <f t="shared" si="64"/>
        <v>0</v>
      </c>
      <c r="S92" s="2"/>
      <c r="T92" s="6">
        <v>200</v>
      </c>
      <c r="U92" s="2"/>
      <c r="V92" s="7">
        <f t="shared" si="65"/>
        <v>1.1955087128674993E-4</v>
      </c>
      <c r="W92" s="2"/>
      <c r="X92" s="6">
        <f t="shared" si="66"/>
        <v>-200</v>
      </c>
      <c r="Y92" s="2"/>
      <c r="Z92" s="7">
        <f t="shared" si="67"/>
        <v>-1</v>
      </c>
    </row>
    <row r="93" spans="1:26" s="24" customFormat="1" hidden="1" outlineLevel="2" x14ac:dyDescent="0.25">
      <c r="A93" s="27"/>
      <c r="B93" s="11" t="str">
        <f>CONCATENATE("          ", "6373", " - ", "MAINTENANCE CONTRACTS")</f>
        <v xml:space="preserve">          6373 - MAINTENANCE CONTRACTS</v>
      </c>
      <c r="C93" s="11"/>
      <c r="D93" s="6">
        <v>10082.709999999999</v>
      </c>
      <c r="E93" s="2"/>
      <c r="F93" s="7">
        <f t="shared" si="60"/>
        <v>1.1805326752227596E-2</v>
      </c>
      <c r="G93" s="2"/>
      <c r="H93" s="6">
        <v>4030</v>
      </c>
      <c r="I93" s="2"/>
      <c r="J93" s="7">
        <f t="shared" si="61"/>
        <v>4.3555795730883546E-3</v>
      </c>
      <c r="K93" s="2"/>
      <c r="L93" s="6">
        <f t="shared" si="62"/>
        <v>6052.7099999999991</v>
      </c>
      <c r="M93" s="2"/>
      <c r="N93" s="7">
        <f t="shared" si="63"/>
        <v>1.5019131513647641</v>
      </c>
      <c r="O93" s="11"/>
      <c r="P93" s="6">
        <v>16120.409999999998</v>
      </c>
      <c r="Q93" s="2"/>
      <c r="R93" s="7">
        <f t="shared" si="64"/>
        <v>1.044757457137728E-2</v>
      </c>
      <c r="S93" s="2"/>
      <c r="T93" s="6">
        <v>6260</v>
      </c>
      <c r="U93" s="2"/>
      <c r="V93" s="7">
        <f t="shared" si="65"/>
        <v>3.7419422712752729E-3</v>
      </c>
      <c r="W93" s="2"/>
      <c r="X93" s="6">
        <f t="shared" si="66"/>
        <v>9860.409999999998</v>
      </c>
      <c r="Y93" s="2"/>
      <c r="Z93" s="7">
        <f t="shared" si="67"/>
        <v>1.5751453674121403</v>
      </c>
    </row>
    <row r="94" spans="1:26" s="24" customFormat="1" hidden="1" outlineLevel="2" x14ac:dyDescent="0.25">
      <c r="A94" s="27"/>
      <c r="B94" s="11" t="str">
        <f>CONCATENATE("          ", "6375", " - ", "OUTSIDE REPAIRS &amp; MAINTENANCE")</f>
        <v xml:space="preserve">          6375 - OUTSIDE REPAIRS &amp; MAINTENANCE</v>
      </c>
      <c r="C94" s="11"/>
      <c r="D94" s="6">
        <v>11879.94</v>
      </c>
      <c r="E94" s="2"/>
      <c r="F94" s="7">
        <f t="shared" si="60"/>
        <v>1.3909610957456749E-2</v>
      </c>
      <c r="G94" s="2"/>
      <c r="H94" s="6">
        <v>27110</v>
      </c>
      <c r="I94" s="2"/>
      <c r="J94" s="7">
        <f t="shared" si="61"/>
        <v>2.9300189138070792E-2</v>
      </c>
      <c r="K94" s="2"/>
      <c r="L94" s="6">
        <f t="shared" si="62"/>
        <v>-15230.06</v>
      </c>
      <c r="M94" s="2"/>
      <c r="N94" s="7">
        <f t="shared" si="63"/>
        <v>-0.56178753227591294</v>
      </c>
      <c r="O94" s="11"/>
      <c r="P94" s="6">
        <v>31718.609999999997</v>
      </c>
      <c r="Q94" s="2"/>
      <c r="R94" s="7">
        <f t="shared" si="64"/>
        <v>2.055670688744474E-2</v>
      </c>
      <c r="S94" s="2"/>
      <c r="T94" s="6">
        <v>42845</v>
      </c>
      <c r="U94" s="2"/>
      <c r="V94" s="7">
        <f t="shared" si="65"/>
        <v>2.5610785401404004E-2</v>
      </c>
      <c r="W94" s="2"/>
      <c r="X94" s="6">
        <f t="shared" si="66"/>
        <v>-11126.390000000003</v>
      </c>
      <c r="Y94" s="2"/>
      <c r="Z94" s="7">
        <f t="shared" si="67"/>
        <v>-0.25968934531450583</v>
      </c>
    </row>
    <row r="95" spans="1:26" s="26" customFormat="1" outlineLevel="1" collapsed="1" x14ac:dyDescent="0.25">
      <c r="A95" s="25"/>
      <c r="B95" s="13" t="str">
        <f>CONCATENATE("     ","Royalty &amp; Commissions                             ")</f>
        <v xml:space="preserve">     Royalty &amp; Commissions                             </v>
      </c>
      <c r="C95" s="13"/>
      <c r="D95" s="1">
        <f>SUM(OSRRefD22_17x_0)</f>
        <v>16843.939999999999</v>
      </c>
      <c r="E95" s="1"/>
      <c r="F95" s="5">
        <f t="shared" ref="F95:F98" si="68">IF(D$12=0,0,D95/D$12)</f>
        <v>1.9721703341156943E-2</v>
      </c>
      <c r="G95" s="1"/>
      <c r="H95" s="1">
        <f>SUM(OSRRefH22_17x_0)</f>
        <v>17200</v>
      </c>
      <c r="I95" s="1"/>
      <c r="J95" s="5">
        <f t="shared" ref="J95:J98" si="69">IF(H$12=0,0,H95/H$12)</f>
        <v>1.8589570386382058E-2</v>
      </c>
      <c r="K95" s="1"/>
      <c r="L95" s="1">
        <f t="shared" ref="L95:L98" si="70">+D95-H95</f>
        <v>-356.06000000000131</v>
      </c>
      <c r="M95" s="1"/>
      <c r="N95" s="5">
        <f t="shared" ref="N95:N98" si="71">IF(H95=0,0,L95/H95)</f>
        <v>-2.0701162790697749E-2</v>
      </c>
      <c r="O95" s="13"/>
      <c r="P95" s="1">
        <f>SUM(OSRRefP22_17x_0)</f>
        <v>33702.04</v>
      </c>
      <c r="Q95" s="1"/>
      <c r="R95" s="5">
        <f t="shared" ref="R95:R98" si="72">IF(P$12=0,0,P95/P$12)</f>
        <v>2.1842160100614065E-2</v>
      </c>
      <c r="S95" s="1"/>
      <c r="T95" s="1">
        <f>SUM(OSRRefT22_17x_0)</f>
        <v>26357</v>
      </c>
      <c r="U95" s="1"/>
      <c r="V95" s="5">
        <f t="shared" ref="V95:V98" si="73">IF(T$12=0,0,T95/T$12)</f>
        <v>1.575501157252434E-2</v>
      </c>
      <c r="W95" s="1"/>
      <c r="X95" s="1">
        <f t="shared" ref="X95:X98" si="74">+P95-T95</f>
        <v>7345.0400000000009</v>
      </c>
      <c r="Y95" s="1"/>
      <c r="Z95" s="5">
        <f t="shared" ref="Z95:Z98" si="75">IF(T95=0,0,X95/T95)</f>
        <v>0.27867511477026979</v>
      </c>
    </row>
    <row r="96" spans="1:26" s="24" customFormat="1" hidden="1" outlineLevel="2" x14ac:dyDescent="0.25">
      <c r="A96" s="27"/>
      <c r="B96" s="11" t="str">
        <f>CONCATENATE("          ", "6253", " - ", "ROYALTY DUE ATHLETICS-LRG")</f>
        <v xml:space="preserve">          6253 - ROYALTY DUE ATHLETICS-LRG</v>
      </c>
      <c r="C96" s="11"/>
      <c r="D96" s="6"/>
      <c r="E96" s="2"/>
      <c r="F96" s="7">
        <f t="shared" si="68"/>
        <v>0</v>
      </c>
      <c r="G96" s="2"/>
      <c r="H96" s="6">
        <v>6000</v>
      </c>
      <c r="I96" s="2"/>
      <c r="J96" s="7">
        <f t="shared" si="69"/>
        <v>6.4847338557146713E-3</v>
      </c>
      <c r="K96" s="2"/>
      <c r="L96" s="6">
        <f t="shared" si="70"/>
        <v>-6000</v>
      </c>
      <c r="M96" s="2"/>
      <c r="N96" s="7">
        <f t="shared" si="71"/>
        <v>-1</v>
      </c>
      <c r="O96" s="11"/>
      <c r="P96" s="6"/>
      <c r="Q96" s="2"/>
      <c r="R96" s="7">
        <f t="shared" si="72"/>
        <v>0</v>
      </c>
      <c r="S96" s="2"/>
      <c r="T96" s="6">
        <v>6000</v>
      </c>
      <c r="U96" s="2"/>
      <c r="V96" s="7">
        <f t="shared" si="73"/>
        <v>3.586526138602498E-3</v>
      </c>
      <c r="W96" s="2"/>
      <c r="X96" s="6">
        <f t="shared" si="74"/>
        <v>-6000</v>
      </c>
      <c r="Y96" s="2"/>
      <c r="Z96" s="7">
        <f t="shared" si="75"/>
        <v>-1</v>
      </c>
    </row>
    <row r="97" spans="1:26" s="24" customFormat="1" hidden="1" outlineLevel="2" x14ac:dyDescent="0.25">
      <c r="A97" s="27"/>
      <c r="B97" s="11" t="str">
        <f>CONCATENATE("          ", "6254", " - ", "ROYALTY &amp; COMMISSIONS")</f>
        <v xml:space="preserve">          6254 - ROYALTY &amp; COMMISSIONS</v>
      </c>
      <c r="C97" s="11"/>
      <c r="D97" s="6">
        <v>10870.98</v>
      </c>
      <c r="E97" s="2"/>
      <c r="F97" s="7">
        <f t="shared" si="68"/>
        <v>1.2728271567557846E-2</v>
      </c>
      <c r="G97" s="2"/>
      <c r="H97" s="6"/>
      <c r="I97" s="2"/>
      <c r="J97" s="7">
        <f t="shared" si="69"/>
        <v>0</v>
      </c>
      <c r="K97" s="2"/>
      <c r="L97" s="6">
        <f t="shared" si="70"/>
        <v>10870.98</v>
      </c>
      <c r="M97" s="2"/>
      <c r="N97" s="7">
        <f t="shared" si="71"/>
        <v>0</v>
      </c>
      <c r="O97" s="11"/>
      <c r="P97" s="6">
        <v>24843.64</v>
      </c>
      <c r="Q97" s="2"/>
      <c r="R97" s="7">
        <f t="shared" si="72"/>
        <v>1.6101065762251173E-2</v>
      </c>
      <c r="S97" s="2"/>
      <c r="T97" s="6">
        <v>4117</v>
      </c>
      <c r="U97" s="2"/>
      <c r="V97" s="7">
        <f t="shared" si="73"/>
        <v>2.4609546854377474E-3</v>
      </c>
      <c r="W97" s="2"/>
      <c r="X97" s="6">
        <f t="shared" si="74"/>
        <v>20726.64</v>
      </c>
      <c r="Y97" s="2"/>
      <c r="Z97" s="7">
        <f t="shared" si="75"/>
        <v>5.0344036920087438</v>
      </c>
    </row>
    <row r="98" spans="1:26" s="24" customFormat="1" hidden="1" outlineLevel="2" x14ac:dyDescent="0.25">
      <c r="A98" s="27"/>
      <c r="B98" s="11" t="str">
        <f>CONCATENATE("          ", "6259", " - ", "ROYALTY &amp; COMMISSIONS")</f>
        <v xml:space="preserve">          6259 - ROYALTY &amp; COMMISSIONS</v>
      </c>
      <c r="C98" s="11"/>
      <c r="D98" s="6">
        <v>5972.96</v>
      </c>
      <c r="E98" s="2"/>
      <c r="F98" s="7">
        <f t="shared" si="68"/>
        <v>6.9934317735990967E-3</v>
      </c>
      <c r="G98" s="2"/>
      <c r="H98" s="6">
        <v>11200</v>
      </c>
      <c r="I98" s="2"/>
      <c r="J98" s="7">
        <f t="shared" si="69"/>
        <v>1.2104836530667388E-2</v>
      </c>
      <c r="K98" s="2"/>
      <c r="L98" s="6">
        <f t="shared" si="70"/>
        <v>-5227.04</v>
      </c>
      <c r="M98" s="2"/>
      <c r="N98" s="7">
        <f t="shared" si="71"/>
        <v>-0.4667</v>
      </c>
      <c r="O98" s="11"/>
      <c r="P98" s="6">
        <v>8858.4</v>
      </c>
      <c r="Q98" s="2"/>
      <c r="R98" s="7">
        <f t="shared" si="72"/>
        <v>5.7410943383628893E-3</v>
      </c>
      <c r="S98" s="2"/>
      <c r="T98" s="6">
        <v>16240</v>
      </c>
      <c r="U98" s="2"/>
      <c r="V98" s="7">
        <f t="shared" si="73"/>
        <v>9.7075307484840948E-3</v>
      </c>
      <c r="W98" s="2"/>
      <c r="X98" s="6">
        <f t="shared" si="74"/>
        <v>-7381.6</v>
      </c>
      <c r="Y98" s="2"/>
      <c r="Z98" s="7">
        <f t="shared" si="75"/>
        <v>-0.45453201970443352</v>
      </c>
    </row>
    <row r="99" spans="1:26" s="26" customFormat="1" outlineLevel="1" collapsed="1" x14ac:dyDescent="0.25">
      <c r="A99" s="25"/>
      <c r="B99" s="13" t="str">
        <f>CONCATENATE("     ","Services                                          ")</f>
        <v xml:space="preserve">     Services                                          </v>
      </c>
      <c r="C99" s="13"/>
      <c r="D99" s="1">
        <f>SUM(OSRRefD22_18x_0)</f>
        <v>35512.020000000004</v>
      </c>
      <c r="E99" s="1"/>
      <c r="F99" s="5">
        <f t="shared" ref="F99:F104" si="76">IF(D$12=0,0,D99/D$12)</f>
        <v>4.157919842300746E-2</v>
      </c>
      <c r="G99" s="1"/>
      <c r="H99" s="1">
        <f>SUM(OSRRefH22_18x_0)</f>
        <v>39891</v>
      </c>
      <c r="I99" s="1"/>
      <c r="J99" s="5">
        <f t="shared" ref="J99:J104" si="77">IF(H$12=0,0,H99/H$12)</f>
        <v>4.3113753039718997E-2</v>
      </c>
      <c r="K99" s="1"/>
      <c r="L99" s="1">
        <f t="shared" ref="L99:L104" si="78">+D99-H99</f>
        <v>-4378.9799999999959</v>
      </c>
      <c r="M99" s="1"/>
      <c r="N99" s="5">
        <f t="shared" ref="N99:N104" si="79">IF(H99=0,0,L99/H99)</f>
        <v>-0.10977363315033456</v>
      </c>
      <c r="O99" s="13"/>
      <c r="P99" s="1">
        <f>SUM(OSRRefP22_18x_0)</f>
        <v>76748.959999999992</v>
      </c>
      <c r="Q99" s="1"/>
      <c r="R99" s="5">
        <f t="shared" ref="R99:R104" si="80">IF(P$12=0,0,P99/P$12)</f>
        <v>4.9740700321868489E-2</v>
      </c>
      <c r="S99" s="1"/>
      <c r="T99" s="1">
        <f>SUM(OSRRefT22_18x_0)</f>
        <v>77717</v>
      </c>
      <c r="U99" s="1"/>
      <c r="V99" s="5">
        <f t="shared" ref="V99:V104" si="81">IF(T$12=0,0,T99/T$12)</f>
        <v>4.6455675318961727E-2</v>
      </c>
      <c r="W99" s="1"/>
      <c r="X99" s="1">
        <f t="shared" ref="X99:X104" si="82">+P99-T99</f>
        <v>-968.04000000000815</v>
      </c>
      <c r="Y99" s="1"/>
      <c r="Z99" s="5">
        <f t="shared" ref="Z99:Z104" si="83">IF(T99=0,0,X99/T99)</f>
        <v>-1.2455962016032633E-2</v>
      </c>
    </row>
    <row r="100" spans="1:26" s="24" customFormat="1" hidden="1" outlineLevel="2" x14ac:dyDescent="0.25">
      <c r="A100" s="27"/>
      <c r="B100" s="11" t="str">
        <f>CONCATENATE("          ", "6282", " - ", "JANITORIAL/EXTERMINATOR EXPENS")</f>
        <v xml:space="preserve">          6282 - JANITORIAL/EXTERMINATOR EXPENS</v>
      </c>
      <c r="C100" s="11"/>
      <c r="D100" s="6">
        <v>2935.87</v>
      </c>
      <c r="E100" s="2"/>
      <c r="F100" s="7">
        <f t="shared" si="76"/>
        <v>3.43745923983358E-3</v>
      </c>
      <c r="G100" s="2"/>
      <c r="H100" s="6">
        <v>2975</v>
      </c>
      <c r="I100" s="2"/>
      <c r="J100" s="7">
        <f t="shared" si="77"/>
        <v>3.2153472034585247E-3</v>
      </c>
      <c r="K100" s="2"/>
      <c r="L100" s="6">
        <f t="shared" si="78"/>
        <v>-39.130000000000109</v>
      </c>
      <c r="M100" s="2"/>
      <c r="N100" s="7">
        <f t="shared" si="79"/>
        <v>-1.3152941176470624E-2</v>
      </c>
      <c r="O100" s="11"/>
      <c r="P100" s="6">
        <v>5721.74</v>
      </c>
      <c r="Q100" s="2"/>
      <c r="R100" s="7">
        <f t="shared" si="80"/>
        <v>3.7082372798230468E-3</v>
      </c>
      <c r="S100" s="2"/>
      <c r="T100" s="6">
        <v>5755</v>
      </c>
      <c r="U100" s="2"/>
      <c r="V100" s="7">
        <f t="shared" si="81"/>
        <v>3.4400763212762294E-3</v>
      </c>
      <c r="W100" s="2"/>
      <c r="X100" s="6">
        <f t="shared" si="82"/>
        <v>-33.260000000000218</v>
      </c>
      <c r="Y100" s="2"/>
      <c r="Z100" s="7">
        <f t="shared" si="83"/>
        <v>-5.7793223284101159E-3</v>
      </c>
    </row>
    <row r="101" spans="1:26" s="24" customFormat="1" hidden="1" outlineLevel="2" x14ac:dyDescent="0.25">
      <c r="A101" s="27"/>
      <c r="B101" s="11" t="str">
        <f>CONCATENATE("          ", "6283", " - ", "PLANT SERVICE")</f>
        <v xml:space="preserve">          6283 - PLANT SERVICE</v>
      </c>
      <c r="C101" s="11"/>
      <c r="D101" s="6">
        <v>199.78</v>
      </c>
      <c r="E101" s="2"/>
      <c r="F101" s="7">
        <f t="shared" si="76"/>
        <v>2.3391213062361503E-4</v>
      </c>
      <c r="G101" s="2"/>
      <c r="H101" s="6">
        <v>185</v>
      </c>
      <c r="I101" s="2"/>
      <c r="J101" s="7">
        <f t="shared" si="77"/>
        <v>1.9994596055120239E-4</v>
      </c>
      <c r="K101" s="2"/>
      <c r="L101" s="6">
        <f t="shared" si="78"/>
        <v>14.780000000000001</v>
      </c>
      <c r="M101" s="2"/>
      <c r="N101" s="7">
        <f t="shared" si="79"/>
        <v>7.98918918918919E-2</v>
      </c>
      <c r="O101" s="11"/>
      <c r="P101" s="6">
        <v>399.56</v>
      </c>
      <c r="Q101" s="2"/>
      <c r="R101" s="7">
        <f t="shared" si="80"/>
        <v>2.5895327077534049E-4</v>
      </c>
      <c r="S101" s="2"/>
      <c r="T101" s="6">
        <v>335</v>
      </c>
      <c r="U101" s="2"/>
      <c r="V101" s="7">
        <f t="shared" si="81"/>
        <v>2.0024770940530614E-4</v>
      </c>
      <c r="W101" s="2"/>
      <c r="X101" s="6">
        <f t="shared" si="82"/>
        <v>64.56</v>
      </c>
      <c r="Y101" s="2"/>
      <c r="Z101" s="7">
        <f t="shared" si="83"/>
        <v>0.19271641791044777</v>
      </c>
    </row>
    <row r="102" spans="1:26" s="24" customFormat="1" hidden="1" outlineLevel="2" x14ac:dyDescent="0.25">
      <c r="A102" s="27"/>
      <c r="B102" s="11" t="str">
        <f>CONCATENATE("          ", "6284", " - ", "TRASH REMOVAL EXPENSE")</f>
        <v xml:space="preserve">          6284 - TRASH REMOVAL EXPENSE</v>
      </c>
      <c r="C102" s="11"/>
      <c r="D102" s="6"/>
      <c r="E102" s="2"/>
      <c r="F102" s="7">
        <f t="shared" si="76"/>
        <v>0</v>
      </c>
      <c r="G102" s="2"/>
      <c r="H102" s="6">
        <v>4065</v>
      </c>
      <c r="I102" s="2"/>
      <c r="J102" s="7">
        <f t="shared" si="77"/>
        <v>4.3934071872466897E-3</v>
      </c>
      <c r="K102" s="2"/>
      <c r="L102" s="6">
        <f t="shared" si="78"/>
        <v>-4065</v>
      </c>
      <c r="M102" s="2"/>
      <c r="N102" s="7">
        <f t="shared" si="79"/>
        <v>-1</v>
      </c>
      <c r="O102" s="11"/>
      <c r="P102" s="6">
        <v>4199</v>
      </c>
      <c r="Q102" s="2"/>
      <c r="R102" s="7">
        <f t="shared" si="80"/>
        <v>2.7213554509601928E-3</v>
      </c>
      <c r="S102" s="2"/>
      <c r="T102" s="6">
        <v>8130</v>
      </c>
      <c r="U102" s="2"/>
      <c r="V102" s="7">
        <f t="shared" si="81"/>
        <v>4.8597429178063849E-3</v>
      </c>
      <c r="W102" s="2"/>
      <c r="X102" s="6">
        <f t="shared" si="82"/>
        <v>-3931</v>
      </c>
      <c r="Y102" s="2"/>
      <c r="Z102" s="7">
        <f t="shared" si="83"/>
        <v>-0.48351783517835178</v>
      </c>
    </row>
    <row r="103" spans="1:26" s="24" customFormat="1" hidden="1" outlineLevel="2" x14ac:dyDescent="0.25">
      <c r="A103" s="27"/>
      <c r="B103" s="11" t="str">
        <f>CONCATENATE("          ", "6285", " - ", "JANITORIAL SERVICES")</f>
        <v xml:space="preserve">          6285 - JANITORIAL SERVICES</v>
      </c>
      <c r="C103" s="11"/>
      <c r="D103" s="6">
        <v>24905.43</v>
      </c>
      <c r="E103" s="2"/>
      <c r="F103" s="7">
        <f t="shared" si="76"/>
        <v>2.9160487513251079E-2</v>
      </c>
      <c r="G103" s="2"/>
      <c r="H103" s="6">
        <v>24843</v>
      </c>
      <c r="I103" s="2"/>
      <c r="J103" s="7">
        <f t="shared" si="77"/>
        <v>2.6850040529586599E-2</v>
      </c>
      <c r="K103" s="2"/>
      <c r="L103" s="6">
        <f t="shared" si="78"/>
        <v>62.430000000000291</v>
      </c>
      <c r="M103" s="2"/>
      <c r="N103" s="7">
        <f t="shared" si="79"/>
        <v>2.5129815239705467E-3</v>
      </c>
      <c r="O103" s="11"/>
      <c r="P103" s="6">
        <v>50810.899999999994</v>
      </c>
      <c r="Q103" s="2"/>
      <c r="R103" s="7">
        <f t="shared" si="80"/>
        <v>3.2930345244866217E-2</v>
      </c>
      <c r="S103" s="2"/>
      <c r="T103" s="6">
        <v>48306</v>
      </c>
      <c r="U103" s="2"/>
      <c r="V103" s="7">
        <f t="shared" si="81"/>
        <v>2.8875121941888713E-2</v>
      </c>
      <c r="W103" s="2"/>
      <c r="X103" s="6">
        <f t="shared" si="82"/>
        <v>2504.8999999999942</v>
      </c>
      <c r="Y103" s="2"/>
      <c r="Z103" s="7">
        <f t="shared" si="83"/>
        <v>5.1854842048606679E-2</v>
      </c>
    </row>
    <row r="104" spans="1:26" s="24" customFormat="1" hidden="1" outlineLevel="2" x14ac:dyDescent="0.25">
      <c r="A104" s="27"/>
      <c r="B104" s="11" t="str">
        <f>CONCATENATE("          ", "6286", " - ", "LAUNDRY EXPENSE")</f>
        <v xml:space="preserve">          6286 - LAUNDRY EXPENSE</v>
      </c>
      <c r="C104" s="11"/>
      <c r="D104" s="6">
        <v>7470.94</v>
      </c>
      <c r="E104" s="2"/>
      <c r="F104" s="7">
        <f t="shared" si="76"/>
        <v>8.7473395392991815E-3</v>
      </c>
      <c r="G104" s="2"/>
      <c r="H104" s="6">
        <v>7823</v>
      </c>
      <c r="I104" s="2"/>
      <c r="J104" s="7">
        <f t="shared" si="77"/>
        <v>8.4550121588759797E-3</v>
      </c>
      <c r="K104" s="2"/>
      <c r="L104" s="6">
        <f t="shared" si="78"/>
        <v>-352.0600000000004</v>
      </c>
      <c r="M104" s="2"/>
      <c r="N104" s="7">
        <f t="shared" si="79"/>
        <v>-4.5003195704972569E-2</v>
      </c>
      <c r="O104" s="11"/>
      <c r="P104" s="6">
        <v>15617.76</v>
      </c>
      <c r="Q104" s="2"/>
      <c r="R104" s="7">
        <f t="shared" si="80"/>
        <v>1.0121809075443692E-2</v>
      </c>
      <c r="S104" s="2"/>
      <c r="T104" s="6">
        <v>15191</v>
      </c>
      <c r="U104" s="2"/>
      <c r="V104" s="7">
        <f t="shared" si="81"/>
        <v>9.0804864285850915E-3</v>
      </c>
      <c r="W104" s="2"/>
      <c r="X104" s="6">
        <f t="shared" si="82"/>
        <v>426.76000000000022</v>
      </c>
      <c r="Y104" s="2"/>
      <c r="Z104" s="7">
        <f t="shared" si="83"/>
        <v>2.8092949772891857E-2</v>
      </c>
    </row>
    <row r="105" spans="1:26" s="26" customFormat="1" outlineLevel="1" collapsed="1" x14ac:dyDescent="0.25">
      <c r="A105" s="25"/>
      <c r="B105" s="13" t="str">
        <f>CONCATENATE("     ","Subscriptions &amp; Dues                              ")</f>
        <v xml:space="preserve">     Subscriptions &amp; Dues                              </v>
      </c>
      <c r="C105" s="13"/>
      <c r="D105" s="1">
        <f>SUM(OSRRefD22_19x_0)</f>
        <v>454.78</v>
      </c>
      <c r="E105" s="1"/>
      <c r="F105" s="5">
        <f t="shared" ref="F105:F117" si="84">IF(D$12=0,0,D105/D$12)</f>
        <v>5.3247852019725514E-4</v>
      </c>
      <c r="G105" s="1"/>
      <c r="H105" s="1">
        <f>SUM(OSRRefH22_19x_0)</f>
        <v>394</v>
      </c>
      <c r="I105" s="1"/>
      <c r="J105" s="5">
        <f t="shared" ref="J105:J117" si="85">IF(H$12=0,0,H105/H$12)</f>
        <v>4.2583085652526346E-4</v>
      </c>
      <c r="K105" s="1"/>
      <c r="L105" s="1">
        <f t="shared" ref="L105:L117" si="86">+D105-H105</f>
        <v>60.779999999999973</v>
      </c>
      <c r="M105" s="1"/>
      <c r="N105" s="5">
        <f t="shared" ref="N105:N117" si="87">IF(H105=0,0,L105/H105)</f>
        <v>0.15426395939086288</v>
      </c>
      <c r="O105" s="13"/>
      <c r="P105" s="1">
        <f>SUM(OSRRefP22_19x_0)</f>
        <v>848.2</v>
      </c>
      <c r="Q105" s="1"/>
      <c r="R105" s="5">
        <f t="shared" ref="R105:R117" si="88">IF(P$12=0,0,P105/P$12)</f>
        <v>5.4971509728612424E-4</v>
      </c>
      <c r="S105" s="1"/>
      <c r="T105" s="1">
        <f>SUM(OSRRefT22_19x_0)</f>
        <v>788</v>
      </c>
      <c r="U105" s="1"/>
      <c r="V105" s="5">
        <f t="shared" ref="V105:V117" si="89">IF(T$12=0,0,T105/T$12)</f>
        <v>4.7103043286979475E-4</v>
      </c>
      <c r="W105" s="1"/>
      <c r="X105" s="1">
        <f t="shared" ref="X105:X117" si="90">+P105-T105</f>
        <v>60.200000000000045</v>
      </c>
      <c r="Y105" s="1"/>
      <c r="Z105" s="5">
        <f t="shared" ref="Z105:Z117" si="91">IF(T105=0,0,X105/T105)</f>
        <v>7.6395939086294468E-2</v>
      </c>
    </row>
    <row r="106" spans="1:26" s="24" customFormat="1" hidden="1" outlineLevel="2" x14ac:dyDescent="0.25">
      <c r="A106" s="27"/>
      <c r="B106" s="11" t="str">
        <f>CONCATENATE("          ", "6275", " - ", "SUBSCRIPTIONS")</f>
        <v xml:space="preserve">          6275 - SUBSCRIPTIONS</v>
      </c>
      <c r="C106" s="11"/>
      <c r="D106" s="6">
        <v>454.78</v>
      </c>
      <c r="E106" s="2"/>
      <c r="F106" s="7">
        <f t="shared" si="84"/>
        <v>5.3247852019725514E-4</v>
      </c>
      <c r="G106" s="2"/>
      <c r="H106" s="6">
        <v>394</v>
      </c>
      <c r="I106" s="2"/>
      <c r="J106" s="7">
        <f t="shared" si="85"/>
        <v>4.2583085652526346E-4</v>
      </c>
      <c r="K106" s="2"/>
      <c r="L106" s="6">
        <f t="shared" si="86"/>
        <v>60.779999999999973</v>
      </c>
      <c r="M106" s="2"/>
      <c r="N106" s="7">
        <f t="shared" si="87"/>
        <v>0.15426395939086288</v>
      </c>
      <c r="O106" s="11"/>
      <c r="P106" s="6">
        <v>848.2</v>
      </c>
      <c r="Q106" s="2"/>
      <c r="R106" s="7">
        <f t="shared" si="88"/>
        <v>5.4971509728612424E-4</v>
      </c>
      <c r="S106" s="2"/>
      <c r="T106" s="6">
        <v>788</v>
      </c>
      <c r="U106" s="2"/>
      <c r="V106" s="7">
        <f t="shared" si="89"/>
        <v>4.7103043286979475E-4</v>
      </c>
      <c r="W106" s="2"/>
      <c r="X106" s="6">
        <f t="shared" si="90"/>
        <v>60.200000000000045</v>
      </c>
      <c r="Y106" s="2"/>
      <c r="Z106" s="7">
        <f t="shared" si="91"/>
        <v>7.6395939086294468E-2</v>
      </c>
    </row>
    <row r="107" spans="1:26" s="26" customFormat="1" outlineLevel="1" collapsed="1" x14ac:dyDescent="0.25">
      <c r="A107" s="25"/>
      <c r="B107" s="13" t="str">
        <f>CONCATENATE("     ","Supplies                                          ")</f>
        <v xml:space="preserve">     Supplies                                          </v>
      </c>
      <c r="C107" s="13"/>
      <c r="D107" s="1">
        <f>SUM(OSRRefD22_20x_0)</f>
        <v>41052.530000000006</v>
      </c>
      <c r="E107" s="1"/>
      <c r="F107" s="5">
        <f t="shared" si="84"/>
        <v>4.8066296725347263E-2</v>
      </c>
      <c r="G107" s="1"/>
      <c r="H107" s="1">
        <f>SUM(OSRRefH22_20x_0)</f>
        <v>41163.43</v>
      </c>
      <c r="I107" s="1"/>
      <c r="J107" s="5">
        <f t="shared" si="85"/>
        <v>4.4488981356390164E-2</v>
      </c>
      <c r="K107" s="1"/>
      <c r="L107" s="1">
        <f t="shared" si="86"/>
        <v>-110.89999999999418</v>
      </c>
      <c r="M107" s="1"/>
      <c r="N107" s="5">
        <f t="shared" si="87"/>
        <v>-2.694138948090433E-3</v>
      </c>
      <c r="O107" s="13"/>
      <c r="P107" s="1">
        <f>SUM(OSRRefP22_20x_0)</f>
        <v>85975.61</v>
      </c>
      <c r="Q107" s="1"/>
      <c r="R107" s="5">
        <f t="shared" si="88"/>
        <v>5.57204560426596E-2</v>
      </c>
      <c r="S107" s="1"/>
      <c r="T107" s="1">
        <f>SUM(OSRRefT22_20x_0)</f>
        <v>92523.33</v>
      </c>
      <c r="U107" s="1"/>
      <c r="V107" s="5">
        <f t="shared" si="89"/>
        <v>5.5306223579257449E-2</v>
      </c>
      <c r="W107" s="1"/>
      <c r="X107" s="1">
        <f t="shared" si="90"/>
        <v>-6547.7200000000012</v>
      </c>
      <c r="Y107" s="1"/>
      <c r="Z107" s="5">
        <f t="shared" si="91"/>
        <v>-7.0768313245967274E-2</v>
      </c>
    </row>
    <row r="108" spans="1:26" s="24" customFormat="1" hidden="1" outlineLevel="2" x14ac:dyDescent="0.25">
      <c r="A108" s="27"/>
      <c r="B108" s="11" t="str">
        <f>CONCATENATE("          ", "6234", " - ", "EXPENDABLE SUPPLIES &amp; EQUIPMEN")</f>
        <v xml:space="preserve">          6234 - EXPENDABLE SUPPLIES &amp; EQUIPMEN</v>
      </c>
      <c r="C108" s="11"/>
      <c r="D108" s="6"/>
      <c r="E108" s="2"/>
      <c r="F108" s="7">
        <f t="shared" si="84"/>
        <v>0</v>
      </c>
      <c r="G108" s="2"/>
      <c r="H108" s="6">
        <v>1200</v>
      </c>
      <c r="I108" s="2"/>
      <c r="J108" s="7">
        <f t="shared" si="85"/>
        <v>1.2969467711429344E-3</v>
      </c>
      <c r="K108" s="2"/>
      <c r="L108" s="6">
        <f t="shared" si="86"/>
        <v>-1200</v>
      </c>
      <c r="M108" s="2"/>
      <c r="N108" s="7">
        <f t="shared" si="87"/>
        <v>-1</v>
      </c>
      <c r="O108" s="11"/>
      <c r="P108" s="6"/>
      <c r="Q108" s="2"/>
      <c r="R108" s="7">
        <f t="shared" si="88"/>
        <v>0</v>
      </c>
      <c r="S108" s="2"/>
      <c r="T108" s="6">
        <v>2100</v>
      </c>
      <c r="U108" s="2"/>
      <c r="V108" s="7">
        <f t="shared" si="89"/>
        <v>1.2552841485108743E-3</v>
      </c>
      <c r="W108" s="2"/>
      <c r="X108" s="6">
        <f t="shared" si="90"/>
        <v>-2100</v>
      </c>
      <c r="Y108" s="2"/>
      <c r="Z108" s="7">
        <f t="shared" si="91"/>
        <v>-1</v>
      </c>
    </row>
    <row r="109" spans="1:26" s="24" customFormat="1" hidden="1" outlineLevel="2" x14ac:dyDescent="0.25">
      <c r="A109" s="27"/>
      <c r="B109" s="11" t="str">
        <f>CONCATENATE("          ", "6237", " - ", "JANITORIAL SUPPLIES")</f>
        <v xml:space="preserve">          6237 - JANITORIAL SUPPLIES</v>
      </c>
      <c r="C109" s="11"/>
      <c r="D109" s="6">
        <v>12148.14</v>
      </c>
      <c r="E109" s="2"/>
      <c r="F109" s="7">
        <f t="shared" si="84"/>
        <v>1.4223632548373022E-2</v>
      </c>
      <c r="G109" s="2"/>
      <c r="H109" s="6">
        <v>14766</v>
      </c>
      <c r="I109" s="2"/>
      <c r="J109" s="7">
        <f t="shared" si="85"/>
        <v>1.5958930018913808E-2</v>
      </c>
      <c r="K109" s="2"/>
      <c r="L109" s="6">
        <f t="shared" si="86"/>
        <v>-2617.8600000000006</v>
      </c>
      <c r="M109" s="2"/>
      <c r="N109" s="7">
        <f t="shared" si="87"/>
        <v>-0.17728971962616827</v>
      </c>
      <c r="O109" s="11"/>
      <c r="P109" s="6">
        <v>23273.91</v>
      </c>
      <c r="Q109" s="2"/>
      <c r="R109" s="7">
        <f t="shared" si="88"/>
        <v>1.5083729898465573E-2</v>
      </c>
      <c r="S109" s="2"/>
      <c r="T109" s="6">
        <v>27827</v>
      </c>
      <c r="U109" s="2"/>
      <c r="V109" s="7">
        <f t="shared" si="89"/>
        <v>1.6633710476481954E-2</v>
      </c>
      <c r="W109" s="2"/>
      <c r="X109" s="6">
        <f t="shared" si="90"/>
        <v>-4553.09</v>
      </c>
      <c r="Y109" s="2"/>
      <c r="Z109" s="7">
        <f t="shared" si="91"/>
        <v>-0.16362130305099365</v>
      </c>
    </row>
    <row r="110" spans="1:26" s="24" customFormat="1" hidden="1" outlineLevel="2" x14ac:dyDescent="0.25">
      <c r="A110" s="27"/>
      <c r="B110" s="11" t="str">
        <f>CONCATENATE("          ", "6239", " - ", "KITCHEN SUPPLIES")</f>
        <v xml:space="preserve">          6239 - KITCHEN SUPPLIES</v>
      </c>
      <c r="C110" s="11"/>
      <c r="D110" s="6">
        <v>8964.77</v>
      </c>
      <c r="E110" s="2"/>
      <c r="F110" s="7">
        <f t="shared" si="84"/>
        <v>1.0496388283365028E-2</v>
      </c>
      <c r="G110" s="2"/>
      <c r="H110" s="6">
        <v>6650</v>
      </c>
      <c r="I110" s="2"/>
      <c r="J110" s="7">
        <f t="shared" si="85"/>
        <v>7.1872466900837614E-3</v>
      </c>
      <c r="K110" s="2"/>
      <c r="L110" s="6">
        <f t="shared" si="86"/>
        <v>2314.7700000000004</v>
      </c>
      <c r="M110" s="2"/>
      <c r="N110" s="7">
        <f t="shared" si="87"/>
        <v>0.34808571428571433</v>
      </c>
      <c r="O110" s="11"/>
      <c r="P110" s="6">
        <v>16217.270000000002</v>
      </c>
      <c r="Q110" s="2"/>
      <c r="R110" s="7">
        <f t="shared" si="88"/>
        <v>1.0510349157940751E-2</v>
      </c>
      <c r="S110" s="2"/>
      <c r="T110" s="6">
        <v>21566</v>
      </c>
      <c r="U110" s="2"/>
      <c r="V110" s="7">
        <f t="shared" si="89"/>
        <v>1.2891170450850246E-2</v>
      </c>
      <c r="W110" s="2"/>
      <c r="X110" s="6">
        <f t="shared" si="90"/>
        <v>-5348.7299999999977</v>
      </c>
      <c r="Y110" s="2"/>
      <c r="Z110" s="7">
        <f t="shared" si="91"/>
        <v>-0.2480167856811647</v>
      </c>
    </row>
    <row r="111" spans="1:26" s="24" customFormat="1" hidden="1" outlineLevel="2" x14ac:dyDescent="0.25">
      <c r="A111" s="27"/>
      <c r="B111" s="11" t="str">
        <f>CONCATENATE("          ", "6241", " - ", "OFFICE EXPENSE")</f>
        <v xml:space="preserve">          6241 - OFFICE EXPENSE</v>
      </c>
      <c r="C111" s="11"/>
      <c r="D111" s="6">
        <v>5216.0200000000004</v>
      </c>
      <c r="E111" s="2"/>
      <c r="F111" s="7">
        <f t="shared" si="84"/>
        <v>6.107169644485877E-3</v>
      </c>
      <c r="G111" s="2"/>
      <c r="H111" s="6">
        <v>2449</v>
      </c>
      <c r="I111" s="2"/>
      <c r="J111" s="7">
        <f t="shared" si="85"/>
        <v>2.6468522021075385E-3</v>
      </c>
      <c r="K111" s="2"/>
      <c r="L111" s="6">
        <f t="shared" si="86"/>
        <v>2767.0200000000004</v>
      </c>
      <c r="M111" s="2"/>
      <c r="N111" s="7">
        <f t="shared" si="87"/>
        <v>1.1298570845242959</v>
      </c>
      <c r="O111" s="11"/>
      <c r="P111" s="6">
        <v>28810.9</v>
      </c>
      <c r="Q111" s="2"/>
      <c r="R111" s="7">
        <f t="shared" si="88"/>
        <v>1.8672231427022869E-2</v>
      </c>
      <c r="S111" s="2"/>
      <c r="T111" s="6">
        <v>4505.25</v>
      </c>
      <c r="U111" s="2"/>
      <c r="V111" s="7">
        <f t="shared" si="89"/>
        <v>2.6930328143231507E-3</v>
      </c>
      <c r="W111" s="2"/>
      <c r="X111" s="6">
        <f t="shared" si="90"/>
        <v>24305.65</v>
      </c>
      <c r="Y111" s="2"/>
      <c r="Z111" s="7">
        <f t="shared" si="91"/>
        <v>5.3949614338826928</v>
      </c>
    </row>
    <row r="112" spans="1:26" s="24" customFormat="1" hidden="1" outlineLevel="2" x14ac:dyDescent="0.25">
      <c r="A112" s="27"/>
      <c r="B112" s="11" t="str">
        <f>CONCATENATE("          ", "6243", " - ", "PAPER SUPPLIES")</f>
        <v xml:space="preserve">          6243 - PAPER SUPPLIES</v>
      </c>
      <c r="C112" s="11"/>
      <c r="D112" s="6">
        <v>9038.2199999999993</v>
      </c>
      <c r="E112" s="2"/>
      <c r="F112" s="7">
        <f t="shared" si="84"/>
        <v>1.05823871120481E-2</v>
      </c>
      <c r="G112" s="2"/>
      <c r="H112" s="6">
        <v>10874</v>
      </c>
      <c r="I112" s="2"/>
      <c r="J112" s="7">
        <f t="shared" si="85"/>
        <v>1.175249932450689E-2</v>
      </c>
      <c r="K112" s="2"/>
      <c r="L112" s="6">
        <f t="shared" si="86"/>
        <v>-1835.7800000000007</v>
      </c>
      <c r="M112" s="2"/>
      <c r="N112" s="7">
        <f t="shared" si="87"/>
        <v>-0.16882288026485201</v>
      </c>
      <c r="O112" s="11"/>
      <c r="P112" s="6">
        <v>16473.66</v>
      </c>
      <c r="Q112" s="2"/>
      <c r="R112" s="7">
        <f t="shared" si="88"/>
        <v>1.0676514512566061E-2</v>
      </c>
      <c r="S112" s="2"/>
      <c r="T112" s="6">
        <v>18204</v>
      </c>
      <c r="U112" s="2"/>
      <c r="V112" s="7">
        <f t="shared" si="89"/>
        <v>1.0881520304519979E-2</v>
      </c>
      <c r="W112" s="2"/>
      <c r="X112" s="6">
        <f t="shared" si="90"/>
        <v>-1730.3400000000001</v>
      </c>
      <c r="Y112" s="2"/>
      <c r="Z112" s="7">
        <f t="shared" si="91"/>
        <v>-9.5052735662491769E-2</v>
      </c>
    </row>
    <row r="113" spans="1:26" s="24" customFormat="1" hidden="1" outlineLevel="2" x14ac:dyDescent="0.25">
      <c r="A113" s="27"/>
      <c r="B113" s="11" t="str">
        <f>CONCATENATE("          ", "6244", " - ", "SAFETY SUPPLY EXPENSE")</f>
        <v xml:space="preserve">          6244 - SAFETY SUPPLY EXPENSE</v>
      </c>
      <c r="C113" s="11"/>
      <c r="D113" s="6"/>
      <c r="E113" s="2"/>
      <c r="F113" s="7">
        <f t="shared" si="84"/>
        <v>0</v>
      </c>
      <c r="G113" s="2"/>
      <c r="H113" s="6">
        <v>235</v>
      </c>
      <c r="I113" s="2"/>
      <c r="J113" s="7">
        <f t="shared" si="85"/>
        <v>2.5398540934882467E-4</v>
      </c>
      <c r="K113" s="2"/>
      <c r="L113" s="6">
        <f t="shared" si="86"/>
        <v>-235</v>
      </c>
      <c r="M113" s="2"/>
      <c r="N113" s="7">
        <f t="shared" si="87"/>
        <v>-1</v>
      </c>
      <c r="O113" s="11"/>
      <c r="P113" s="6"/>
      <c r="Q113" s="2"/>
      <c r="R113" s="7">
        <f t="shared" si="88"/>
        <v>0</v>
      </c>
      <c r="S113" s="2"/>
      <c r="T113" s="6">
        <v>470</v>
      </c>
      <c r="U113" s="2"/>
      <c r="V113" s="7">
        <f t="shared" si="89"/>
        <v>2.8094454752386233E-4</v>
      </c>
      <c r="W113" s="2"/>
      <c r="X113" s="6">
        <f t="shared" si="90"/>
        <v>-470</v>
      </c>
      <c r="Y113" s="2"/>
      <c r="Z113" s="7">
        <f t="shared" si="91"/>
        <v>-1</v>
      </c>
    </row>
    <row r="114" spans="1:26" s="24" customFormat="1" hidden="1" outlineLevel="2" x14ac:dyDescent="0.25">
      <c r="A114" s="27"/>
      <c r="B114" s="11" t="str">
        <f>CONCATENATE("          ", "6245", " - ", "PRINTING")</f>
        <v xml:space="preserve">          6245 - PRINTING</v>
      </c>
      <c r="C114" s="11"/>
      <c r="D114" s="6">
        <v>1356.16</v>
      </c>
      <c r="E114" s="2"/>
      <c r="F114" s="7">
        <f t="shared" si="84"/>
        <v>1.5878580191536779E-3</v>
      </c>
      <c r="G114" s="2"/>
      <c r="H114" s="6">
        <v>760</v>
      </c>
      <c r="I114" s="2"/>
      <c r="J114" s="7">
        <f t="shared" si="85"/>
        <v>8.2139962172385838E-4</v>
      </c>
      <c r="K114" s="2"/>
      <c r="L114" s="6">
        <f t="shared" si="86"/>
        <v>596.16000000000008</v>
      </c>
      <c r="M114" s="2"/>
      <c r="N114" s="7">
        <f t="shared" si="87"/>
        <v>0.78442105263157902</v>
      </c>
      <c r="O114" s="11"/>
      <c r="P114" s="6">
        <v>1493.92</v>
      </c>
      <c r="Q114" s="2"/>
      <c r="R114" s="7">
        <f t="shared" si="88"/>
        <v>9.6820369976147928E-4</v>
      </c>
      <c r="S114" s="2"/>
      <c r="T114" s="6">
        <v>960</v>
      </c>
      <c r="U114" s="2"/>
      <c r="V114" s="7">
        <f t="shared" si="89"/>
        <v>5.7384418217639973E-4</v>
      </c>
      <c r="W114" s="2"/>
      <c r="X114" s="6">
        <f t="shared" si="90"/>
        <v>533.92000000000007</v>
      </c>
      <c r="Y114" s="2"/>
      <c r="Z114" s="7">
        <f t="shared" si="91"/>
        <v>0.5561666666666667</v>
      </c>
    </row>
    <row r="115" spans="1:26" s="24" customFormat="1" hidden="1" outlineLevel="2" x14ac:dyDescent="0.25">
      <c r="A115" s="27"/>
      <c r="B115" s="11" t="str">
        <f>CONCATENATE("          ", "6246", " - ", "REPLACEMENTS")</f>
        <v xml:space="preserve">          6246 - REPLACEMENTS</v>
      </c>
      <c r="C115" s="11"/>
      <c r="D115" s="6"/>
      <c r="E115" s="2"/>
      <c r="F115" s="7">
        <f t="shared" si="84"/>
        <v>0</v>
      </c>
      <c r="G115" s="2"/>
      <c r="H115" s="6"/>
      <c r="I115" s="2"/>
      <c r="J115" s="7">
        <f t="shared" si="85"/>
        <v>0</v>
      </c>
      <c r="K115" s="2"/>
      <c r="L115" s="6">
        <f t="shared" si="86"/>
        <v>0</v>
      </c>
      <c r="M115" s="2"/>
      <c r="N115" s="7">
        <f t="shared" si="87"/>
        <v>0</v>
      </c>
      <c r="O115" s="11"/>
      <c r="P115" s="6"/>
      <c r="Q115" s="2"/>
      <c r="R115" s="7">
        <f t="shared" si="88"/>
        <v>0</v>
      </c>
      <c r="S115" s="2"/>
      <c r="T115" s="6">
        <v>2400</v>
      </c>
      <c r="U115" s="2"/>
      <c r="V115" s="7">
        <f t="shared" si="89"/>
        <v>1.4346104554409992E-3</v>
      </c>
      <c r="W115" s="2"/>
      <c r="X115" s="6">
        <f t="shared" si="90"/>
        <v>-2400</v>
      </c>
      <c r="Y115" s="2"/>
      <c r="Z115" s="7">
        <f t="shared" si="91"/>
        <v>-1</v>
      </c>
    </row>
    <row r="116" spans="1:26" s="24" customFormat="1" hidden="1" outlineLevel="2" x14ac:dyDescent="0.25">
      <c r="A116" s="27"/>
      <c r="B116" s="11" t="str">
        <f>CONCATENATE("          ", "6247", " - ", "STORE SUPPLIES")</f>
        <v xml:space="preserve">          6247 - STORE SUPPLIES</v>
      </c>
      <c r="C116" s="11"/>
      <c r="D116" s="6">
        <v>1120.58</v>
      </c>
      <c r="E116" s="2"/>
      <c r="F116" s="7">
        <f t="shared" si="84"/>
        <v>1.3120295091310968E-3</v>
      </c>
      <c r="G116" s="2"/>
      <c r="H116" s="6">
        <v>2054.4299999999998</v>
      </c>
      <c r="I116" s="2"/>
      <c r="J116" s="7">
        <f t="shared" si="85"/>
        <v>2.2204052958659818E-3</v>
      </c>
      <c r="K116" s="2"/>
      <c r="L116" s="6">
        <f t="shared" si="86"/>
        <v>-933.84999999999991</v>
      </c>
      <c r="M116" s="2"/>
      <c r="N116" s="7">
        <f t="shared" si="87"/>
        <v>-0.45455430460030277</v>
      </c>
      <c r="O116" s="11"/>
      <c r="P116" s="6">
        <v>1487.22</v>
      </c>
      <c r="Q116" s="2"/>
      <c r="R116" s="7">
        <f t="shared" si="88"/>
        <v>9.638614560078633E-4</v>
      </c>
      <c r="S116" s="2"/>
      <c r="T116" s="6">
        <v>2341.08</v>
      </c>
      <c r="U116" s="2"/>
      <c r="V116" s="7">
        <f t="shared" si="89"/>
        <v>1.3993907687599226E-3</v>
      </c>
      <c r="W116" s="2"/>
      <c r="X116" s="6">
        <f t="shared" si="90"/>
        <v>-853.8599999999999</v>
      </c>
      <c r="Y116" s="2"/>
      <c r="Z116" s="7">
        <f t="shared" si="91"/>
        <v>-0.36472909939002507</v>
      </c>
    </row>
    <row r="117" spans="1:26" s="24" customFormat="1" hidden="1" outlineLevel="2" x14ac:dyDescent="0.25">
      <c r="A117" s="27"/>
      <c r="B117" s="11" t="str">
        <f>CONCATENATE("          ", "6248", " - ", "UNIFORMS")</f>
        <v xml:space="preserve">          6248 - UNIFORMS</v>
      </c>
      <c r="C117" s="11"/>
      <c r="D117" s="6">
        <v>3208.64</v>
      </c>
      <c r="E117" s="2"/>
      <c r="F117" s="7">
        <f t="shared" si="84"/>
        <v>3.7568316087904499E-3</v>
      </c>
      <c r="G117" s="2"/>
      <c r="H117" s="6">
        <v>2175</v>
      </c>
      <c r="I117" s="2"/>
      <c r="J117" s="7">
        <f t="shared" si="85"/>
        <v>2.3507160226965687E-3</v>
      </c>
      <c r="K117" s="2"/>
      <c r="L117" s="6">
        <f t="shared" si="86"/>
        <v>1033.6399999999999</v>
      </c>
      <c r="M117" s="2"/>
      <c r="N117" s="7">
        <f t="shared" si="87"/>
        <v>0.47523678160919536</v>
      </c>
      <c r="O117" s="11"/>
      <c r="P117" s="6">
        <v>-1781.27</v>
      </c>
      <c r="Q117" s="2"/>
      <c r="R117" s="7">
        <f t="shared" si="88"/>
        <v>-1.1544341091049922E-3</v>
      </c>
      <c r="S117" s="2"/>
      <c r="T117" s="6">
        <v>12150</v>
      </c>
      <c r="U117" s="2"/>
      <c r="V117" s="7">
        <f t="shared" si="89"/>
        <v>7.262715430670059E-3</v>
      </c>
      <c r="W117" s="2"/>
      <c r="X117" s="6">
        <f t="shared" si="90"/>
        <v>-13931.27</v>
      </c>
      <c r="Y117" s="2"/>
      <c r="Z117" s="7">
        <f t="shared" si="91"/>
        <v>-1.14660658436214</v>
      </c>
    </row>
    <row r="118" spans="1:26" s="26" customFormat="1" outlineLevel="1" collapsed="1" x14ac:dyDescent="0.25">
      <c r="A118" s="25"/>
      <c r="B118" s="13" t="str">
        <f>CONCATENATE("     ","Telephone/Data Lines                              ")</f>
        <v xml:space="preserve">     Telephone/Data Lines                              </v>
      </c>
      <c r="C118" s="13"/>
      <c r="D118" s="1">
        <f>SUM(OSRRefD22_21x_0)</f>
        <v>2107.84</v>
      </c>
      <c r="E118" s="1"/>
      <c r="F118" s="5">
        <f t="shared" ref="F118:F120" si="92">IF(D$12=0,0,D118/D$12)</f>
        <v>2.4679614847015752E-3</v>
      </c>
      <c r="G118" s="1"/>
      <c r="H118" s="1">
        <f>SUM(OSRRefH22_21x_0)</f>
        <v>2316</v>
      </c>
      <c r="I118" s="1"/>
      <c r="J118" s="5">
        <f t="shared" ref="J118:J120" si="93">IF(H$12=0,0,H118/H$12)</f>
        <v>2.5031072683058633E-3</v>
      </c>
      <c r="K118" s="1"/>
      <c r="L118" s="1">
        <f t="shared" ref="L118:L120" si="94">+D118-H118</f>
        <v>-208.15999999999985</v>
      </c>
      <c r="M118" s="1"/>
      <c r="N118" s="5">
        <f t="shared" ref="N118:N120" si="95">IF(H118=0,0,L118/H118)</f>
        <v>-8.987910189982723E-2</v>
      </c>
      <c r="O118" s="13"/>
      <c r="P118" s="1">
        <f>SUM(OSRRefP22_21x_0)</f>
        <v>2621.83</v>
      </c>
      <c r="Q118" s="1"/>
      <c r="R118" s="5">
        <f t="shared" ref="R118:R120" si="96">IF(P$12=0,0,P118/P$12)</f>
        <v>1.699197752319829E-3</v>
      </c>
      <c r="S118" s="1"/>
      <c r="T118" s="1">
        <f>SUM(OSRRefT22_21x_0)</f>
        <v>4732</v>
      </c>
      <c r="U118" s="1"/>
      <c r="V118" s="5">
        <f t="shared" ref="V118:V120" si="97">IF(T$12=0,0,T118/T$12)</f>
        <v>2.8285736146445037E-3</v>
      </c>
      <c r="W118" s="1"/>
      <c r="X118" s="1">
        <f t="shared" ref="X118:X120" si="98">+P118-T118</f>
        <v>-2110.17</v>
      </c>
      <c r="Y118" s="1"/>
      <c r="Z118" s="5">
        <f t="shared" ref="Z118:Z120" si="99">IF(T118=0,0,X118/T118)</f>
        <v>-0.44593617920541001</v>
      </c>
    </row>
    <row r="119" spans="1:26" s="24" customFormat="1" hidden="1" outlineLevel="2" x14ac:dyDescent="0.25">
      <c r="A119" s="27"/>
      <c r="B119" s="11" t="str">
        <f>CONCATENATE("          ", "6303", " - ", "DATA PHONE LINES")</f>
        <v xml:space="preserve">          6303 - DATA PHONE LINES</v>
      </c>
      <c r="C119" s="11"/>
      <c r="D119" s="6"/>
      <c r="E119" s="2"/>
      <c r="F119" s="7">
        <f t="shared" si="92"/>
        <v>0</v>
      </c>
      <c r="G119" s="2"/>
      <c r="H119" s="6">
        <v>448</v>
      </c>
      <c r="I119" s="2"/>
      <c r="J119" s="7">
        <f t="shared" si="93"/>
        <v>4.8419346122669551E-4</v>
      </c>
      <c r="K119" s="2"/>
      <c r="L119" s="6">
        <f t="shared" si="94"/>
        <v>-448</v>
      </c>
      <c r="M119" s="2"/>
      <c r="N119" s="7">
        <f t="shared" si="95"/>
        <v>-1</v>
      </c>
      <c r="O119" s="11"/>
      <c r="P119" s="6"/>
      <c r="Q119" s="2"/>
      <c r="R119" s="7">
        <f t="shared" si="96"/>
        <v>0</v>
      </c>
      <c r="S119" s="2"/>
      <c r="T119" s="6">
        <v>846</v>
      </c>
      <c r="U119" s="2"/>
      <c r="V119" s="7">
        <f t="shared" si="97"/>
        <v>5.0570018554295219E-4</v>
      </c>
      <c r="W119" s="2"/>
      <c r="X119" s="6">
        <f t="shared" si="98"/>
        <v>-846</v>
      </c>
      <c r="Y119" s="2"/>
      <c r="Z119" s="7">
        <f t="shared" si="99"/>
        <v>-1</v>
      </c>
    </row>
    <row r="120" spans="1:26" s="24" customFormat="1" hidden="1" outlineLevel="2" x14ac:dyDescent="0.25">
      <c r="A120" s="27"/>
      <c r="B120" s="11" t="str">
        <f>CONCATENATE("          ", "6309", " - ", "TELEPHONE")</f>
        <v xml:space="preserve">          6309 - TELEPHONE</v>
      </c>
      <c r="C120" s="11"/>
      <c r="D120" s="6">
        <v>2107.84</v>
      </c>
      <c r="E120" s="2"/>
      <c r="F120" s="7">
        <f t="shared" si="92"/>
        <v>2.4679614847015752E-3</v>
      </c>
      <c r="G120" s="2"/>
      <c r="H120" s="6">
        <v>1868</v>
      </c>
      <c r="I120" s="2"/>
      <c r="J120" s="7">
        <f t="shared" si="93"/>
        <v>2.0189138070791676E-3</v>
      </c>
      <c r="K120" s="2"/>
      <c r="L120" s="6">
        <f t="shared" si="94"/>
        <v>239.84000000000015</v>
      </c>
      <c r="M120" s="2"/>
      <c r="N120" s="7">
        <f t="shared" si="95"/>
        <v>0.12839400428265532</v>
      </c>
      <c r="O120" s="11"/>
      <c r="P120" s="6">
        <v>2621.83</v>
      </c>
      <c r="Q120" s="2"/>
      <c r="R120" s="7">
        <f t="shared" si="96"/>
        <v>1.699197752319829E-3</v>
      </c>
      <c r="S120" s="2"/>
      <c r="T120" s="6">
        <v>3886</v>
      </c>
      <c r="U120" s="2"/>
      <c r="V120" s="7">
        <f t="shared" si="97"/>
        <v>2.3228734291015512E-3</v>
      </c>
      <c r="W120" s="2"/>
      <c r="X120" s="6">
        <f t="shared" si="98"/>
        <v>-1264.17</v>
      </c>
      <c r="Y120" s="2"/>
      <c r="Z120" s="7">
        <f t="shared" si="99"/>
        <v>-0.32531394750386</v>
      </c>
    </row>
    <row r="121" spans="1:26" s="26" customFormat="1" outlineLevel="1" collapsed="1" x14ac:dyDescent="0.25">
      <c r="A121" s="25"/>
      <c r="B121" s="13" t="str">
        <f>CONCATENATE("     ","Training                                          ")</f>
        <v xml:space="preserve">     Training                                          </v>
      </c>
      <c r="C121" s="13"/>
      <c r="D121" s="1">
        <f>SUM(OSRRefD22_22x_0)</f>
        <v>364.9</v>
      </c>
      <c r="E121" s="1"/>
      <c r="F121" s="5">
        <f t="shared" ref="F121:F126" si="100">IF(D$12=0,0,D121/D$12)</f>
        <v>4.2724264923694625E-4</v>
      </c>
      <c r="G121" s="1"/>
      <c r="H121" s="1">
        <f>SUM(OSRRefH22_22x_0)</f>
        <v>6619</v>
      </c>
      <c r="I121" s="1"/>
      <c r="J121" s="5">
        <f t="shared" ref="J121:J126" si="101">IF(H$12=0,0,H121/H$12)</f>
        <v>7.1537422318292358E-3</v>
      </c>
      <c r="K121" s="1"/>
      <c r="L121" s="1">
        <f t="shared" ref="L121:L126" si="102">+D121-H121</f>
        <v>-6254.1</v>
      </c>
      <c r="M121" s="1"/>
      <c r="N121" s="5">
        <f t="shared" ref="N121:N126" si="103">IF(H121=0,0,L121/H121)</f>
        <v>-0.94487082640882314</v>
      </c>
      <c r="O121" s="13"/>
      <c r="P121" s="1">
        <f>SUM(OSRRefP22_22x_0)</f>
        <v>4440.12</v>
      </c>
      <c r="Q121" s="1"/>
      <c r="R121" s="5">
        <f t="shared" ref="R121:R126" si="104">IF(P$12=0,0,P121/P$12)</f>
        <v>2.8776243784037559E-3</v>
      </c>
      <c r="S121" s="1"/>
      <c r="T121" s="1">
        <f>SUM(OSRRefT22_22x_0)</f>
        <v>9538</v>
      </c>
      <c r="U121" s="1"/>
      <c r="V121" s="5">
        <f t="shared" ref="V121:V126" si="105">IF(T$12=0,0,T121/T$12)</f>
        <v>5.7013810516651046E-3</v>
      </c>
      <c r="W121" s="1"/>
      <c r="X121" s="1">
        <f t="shared" ref="X121:X126" si="106">+P121-T121</f>
        <v>-5097.88</v>
      </c>
      <c r="Y121" s="1"/>
      <c r="Z121" s="5">
        <f t="shared" ref="Z121:Z126" si="107">IF(T121=0,0,X121/T121)</f>
        <v>-0.53448102327531977</v>
      </c>
    </row>
    <row r="122" spans="1:26" s="24" customFormat="1" hidden="1" outlineLevel="2" x14ac:dyDescent="0.25">
      <c r="A122" s="27"/>
      <c r="B122" s="11" t="str">
        <f>CONCATENATE("          ", "6376", " - ", "TRAINING")</f>
        <v xml:space="preserve">          6376 - TRAINING</v>
      </c>
      <c r="C122" s="11"/>
      <c r="D122" s="6">
        <v>364.9</v>
      </c>
      <c r="E122" s="2"/>
      <c r="F122" s="7">
        <f t="shared" si="100"/>
        <v>4.2724264923694625E-4</v>
      </c>
      <c r="G122" s="2"/>
      <c r="H122" s="6">
        <v>6619</v>
      </c>
      <c r="I122" s="2"/>
      <c r="J122" s="7">
        <f t="shared" si="101"/>
        <v>7.1537422318292358E-3</v>
      </c>
      <c r="K122" s="2"/>
      <c r="L122" s="6">
        <f t="shared" si="102"/>
        <v>-6254.1</v>
      </c>
      <c r="M122" s="2"/>
      <c r="N122" s="7">
        <f t="shared" si="103"/>
        <v>-0.94487082640882314</v>
      </c>
      <c r="O122" s="11"/>
      <c r="P122" s="6">
        <v>4440.12</v>
      </c>
      <c r="Q122" s="2"/>
      <c r="R122" s="7">
        <f t="shared" si="104"/>
        <v>2.8776243784037559E-3</v>
      </c>
      <c r="S122" s="2"/>
      <c r="T122" s="6">
        <v>9538</v>
      </c>
      <c r="U122" s="2"/>
      <c r="V122" s="7">
        <f t="shared" si="105"/>
        <v>5.7013810516651046E-3</v>
      </c>
      <c r="W122" s="2"/>
      <c r="X122" s="6">
        <f t="shared" si="106"/>
        <v>-5097.88</v>
      </c>
      <c r="Y122" s="2"/>
      <c r="Z122" s="7">
        <f t="shared" si="107"/>
        <v>-0.53448102327531977</v>
      </c>
    </row>
    <row r="123" spans="1:26" s="26" customFormat="1" outlineLevel="1" collapsed="1" x14ac:dyDescent="0.25">
      <c r="A123" s="25"/>
      <c r="B123" s="13" t="str">
        <f>CONCATENATE("     ","Travel                                            ")</f>
        <v xml:space="preserve">     Travel                                            </v>
      </c>
      <c r="C123" s="13"/>
      <c r="D123" s="1">
        <f>SUM(OSRRefD22_23x_0)</f>
        <v>206.94</v>
      </c>
      <c r="E123" s="1"/>
      <c r="F123" s="5">
        <f t="shared" si="100"/>
        <v>2.422954065034082E-4</v>
      </c>
      <c r="G123" s="1"/>
      <c r="H123" s="1">
        <f>SUM(OSRRefH22_23x_0)</f>
        <v>410</v>
      </c>
      <c r="I123" s="1"/>
      <c r="J123" s="5">
        <f t="shared" si="101"/>
        <v>4.4312348014050257E-4</v>
      </c>
      <c r="K123" s="1"/>
      <c r="L123" s="1">
        <f t="shared" si="102"/>
        <v>-203.06</v>
      </c>
      <c r="M123" s="1"/>
      <c r="N123" s="5">
        <f t="shared" si="103"/>
        <v>-0.49526829268292683</v>
      </c>
      <c r="O123" s="13"/>
      <c r="P123" s="1">
        <f>SUM(OSRRefP22_23x_0)</f>
        <v>2539.7699999999995</v>
      </c>
      <c r="Q123" s="1"/>
      <c r="R123" s="5">
        <f t="shared" si="104"/>
        <v>1.646014987779273E-3</v>
      </c>
      <c r="S123" s="1"/>
      <c r="T123" s="1">
        <f>SUM(OSRRefT22_23x_0)</f>
        <v>6020</v>
      </c>
      <c r="U123" s="1"/>
      <c r="V123" s="5">
        <f t="shared" si="105"/>
        <v>3.5984812257311731E-3</v>
      </c>
      <c r="W123" s="1"/>
      <c r="X123" s="1">
        <f t="shared" si="106"/>
        <v>-3480.2300000000005</v>
      </c>
      <c r="Y123" s="1"/>
      <c r="Z123" s="5">
        <f t="shared" si="107"/>
        <v>-0.57811129568106323</v>
      </c>
    </row>
    <row r="124" spans="1:26" s="24" customFormat="1" hidden="1" outlineLevel="2" x14ac:dyDescent="0.25">
      <c r="A124" s="27"/>
      <c r="B124" s="11" t="str">
        <f>CONCATENATE("          ", "6292", " - ", "TRAVEL/CONFERENCE")</f>
        <v xml:space="preserve">          6292 - TRAVEL/CONFERENCE</v>
      </c>
      <c r="C124" s="11"/>
      <c r="D124" s="6">
        <v>160.36000000000001</v>
      </c>
      <c r="E124" s="2"/>
      <c r="F124" s="7">
        <f t="shared" si="100"/>
        <v>1.8775727934128997E-4</v>
      </c>
      <c r="G124" s="2"/>
      <c r="H124" s="6">
        <v>300</v>
      </c>
      <c r="I124" s="2"/>
      <c r="J124" s="7">
        <f t="shared" si="101"/>
        <v>3.2423669278573361E-4</v>
      </c>
      <c r="K124" s="2"/>
      <c r="L124" s="6">
        <f t="shared" si="102"/>
        <v>-139.63999999999999</v>
      </c>
      <c r="M124" s="2"/>
      <c r="N124" s="7">
        <f t="shared" si="103"/>
        <v>-0.46546666666666664</v>
      </c>
      <c r="O124" s="11"/>
      <c r="P124" s="6">
        <v>2234.1</v>
      </c>
      <c r="Q124" s="2"/>
      <c r="R124" s="7">
        <f t="shared" si="104"/>
        <v>1.4479114582019925E-3</v>
      </c>
      <c r="S124" s="2"/>
      <c r="T124" s="6">
        <v>5800</v>
      </c>
      <c r="U124" s="2"/>
      <c r="V124" s="7">
        <f t="shared" si="105"/>
        <v>3.4669752673157483E-3</v>
      </c>
      <c r="W124" s="2"/>
      <c r="X124" s="6">
        <f t="shared" si="106"/>
        <v>-3565.9</v>
      </c>
      <c r="Y124" s="2"/>
      <c r="Z124" s="7">
        <f t="shared" si="107"/>
        <v>-0.61481034482758623</v>
      </c>
    </row>
    <row r="125" spans="1:26" s="24" customFormat="1" hidden="1" outlineLevel="2" x14ac:dyDescent="0.25">
      <c r="A125" s="27"/>
      <c r="B125" s="11" t="str">
        <f>CONCATENATE("          ", "6294", " - ", "TRAVEL OPERATIONAL")</f>
        <v xml:space="preserve">          6294 - TRAVEL OPERATIONAL</v>
      </c>
      <c r="C125" s="11"/>
      <c r="D125" s="6"/>
      <c r="E125" s="2"/>
      <c r="F125" s="7">
        <f t="shared" si="100"/>
        <v>0</v>
      </c>
      <c r="G125" s="2"/>
      <c r="H125" s="6"/>
      <c r="I125" s="2"/>
      <c r="J125" s="7">
        <f t="shared" si="101"/>
        <v>0</v>
      </c>
      <c r="K125" s="2"/>
      <c r="L125" s="6">
        <f t="shared" si="102"/>
        <v>0</v>
      </c>
      <c r="M125" s="2"/>
      <c r="N125" s="7">
        <f t="shared" si="103"/>
        <v>0</v>
      </c>
      <c r="O125" s="11"/>
      <c r="P125" s="6">
        <v>45.49</v>
      </c>
      <c r="Q125" s="2"/>
      <c r="R125" s="7">
        <f t="shared" si="104"/>
        <v>2.9481890798804279E-5</v>
      </c>
      <c r="S125" s="2"/>
      <c r="T125" s="6"/>
      <c r="U125" s="2"/>
      <c r="V125" s="7">
        <f t="shared" si="105"/>
        <v>0</v>
      </c>
      <c r="W125" s="2"/>
      <c r="X125" s="6">
        <f t="shared" si="106"/>
        <v>45.49</v>
      </c>
      <c r="Y125" s="2"/>
      <c r="Z125" s="7">
        <f t="shared" si="107"/>
        <v>0</v>
      </c>
    </row>
    <row r="126" spans="1:26" s="24" customFormat="1" hidden="1" outlineLevel="2" x14ac:dyDescent="0.25">
      <c r="A126" s="27"/>
      <c r="B126" s="11" t="str">
        <f>CONCATENATE("          ", "6298", " - ", "VEHICLE MILEAGE")</f>
        <v xml:space="preserve">          6298 - VEHICLE MILEAGE</v>
      </c>
      <c r="C126" s="11"/>
      <c r="D126" s="6">
        <v>46.58</v>
      </c>
      <c r="E126" s="2"/>
      <c r="F126" s="7">
        <f t="shared" si="100"/>
        <v>5.453812716211827E-5</v>
      </c>
      <c r="G126" s="2"/>
      <c r="H126" s="6">
        <v>110</v>
      </c>
      <c r="I126" s="2"/>
      <c r="J126" s="7">
        <f t="shared" si="101"/>
        <v>1.1888678735476898E-4</v>
      </c>
      <c r="K126" s="2"/>
      <c r="L126" s="6">
        <f t="shared" si="102"/>
        <v>-63.42</v>
      </c>
      <c r="M126" s="2"/>
      <c r="N126" s="7">
        <f t="shared" si="103"/>
        <v>-0.57654545454545458</v>
      </c>
      <c r="O126" s="11"/>
      <c r="P126" s="6">
        <v>260.18</v>
      </c>
      <c r="Q126" s="2"/>
      <c r="R126" s="7">
        <f t="shared" si="104"/>
        <v>1.6862163877847652E-4</v>
      </c>
      <c r="S126" s="2"/>
      <c r="T126" s="6">
        <v>220</v>
      </c>
      <c r="U126" s="2"/>
      <c r="V126" s="7">
        <f t="shared" si="105"/>
        <v>1.3150595841542493E-4</v>
      </c>
      <c r="W126" s="2"/>
      <c r="X126" s="6">
        <f t="shared" si="106"/>
        <v>40.180000000000007</v>
      </c>
      <c r="Y126" s="2"/>
      <c r="Z126" s="7">
        <f t="shared" si="107"/>
        <v>0.18263636363636368</v>
      </c>
    </row>
    <row r="127" spans="1:26" s="26" customFormat="1" outlineLevel="1" collapsed="1" x14ac:dyDescent="0.25">
      <c r="A127" s="25"/>
      <c r="B127" s="13" t="str">
        <f>CONCATENATE("     ","Utilities                                         ")</f>
        <v xml:space="preserve">     Utilities                                         </v>
      </c>
      <c r="C127" s="13"/>
      <c r="D127" s="1">
        <f>SUM(OSRRefD22_24x_0)</f>
        <v>0</v>
      </c>
      <c r="E127" s="1"/>
      <c r="F127" s="5">
        <f t="shared" ref="F127:F128" si="108">IF(D$12=0,0,D127/D$12)</f>
        <v>0</v>
      </c>
      <c r="G127" s="1"/>
      <c r="H127" s="1">
        <f>SUM(OSRRefH22_24x_0)</f>
        <v>22450</v>
      </c>
      <c r="I127" s="1"/>
      <c r="J127" s="5">
        <f t="shared" ref="J127:J128" si="109">IF(H$12=0,0,H127/H$12)</f>
        <v>2.4263712510132398E-2</v>
      </c>
      <c r="K127" s="1"/>
      <c r="L127" s="1">
        <f t="shared" ref="L127:L128" si="110">+D127-H127</f>
        <v>-22450</v>
      </c>
      <c r="M127" s="1"/>
      <c r="N127" s="5">
        <f t="shared" ref="N127:N128" si="111">IF(H127=0,0,L127/H127)</f>
        <v>-1</v>
      </c>
      <c r="O127" s="13"/>
      <c r="P127" s="1">
        <f>SUM(OSRRefP22_24x_0)</f>
        <v>13691</v>
      </c>
      <c r="Q127" s="1"/>
      <c r="R127" s="5">
        <f t="shared" ref="R127:R128" si="112">IF(P$12=0,0,P127/P$12)</f>
        <v>8.8730834672769709E-3</v>
      </c>
      <c r="S127" s="1"/>
      <c r="T127" s="1">
        <f>SUM(OSRRefT22_24x_0)</f>
        <v>39900</v>
      </c>
      <c r="U127" s="1"/>
      <c r="V127" s="5">
        <f t="shared" ref="V127:V128" si="113">IF(T$12=0,0,T127/T$12)</f>
        <v>2.3850398821706614E-2</v>
      </c>
      <c r="W127" s="1"/>
      <c r="X127" s="1">
        <f t="shared" ref="X127:X128" si="114">+P127-T127</f>
        <v>-26209</v>
      </c>
      <c r="Y127" s="1"/>
      <c r="Z127" s="5">
        <f t="shared" ref="Z127:Z128" si="115">IF(T127=0,0,X127/T127)</f>
        <v>-0.65686716791979949</v>
      </c>
    </row>
    <row r="128" spans="1:26" s="24" customFormat="1" hidden="1" outlineLevel="2" x14ac:dyDescent="0.25">
      <c r="A128" s="27"/>
      <c r="B128" s="11" t="str">
        <f>CONCATENATE("          ", "6274", " - ", "UTILITIES")</f>
        <v xml:space="preserve">          6274 - UTILITIES</v>
      </c>
      <c r="C128" s="11"/>
      <c r="D128" s="6"/>
      <c r="E128" s="2"/>
      <c r="F128" s="7">
        <f t="shared" si="108"/>
        <v>0</v>
      </c>
      <c r="G128" s="2"/>
      <c r="H128" s="6">
        <v>22450</v>
      </c>
      <c r="I128" s="2"/>
      <c r="J128" s="7">
        <f t="shared" si="109"/>
        <v>2.4263712510132398E-2</v>
      </c>
      <c r="K128" s="2"/>
      <c r="L128" s="6">
        <f t="shared" si="110"/>
        <v>-22450</v>
      </c>
      <c r="M128" s="2"/>
      <c r="N128" s="7">
        <f t="shared" si="111"/>
        <v>-1</v>
      </c>
      <c r="O128" s="11"/>
      <c r="P128" s="6">
        <v>13691</v>
      </c>
      <c r="Q128" s="2"/>
      <c r="R128" s="7">
        <f t="shared" si="112"/>
        <v>8.8730834672769709E-3</v>
      </c>
      <c r="S128" s="2"/>
      <c r="T128" s="6">
        <v>39900</v>
      </c>
      <c r="U128" s="2"/>
      <c r="V128" s="7">
        <f t="shared" si="113"/>
        <v>2.3850398821706614E-2</v>
      </c>
      <c r="W128" s="2"/>
      <c r="X128" s="6">
        <f t="shared" si="114"/>
        <v>-26209</v>
      </c>
      <c r="Y128" s="2"/>
      <c r="Z128" s="7">
        <f t="shared" si="115"/>
        <v>-0.65686716791979949</v>
      </c>
    </row>
    <row r="129" spans="1:26" s="63" customFormat="1" x14ac:dyDescent="0.25">
      <c r="A129" s="36"/>
      <c r="B129" s="36"/>
      <c r="C129" s="36"/>
      <c r="D129" s="1"/>
      <c r="E129" s="1"/>
      <c r="F129" s="5"/>
      <c r="G129" s="1"/>
      <c r="H129" s="1"/>
      <c r="I129" s="1"/>
      <c r="J129" s="5"/>
      <c r="K129" s="1"/>
      <c r="L129" s="1"/>
      <c r="M129" s="1"/>
      <c r="N129" s="5"/>
      <c r="O129" s="36"/>
      <c r="P129" s="1"/>
      <c r="Q129" s="1"/>
      <c r="R129" s="5"/>
      <c r="S129" s="1"/>
      <c r="T129" s="1"/>
      <c r="U129" s="1"/>
      <c r="V129" s="5"/>
      <c r="W129" s="1"/>
      <c r="X129" s="1"/>
      <c r="Y129" s="1"/>
      <c r="Z129" s="5"/>
    </row>
    <row r="130" spans="1:26" s="23" customFormat="1" collapsed="1" x14ac:dyDescent="0.25">
      <c r="A130" s="10"/>
      <c r="B130" s="28" t="s">
        <v>0</v>
      </c>
      <c r="C130" s="10"/>
      <c r="D130" s="4">
        <f>SUM(OSRRefD25x_0)</f>
        <v>14461.25</v>
      </c>
      <c r="E130" s="4"/>
      <c r="F130" s="12">
        <f t="shared" ref="F130:F134" si="116">IF(D$12=0,0,D130/D$12)</f>
        <v>1.6931934122438447E-2</v>
      </c>
      <c r="G130" s="4"/>
      <c r="H130" s="4">
        <f>SUM(OSRRefH25x_0)</f>
        <v>19710</v>
      </c>
      <c r="I130" s="4"/>
      <c r="J130" s="12">
        <f t="shared" ref="J130:J134" si="117">IF(H$12=0,0,H130/H$12)</f>
        <v>2.1302350716022697E-2</v>
      </c>
      <c r="K130" s="4"/>
      <c r="L130" s="4">
        <f t="shared" ref="L130:L134" si="118">+D130-H130</f>
        <v>-5248.75</v>
      </c>
      <c r="M130" s="4"/>
      <c r="N130" s="12">
        <f t="shared" ref="N130:N134" si="119">IF(H130=0,0,L130/H130)</f>
        <v>-0.26629883307965502</v>
      </c>
      <c r="O130" s="10"/>
      <c r="P130" s="4">
        <f>SUM(OSRRefP25x_0)</f>
        <v>65394.66</v>
      </c>
      <c r="Q130" s="4"/>
      <c r="R130" s="12">
        <f t="shared" ref="R130:R134" si="120">IF(P$12=0,0,P130/P$12)</f>
        <v>4.2382022970871278E-2</v>
      </c>
      <c r="S130" s="4"/>
      <c r="T130" s="4">
        <f>SUM(OSRRefT25x_0)</f>
        <v>49213</v>
      </c>
      <c r="U130" s="4"/>
      <c r="V130" s="12">
        <f t="shared" ref="V130:V134" si="121">IF(T$12=0,0,T130/T$12)</f>
        <v>2.9417285143174123E-2</v>
      </c>
      <c r="W130" s="4"/>
      <c r="X130" s="4">
        <f t="shared" ref="X130:X134" si="122">+P130-T130</f>
        <v>16181.660000000003</v>
      </c>
      <c r="Y130" s="4"/>
      <c r="Z130" s="12">
        <f t="shared" ref="Z130:Z134" si="123">IF(T130=0,0,X130/T130)</f>
        <v>0.3288086481214314</v>
      </c>
    </row>
    <row r="131" spans="1:26" s="24" customFormat="1" hidden="1" outlineLevel="1" x14ac:dyDescent="0.25">
      <c r="A131" s="46"/>
      <c r="B131" s="11" t="str">
        <f>CONCATENATE("          ", "9150", " - ", "MISC. INCOME")</f>
        <v xml:space="preserve">          9150 - MISC. INCOME</v>
      </c>
      <c r="C131" s="11"/>
      <c r="D131" s="2">
        <f>--6527.69</f>
        <v>6527.69</v>
      </c>
      <c r="E131" s="2"/>
      <c r="F131" s="21">
        <f t="shared" si="116"/>
        <v>7.6429366100233534E-3</v>
      </c>
      <c r="G131" s="2"/>
      <c r="H131" s="2">
        <v>12947</v>
      </c>
      <c r="I131" s="2"/>
      <c r="J131" s="21">
        <f t="shared" si="117"/>
        <v>1.399297487165631E-2</v>
      </c>
      <c r="K131" s="2"/>
      <c r="L131" s="2">
        <f t="shared" si="118"/>
        <v>-6419.31</v>
      </c>
      <c r="M131" s="2"/>
      <c r="N131" s="21">
        <f t="shared" si="119"/>
        <v>-0.49581447439561294</v>
      </c>
      <c r="O131" s="11"/>
      <c r="P131" s="2">
        <f>--47787.95</f>
        <v>47787.95</v>
      </c>
      <c r="Q131" s="2"/>
      <c r="R131" s="21">
        <f t="shared" si="120"/>
        <v>3.0971183191882148E-2</v>
      </c>
      <c r="S131" s="2"/>
      <c r="T131" s="2">
        <v>30369</v>
      </c>
      <c r="U131" s="2"/>
      <c r="V131" s="21">
        <f t="shared" si="121"/>
        <v>1.8153202050536544E-2</v>
      </c>
      <c r="W131" s="2"/>
      <c r="X131" s="2">
        <f t="shared" si="122"/>
        <v>17418.949999999997</v>
      </c>
      <c r="Y131" s="2"/>
      <c r="Z131" s="21">
        <f t="shared" si="123"/>
        <v>0.57357667358161268</v>
      </c>
    </row>
    <row r="132" spans="1:26" s="24" customFormat="1" hidden="1" outlineLevel="1" x14ac:dyDescent="0.25">
      <c r="A132" s="46"/>
      <c r="B132" s="11" t="str">
        <f>CONCATENATE("          ", "9151", " - ", "MISC. INCOME")</f>
        <v xml:space="preserve">          9151 - MISC. INCOME</v>
      </c>
      <c r="C132" s="11"/>
      <c r="D132" s="2">
        <f>0</f>
        <v>0</v>
      </c>
      <c r="E132" s="2"/>
      <c r="F132" s="21">
        <f t="shared" si="116"/>
        <v>0</v>
      </c>
      <c r="G132" s="2"/>
      <c r="H132" s="2">
        <v>6763</v>
      </c>
      <c r="I132" s="2"/>
      <c r="J132" s="21">
        <f t="shared" si="117"/>
        <v>7.3093758443663875E-3</v>
      </c>
      <c r="K132" s="2"/>
      <c r="L132" s="2">
        <f t="shared" si="118"/>
        <v>-6763</v>
      </c>
      <c r="M132" s="2"/>
      <c r="N132" s="21">
        <f t="shared" si="119"/>
        <v>-1</v>
      </c>
      <c r="O132" s="11"/>
      <c r="P132" s="2">
        <f>0</f>
        <v>0</v>
      </c>
      <c r="Q132" s="2"/>
      <c r="R132" s="21">
        <f t="shared" si="120"/>
        <v>0</v>
      </c>
      <c r="S132" s="2"/>
      <c r="T132" s="2">
        <v>18844</v>
      </c>
      <c r="U132" s="2"/>
      <c r="V132" s="21">
        <f t="shared" si="121"/>
        <v>1.1264083092637579E-2</v>
      </c>
      <c r="W132" s="2"/>
      <c r="X132" s="2">
        <f t="shared" si="122"/>
        <v>-18844</v>
      </c>
      <c r="Y132" s="2"/>
      <c r="Z132" s="21">
        <f t="shared" si="123"/>
        <v>-1</v>
      </c>
    </row>
    <row r="133" spans="1:26" s="24" customFormat="1" hidden="1" outlineLevel="1" x14ac:dyDescent="0.25">
      <c r="A133" s="46"/>
      <c r="B133" s="11" t="str">
        <f>CONCATENATE("          ", "9160", " - ", "MISC. INCOME")</f>
        <v xml:space="preserve">          9160 - MISC. INCOME</v>
      </c>
      <c r="C133" s="11"/>
      <c r="D133" s="2">
        <f>--4981.17</f>
        <v>4981.17</v>
      </c>
      <c r="E133" s="2"/>
      <c r="F133" s="21">
        <f t="shared" si="116"/>
        <v>5.8321958539314872E-3</v>
      </c>
      <c r="G133" s="2"/>
      <c r="H133" s="2"/>
      <c r="I133" s="2"/>
      <c r="J133" s="21">
        <f t="shared" si="117"/>
        <v>0</v>
      </c>
      <c r="K133" s="2"/>
      <c r="L133" s="2">
        <f t="shared" si="118"/>
        <v>4981.17</v>
      </c>
      <c r="M133" s="2"/>
      <c r="N133" s="21">
        <f t="shared" si="119"/>
        <v>0</v>
      </c>
      <c r="O133" s="11"/>
      <c r="P133" s="2">
        <f>--10973.27</f>
        <v>10973.27</v>
      </c>
      <c r="Q133" s="2"/>
      <c r="R133" s="21">
        <f t="shared" si="120"/>
        <v>7.1117333006329971E-3</v>
      </c>
      <c r="S133" s="2"/>
      <c r="T133" s="2"/>
      <c r="U133" s="2"/>
      <c r="V133" s="21">
        <f t="shared" si="121"/>
        <v>0</v>
      </c>
      <c r="W133" s="2"/>
      <c r="X133" s="2">
        <f t="shared" si="122"/>
        <v>10973.27</v>
      </c>
      <c r="Y133" s="2"/>
      <c r="Z133" s="21">
        <f t="shared" si="123"/>
        <v>0</v>
      </c>
    </row>
    <row r="134" spans="1:26" s="24" customFormat="1" hidden="1" outlineLevel="1" x14ac:dyDescent="0.25">
      <c r="A134" s="46"/>
      <c r="B134" s="11" t="str">
        <f>CONCATENATE("          ", "9165", " - ", "OTHER INCOME")</f>
        <v xml:space="preserve">          9165 - OTHER INCOME</v>
      </c>
      <c r="C134" s="11"/>
      <c r="D134" s="2">
        <f>--2952.39</f>
        <v>2952.39</v>
      </c>
      <c r="E134" s="2"/>
      <c r="F134" s="21">
        <f t="shared" si="116"/>
        <v>3.4568016584836055E-3</v>
      </c>
      <c r="G134" s="2"/>
      <c r="H134" s="2"/>
      <c r="I134" s="2"/>
      <c r="J134" s="21">
        <f t="shared" si="117"/>
        <v>0</v>
      </c>
      <c r="K134" s="2"/>
      <c r="L134" s="2">
        <f t="shared" si="118"/>
        <v>2952.39</v>
      </c>
      <c r="M134" s="2"/>
      <c r="N134" s="21">
        <f t="shared" si="119"/>
        <v>0</v>
      </c>
      <c r="O134" s="11"/>
      <c r="P134" s="2">
        <f>--6633.44</f>
        <v>6633.44</v>
      </c>
      <c r="Q134" s="2"/>
      <c r="R134" s="21">
        <f t="shared" si="120"/>
        <v>4.2991064783561277E-3</v>
      </c>
      <c r="S134" s="2"/>
      <c r="T134" s="2"/>
      <c r="U134" s="2"/>
      <c r="V134" s="21">
        <f t="shared" si="121"/>
        <v>0</v>
      </c>
      <c r="W134" s="2"/>
      <c r="X134" s="2">
        <f t="shared" si="122"/>
        <v>6633.44</v>
      </c>
      <c r="Y134" s="2"/>
      <c r="Z134" s="21">
        <f t="shared" si="123"/>
        <v>0</v>
      </c>
    </row>
    <row r="135" spans="1:26" x14ac:dyDescent="0.25">
      <c r="A135" s="9"/>
      <c r="B135" s="10"/>
      <c r="C135" s="10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O135" s="10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x14ac:dyDescent="0.25">
      <c r="A136" s="10"/>
      <c r="B136" s="29" t="s">
        <v>3</v>
      </c>
      <c r="C136" s="29"/>
      <c r="D136" s="22">
        <f>+D31-D33+D130</f>
        <v>-143787.79999999993</v>
      </c>
      <c r="E136" s="14"/>
      <c r="F136" s="20">
        <f>IF(D$12=0,0,D136/D$12)</f>
        <v>-0.16835374239504564</v>
      </c>
      <c r="G136" s="14"/>
      <c r="H136" s="22">
        <f>+H31-H33+H130</f>
        <v>-208103.56706415245</v>
      </c>
      <c r="I136" s="14"/>
      <c r="J136" s="20">
        <f>IF(H$12=0,0,H136/H$12)</f>
        <v>-0.22491604113931635</v>
      </c>
      <c r="K136" s="15"/>
      <c r="L136" s="22">
        <f>+D136-H136</f>
        <v>64315.767064152518</v>
      </c>
      <c r="M136" s="15"/>
      <c r="N136" s="20">
        <f>IF(H136=0,0,L136/H136)</f>
        <v>-0.30905653358803686</v>
      </c>
      <c r="O136" s="28"/>
      <c r="P136" s="22">
        <f>+P31-P33+P130</f>
        <v>-441363.05999999947</v>
      </c>
      <c r="Q136" s="14"/>
      <c r="R136" s="20">
        <f>IF(P$12=0,0,P136/P$12)</f>
        <v>-0.28604567020325533</v>
      </c>
      <c r="S136" s="14"/>
      <c r="T136" s="22">
        <f>+T31-T33+T130</f>
        <v>-472587.60580311762</v>
      </c>
      <c r="U136" s="14"/>
      <c r="V136" s="20">
        <f>IF(T$12=0,0,T136/T$12)</f>
        <v>-0.28249130016540919</v>
      </c>
      <c r="W136" s="15"/>
      <c r="X136" s="22">
        <f>+P136-T136</f>
        <v>31224.545803118148</v>
      </c>
      <c r="Y136" s="15"/>
      <c r="Z136" s="20">
        <f>IF(T136=0,0,X136/T136)</f>
        <v>-6.6071444573869015E-2</v>
      </c>
    </row>
    <row r="137" spans="1:26" x14ac:dyDescent="0.25">
      <c r="A137" s="9"/>
      <c r="B137" s="10"/>
      <c r="C137" s="9"/>
      <c r="D137" s="3"/>
      <c r="E137" s="3"/>
      <c r="F137" s="8"/>
      <c r="G137" s="3"/>
      <c r="H137" s="3"/>
      <c r="I137" s="3"/>
      <c r="J137" s="8"/>
      <c r="K137" s="3"/>
      <c r="L137" s="3"/>
      <c r="M137" s="3"/>
      <c r="N137" s="8"/>
      <c r="P137" s="3"/>
      <c r="Q137" s="3"/>
      <c r="R137" s="8"/>
      <c r="S137" s="3"/>
      <c r="T137" s="3"/>
      <c r="U137" s="3"/>
      <c r="V137" s="8"/>
      <c r="W137" s="3"/>
      <c r="X137" s="3"/>
      <c r="Y137" s="3"/>
      <c r="Z137" s="8"/>
    </row>
    <row r="138" spans="1:26" s="23" customFormat="1" x14ac:dyDescent="0.25">
      <c r="A138" s="52"/>
      <c r="B138" s="10" t="s">
        <v>14</v>
      </c>
      <c r="C138" s="10"/>
      <c r="D138" s="4">
        <v>49139.03</v>
      </c>
      <c r="E138" s="4"/>
      <c r="F138" s="12">
        <f>IF(D$12=0,0,D138/D$12)</f>
        <v>5.7534363820591336E-2</v>
      </c>
      <c r="G138" s="4"/>
      <c r="H138" s="4">
        <v>89475</v>
      </c>
      <c r="I138" s="4"/>
      <c r="J138" s="12">
        <f>IF(H$12=0,0,H138/H$12)</f>
        <v>9.6703593623345047E-2</v>
      </c>
      <c r="K138" s="4"/>
      <c r="L138" s="4">
        <f>+D138-H138</f>
        <v>-40335.97</v>
      </c>
      <c r="M138" s="4"/>
      <c r="N138" s="12">
        <f>IF(H138=0,0,L138/H138)</f>
        <v>-0.45080715283598771</v>
      </c>
      <c r="O138" s="10"/>
      <c r="P138" s="4">
        <v>192381.56999999998</v>
      </c>
      <c r="Q138" s="4"/>
      <c r="R138" s="12">
        <f>IF(P$12=0,0,P138/P$12)</f>
        <v>0.12468174188706355</v>
      </c>
      <c r="S138" s="4"/>
      <c r="T138" s="4">
        <v>271690</v>
      </c>
      <c r="U138" s="4"/>
      <c r="V138" s="12">
        <f>IF(T$12=0,0,T138/T$12)</f>
        <v>0.16240388109948545</v>
      </c>
      <c r="W138" s="4"/>
      <c r="X138" s="4">
        <f>+P138-T138</f>
        <v>-79308.430000000022</v>
      </c>
      <c r="Y138" s="4"/>
      <c r="Z138" s="12">
        <f>IF(T138=0,0,X138/T138)</f>
        <v>-0.29190779933011896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ht="15.75" thickBot="1" x14ac:dyDescent="0.3">
      <c r="A140" s="10"/>
      <c r="B140" s="29" t="s">
        <v>4</v>
      </c>
      <c r="C140" s="29"/>
      <c r="D140" s="31">
        <f>+D136-D138</f>
        <v>-192926.82999999993</v>
      </c>
      <c r="E140" s="14"/>
      <c r="F140" s="32">
        <f>IF(D$12=0,0,D140/D$12)</f>
        <v>-0.22588810621563696</v>
      </c>
      <c r="G140" s="14"/>
      <c r="H140" s="31">
        <f>+H136-H138</f>
        <v>-297578.56706415245</v>
      </c>
      <c r="I140" s="14"/>
      <c r="J140" s="32">
        <f>IF(H$12=0,0,H140/H$12)</f>
        <v>-0.32161963476266137</v>
      </c>
      <c r="K140" s="15"/>
      <c r="L140" s="31">
        <f>D140-H140</f>
        <v>104651.73706415252</v>
      </c>
      <c r="M140" s="15"/>
      <c r="N140" s="32">
        <f>IF(H140=0,0,L140/H140)</f>
        <v>-0.35167766985581167</v>
      </c>
      <c r="O140" s="28"/>
      <c r="P140" s="31">
        <f>+P136-P138</f>
        <v>-633744.62999999942</v>
      </c>
      <c r="Q140" s="14"/>
      <c r="R140" s="32">
        <f>IF(P$12=0,0,P140/P$12)</f>
        <v>-0.41072741209031888</v>
      </c>
      <c r="S140" s="14"/>
      <c r="T140" s="31">
        <f>+T136-T138</f>
        <v>-744277.60580311762</v>
      </c>
      <c r="U140" s="14"/>
      <c r="V140" s="32">
        <f>IF(T$12=0,0,T140/T$12)</f>
        <v>-0.44489518126489463</v>
      </c>
      <c r="W140" s="15"/>
      <c r="X140" s="31">
        <f>P140-T140</f>
        <v>110532.9758031182</v>
      </c>
      <c r="Y140" s="15"/>
      <c r="Z140" s="32">
        <f>IF(T140=0,0,X140/T140)</f>
        <v>-0.14851041458361072</v>
      </c>
    </row>
    <row r="141" spans="1:26" ht="15.75" thickTop="1" x14ac:dyDescent="0.25">
      <c r="A141" s="9"/>
      <c r="B141" s="9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x14ac:dyDescent="0.25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9" t="s">
        <v>5</v>
      </c>
      <c r="C143" s="29"/>
      <c r="D143" s="33">
        <f>SUM(D140:D142)</f>
        <v>-192926.82999999993</v>
      </c>
      <c r="E143" s="14"/>
      <c r="F143" s="35">
        <f>IF(D$12=0,0,D143/D$12)</f>
        <v>-0.22588810621563696</v>
      </c>
      <c r="G143" s="14"/>
      <c r="H143" s="33">
        <f>SUM(H140:H142)</f>
        <v>-297578.56706415245</v>
      </c>
      <c r="I143" s="14"/>
      <c r="J143" s="35">
        <f>IF(H$12=0,0,H143/H$12)</f>
        <v>-0.32161963476266137</v>
      </c>
      <c r="K143" s="15"/>
      <c r="L143" s="33">
        <f>+D143-H143</f>
        <v>104651.73706415252</v>
      </c>
      <c r="M143" s="15"/>
      <c r="N143" s="35">
        <f>IF(H143=0,0,L143/H143)</f>
        <v>-0.35167766985581167</v>
      </c>
      <c r="O143" s="28"/>
      <c r="P143" s="33">
        <f>SUM(P140:P142)</f>
        <v>-633744.62999999942</v>
      </c>
      <c r="Q143" s="14"/>
      <c r="R143" s="35">
        <f>IF(P$12=0,0,P143/P$12)</f>
        <v>-0.41072741209031888</v>
      </c>
      <c r="S143" s="14"/>
      <c r="T143" s="33">
        <f>SUM(T140:T142)</f>
        <v>-744277.60580311762</v>
      </c>
      <c r="U143" s="14"/>
      <c r="V143" s="35">
        <f>IF(T$12=0,0,T143/T$12)</f>
        <v>-0.44489518126489463</v>
      </c>
      <c r="W143" s="15"/>
      <c r="X143" s="33">
        <f>+P143-T143</f>
        <v>110532.9758031182</v>
      </c>
      <c r="Y143" s="15"/>
      <c r="Z143" s="35">
        <f>IF(T143=0,0,X143/T143)</f>
        <v>-0.14851041458361072</v>
      </c>
    </row>
    <row r="144" spans="1:26" ht="15.75" thickTop="1" x14ac:dyDescent="0.25">
      <c r="A144" s="9"/>
      <c r="C144" s="9"/>
      <c r="D144" s="17"/>
      <c r="E144" s="17"/>
      <c r="G144" s="17"/>
      <c r="H144" s="17"/>
      <c r="I144" s="17"/>
      <c r="J144" s="42"/>
      <c r="K144" s="17"/>
      <c r="L144" s="17"/>
      <c r="M144" s="17"/>
      <c r="P144" s="17"/>
      <c r="Q144" s="17"/>
      <c r="R144" s="42"/>
      <c r="S144" s="17"/>
      <c r="T144" s="17"/>
      <c r="U144" s="17"/>
      <c r="V144" s="42"/>
      <c r="W144" s="17"/>
      <c r="X144" s="17"/>
    </row>
    <row r="145" spans="1:24" x14ac:dyDescent="0.25">
      <c r="A145" s="9"/>
      <c r="B145" s="61">
        <v>43732.705564004631</v>
      </c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25">
      <c r="A146" s="9"/>
      <c r="B146" s="62" t="s">
        <v>314</v>
      </c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  <row r="147" spans="1:24" x14ac:dyDescent="0.25">
      <c r="A147" s="9"/>
      <c r="B147" s="58"/>
      <c r="D147" s="17"/>
      <c r="E147" s="17"/>
      <c r="G147" s="17"/>
      <c r="H147" s="17"/>
      <c r="I147" s="17"/>
      <c r="J147" s="42"/>
      <c r="K147" s="17"/>
      <c r="L147" s="17"/>
      <c r="M147" s="17"/>
      <c r="P147" s="17"/>
      <c r="Q147" s="17"/>
      <c r="R147" s="42"/>
      <c r="S147" s="17"/>
      <c r="T147" s="17"/>
      <c r="U147" s="17"/>
      <c r="V147" s="42"/>
      <c r="W147" s="17"/>
      <c r="X147" s="17"/>
    </row>
    <row r="148" spans="1:24" x14ac:dyDescent="0.25"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5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313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476198.46000000008</v>
      </c>
      <c r="E12" s="4"/>
      <c r="F12" s="12"/>
      <c r="G12" s="4"/>
      <c r="H12" s="4">
        <f>SUM(OSRRefH13x_0)</f>
        <v>590513</v>
      </c>
      <c r="I12" s="4"/>
      <c r="J12" s="12"/>
      <c r="K12" s="4"/>
      <c r="L12" s="4">
        <f t="shared" ref="L12:L29" si="0">+D12-H12</f>
        <v>-114314.53999999992</v>
      </c>
      <c r="M12" s="4"/>
      <c r="N12" s="12">
        <f t="shared" ref="N12:N29" si="1">IF(H12=0,0,L12/H12)</f>
        <v>-0.19358513699105678</v>
      </c>
      <c r="O12" s="10"/>
      <c r="P12" s="4">
        <f>SUM(OSRRefP13x_0)</f>
        <v>714489.2300000001</v>
      </c>
      <c r="Q12" s="4"/>
      <c r="R12" s="12"/>
      <c r="S12" s="4"/>
      <c r="T12" s="4">
        <f>SUM(OSRRefT13x_0)</f>
        <v>900222.2</v>
      </c>
      <c r="U12" s="4"/>
      <c r="V12" s="12"/>
      <c r="W12" s="4"/>
      <c r="X12" s="4">
        <f t="shared" ref="X12:X29" si="2">+P12-T12</f>
        <v>-185732.96999999986</v>
      </c>
      <c r="Y12" s="4"/>
      <c r="Z12" s="12">
        <f t="shared" ref="Z12:Z29" si="3">IF(T12=0,0,X12/T12)</f>
        <v>-0.2063190287908917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286736</v>
      </c>
      <c r="I13" s="2"/>
      <c r="J13" s="21"/>
      <c r="K13" s="2"/>
      <c r="L13" s="2">
        <f t="shared" si="0"/>
        <v>-286736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461359.2</v>
      </c>
      <c r="U13" s="2"/>
      <c r="V13" s="21"/>
      <c r="W13" s="2"/>
      <c r="X13" s="2">
        <f t="shared" si="2"/>
        <v>-461359.2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"4032", " - ", "TAXABLE SALES-JUICE")</f>
        <v xml:space="preserve">          4032 - TAXABLE SALES-JUICE</v>
      </c>
      <c r="C14" s="11"/>
      <c r="D14" s="2">
        <f>--17869.12</f>
        <v>17869.12</v>
      </c>
      <c r="E14" s="2"/>
      <c r="F14" s="21"/>
      <c r="G14" s="2"/>
      <c r="H14" s="2"/>
      <c r="I14" s="2"/>
      <c r="J14" s="21"/>
      <c r="K14" s="2"/>
      <c r="L14" s="2">
        <f t="shared" si="0"/>
        <v>17869.12</v>
      </c>
      <c r="M14" s="2"/>
      <c r="N14" s="21">
        <f t="shared" si="1"/>
        <v>0</v>
      </c>
      <c r="O14" s="11"/>
      <c r="P14" s="2">
        <f>--24749.38</f>
        <v>24749.38</v>
      </c>
      <c r="Q14" s="2"/>
      <c r="R14" s="21"/>
      <c r="S14" s="2"/>
      <c r="T14" s="2"/>
      <c r="U14" s="2"/>
      <c r="V14" s="21"/>
      <c r="W14" s="2"/>
      <c r="X14" s="2">
        <f t="shared" si="2"/>
        <v>24749.38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"4034", " - ", "TAXABLE SALES-SODA")</f>
        <v xml:space="preserve">          4034 - TAXABLE SALES-SODA</v>
      </c>
      <c r="C15" s="11"/>
      <c r="D15" s="2">
        <f>--357.65</f>
        <v>357.65</v>
      </c>
      <c r="E15" s="2"/>
      <c r="F15" s="21"/>
      <c r="G15" s="2"/>
      <c r="H15" s="2"/>
      <c r="I15" s="2"/>
      <c r="J15" s="21"/>
      <c r="K15" s="2"/>
      <c r="L15" s="2">
        <f t="shared" si="0"/>
        <v>357.65</v>
      </c>
      <c r="M15" s="2"/>
      <c r="N15" s="21">
        <f t="shared" si="1"/>
        <v>0</v>
      </c>
      <c r="O15" s="11"/>
      <c r="P15" s="2">
        <f>--646.4</f>
        <v>646.4</v>
      </c>
      <c r="Q15" s="2"/>
      <c r="R15" s="21"/>
      <c r="S15" s="2"/>
      <c r="T15" s="2"/>
      <c r="U15" s="2"/>
      <c r="V15" s="21"/>
      <c r="W15" s="2"/>
      <c r="X15" s="2">
        <f t="shared" si="2"/>
        <v>646.4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"4051", " - ", "TAXABLE SALES-FOOD")</f>
        <v xml:space="preserve">          4051 - TAXABLE SALES-FOOD</v>
      </c>
      <c r="C16" s="11"/>
      <c r="D16" s="2">
        <f>--41756.26</f>
        <v>41756.26</v>
      </c>
      <c r="E16" s="2"/>
      <c r="F16" s="21"/>
      <c r="G16" s="2"/>
      <c r="H16" s="2"/>
      <c r="I16" s="2"/>
      <c r="J16" s="21"/>
      <c r="K16" s="2"/>
      <c r="L16" s="2">
        <f t="shared" si="0"/>
        <v>41756.26</v>
      </c>
      <c r="M16" s="2"/>
      <c r="N16" s="21">
        <f t="shared" si="1"/>
        <v>0</v>
      </c>
      <c r="O16" s="11"/>
      <c r="P16" s="2">
        <f>--64362.63</f>
        <v>64362.63</v>
      </c>
      <c r="Q16" s="2"/>
      <c r="R16" s="21"/>
      <c r="S16" s="2"/>
      <c r="T16" s="2"/>
      <c r="U16" s="2"/>
      <c r="V16" s="21"/>
      <c r="W16" s="2"/>
      <c r="X16" s="2">
        <f t="shared" si="2"/>
        <v>64362.63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"4052", " - ", "TAXABLE SALES-FOOD")</f>
        <v xml:space="preserve">          4052 - TAXABLE SALES-FOOD</v>
      </c>
      <c r="C17" s="11"/>
      <c r="D17" s="2">
        <f>--95751.36</f>
        <v>95751.360000000001</v>
      </c>
      <c r="E17" s="2"/>
      <c r="F17" s="21"/>
      <c r="G17" s="2"/>
      <c r="H17" s="2"/>
      <c r="I17" s="2"/>
      <c r="J17" s="21"/>
      <c r="K17" s="2"/>
      <c r="L17" s="2">
        <f t="shared" si="0"/>
        <v>95751.360000000001</v>
      </c>
      <c r="M17" s="2"/>
      <c r="N17" s="21">
        <f t="shared" si="1"/>
        <v>0</v>
      </c>
      <c r="O17" s="11"/>
      <c r="P17" s="2">
        <f>--139530.2</f>
        <v>139530.20000000001</v>
      </c>
      <c r="Q17" s="2"/>
      <c r="R17" s="21"/>
      <c r="S17" s="2"/>
      <c r="T17" s="2"/>
      <c r="U17" s="2"/>
      <c r="V17" s="21"/>
      <c r="W17" s="2"/>
      <c r="X17" s="2">
        <f t="shared" si="2"/>
        <v>139530.20000000001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"4053", " - ", "TAXABLE SALES-FOOD")</f>
        <v xml:space="preserve">          4053 - TAXABLE SALES-FOOD</v>
      </c>
      <c r="C18" s="11"/>
      <c r="D18" s="2">
        <f>--19917.63</f>
        <v>19917.63</v>
      </c>
      <c r="E18" s="2"/>
      <c r="F18" s="21"/>
      <c r="G18" s="2"/>
      <c r="H18" s="2"/>
      <c r="I18" s="2"/>
      <c r="J18" s="21"/>
      <c r="K18" s="2"/>
      <c r="L18" s="2">
        <f t="shared" si="0"/>
        <v>19917.63</v>
      </c>
      <c r="M18" s="2"/>
      <c r="N18" s="21">
        <f t="shared" si="1"/>
        <v>0</v>
      </c>
      <c r="O18" s="11"/>
      <c r="P18" s="2">
        <f>--44848.74</f>
        <v>44848.74</v>
      </c>
      <c r="Q18" s="2"/>
      <c r="R18" s="21"/>
      <c r="S18" s="2"/>
      <c r="T18" s="2"/>
      <c r="U18" s="2"/>
      <c r="V18" s="21"/>
      <c r="W18" s="2"/>
      <c r="X18" s="2">
        <f t="shared" si="2"/>
        <v>44848.74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"4055", " - ", "TAXABLE SALES-FOOD")</f>
        <v xml:space="preserve">          4055 - TAXABLE SALES-FOOD</v>
      </c>
      <c r="C19" s="11"/>
      <c r="D19" s="2">
        <f>--29693.44</f>
        <v>29693.439999999999</v>
      </c>
      <c r="E19" s="2"/>
      <c r="F19" s="21"/>
      <c r="G19" s="2"/>
      <c r="H19" s="2"/>
      <c r="I19" s="2"/>
      <c r="J19" s="21"/>
      <c r="K19" s="2"/>
      <c r="L19" s="2">
        <f t="shared" si="0"/>
        <v>29693.439999999999</v>
      </c>
      <c r="M19" s="2"/>
      <c r="N19" s="21">
        <f t="shared" si="1"/>
        <v>0</v>
      </c>
      <c r="O19" s="11"/>
      <c r="P19" s="2">
        <f>--43937.07</f>
        <v>43937.07</v>
      </c>
      <c r="Q19" s="2"/>
      <c r="R19" s="21"/>
      <c r="S19" s="2"/>
      <c r="T19" s="2"/>
      <c r="U19" s="2"/>
      <c r="V19" s="21"/>
      <c r="W19" s="2"/>
      <c r="X19" s="2">
        <f t="shared" si="2"/>
        <v>43937.07</v>
      </c>
      <c r="Y19" s="2"/>
      <c r="Z19" s="21">
        <f t="shared" si="3"/>
        <v>0</v>
      </c>
    </row>
    <row r="20" spans="1:26" s="24" customFormat="1" hidden="1" outlineLevel="1" x14ac:dyDescent="0.25">
      <c r="A20" s="46"/>
      <c r="B20" s="11" t="str">
        <f>CONCATENATE("          ", "4058", " - ", "TAXABLE SALES-FOOD")</f>
        <v xml:space="preserve">          4058 - TAXABLE SALES-FOOD</v>
      </c>
      <c r="C20" s="11"/>
      <c r="D20" s="2">
        <f>--9436.48</f>
        <v>9436.48</v>
      </c>
      <c r="E20" s="2"/>
      <c r="F20" s="21"/>
      <c r="G20" s="2"/>
      <c r="H20" s="2"/>
      <c r="I20" s="2"/>
      <c r="J20" s="21"/>
      <c r="K20" s="2"/>
      <c r="L20" s="2">
        <f t="shared" si="0"/>
        <v>9436.48</v>
      </c>
      <c r="M20" s="2"/>
      <c r="N20" s="21">
        <f t="shared" si="1"/>
        <v>0</v>
      </c>
      <c r="O20" s="11"/>
      <c r="P20" s="2">
        <f>--17838.14</f>
        <v>17838.14</v>
      </c>
      <c r="Q20" s="2"/>
      <c r="R20" s="21"/>
      <c r="S20" s="2"/>
      <c r="T20" s="2"/>
      <c r="U20" s="2"/>
      <c r="V20" s="21"/>
      <c r="W20" s="2"/>
      <c r="X20" s="2">
        <f t="shared" si="2"/>
        <v>17838.14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"4100", " - ", "NON-TAXABLE SALES")</f>
        <v xml:space="preserve">          4100 - NON-TAXABLE SALES</v>
      </c>
      <c r="C21" s="11"/>
      <c r="D21" s="2">
        <f>0</f>
        <v>0</v>
      </c>
      <c r="E21" s="2"/>
      <c r="F21" s="21"/>
      <c r="G21" s="2"/>
      <c r="H21" s="2">
        <v>303777</v>
      </c>
      <c r="I21" s="2"/>
      <c r="J21" s="21"/>
      <c r="K21" s="2"/>
      <c r="L21" s="2">
        <f t="shared" si="0"/>
        <v>-303777</v>
      </c>
      <c r="M21" s="2"/>
      <c r="N21" s="21">
        <f t="shared" si="1"/>
        <v>-1</v>
      </c>
      <c r="O21" s="11"/>
      <c r="P21" s="2">
        <f>0</f>
        <v>0</v>
      </c>
      <c r="Q21" s="2"/>
      <c r="R21" s="21"/>
      <c r="S21" s="2"/>
      <c r="T21" s="2">
        <v>438863</v>
      </c>
      <c r="U21" s="2"/>
      <c r="V21" s="21"/>
      <c r="W21" s="2"/>
      <c r="X21" s="2">
        <f t="shared" si="2"/>
        <v>-438863</v>
      </c>
      <c r="Y21" s="2"/>
      <c r="Z21" s="21">
        <f t="shared" si="3"/>
        <v>-1</v>
      </c>
    </row>
    <row r="22" spans="1:26" s="24" customFormat="1" hidden="1" outlineLevel="1" x14ac:dyDescent="0.25">
      <c r="A22" s="46"/>
      <c r="B22" s="11" t="str">
        <f>CONCATENATE("          ", "4132", " - ", "NON-TAXABLE SALES-JUICE")</f>
        <v xml:space="preserve">          4132 - NON-TAXABLE SALES-JUICE</v>
      </c>
      <c r="C22" s="11"/>
      <c r="D22" s="2">
        <f>--61911.21</f>
        <v>61911.21</v>
      </c>
      <c r="E22" s="2"/>
      <c r="F22" s="21"/>
      <c r="G22" s="2"/>
      <c r="H22" s="2"/>
      <c r="I22" s="2"/>
      <c r="J22" s="21"/>
      <c r="K22" s="2"/>
      <c r="L22" s="2">
        <f t="shared" si="0"/>
        <v>61911.21</v>
      </c>
      <c r="M22" s="2"/>
      <c r="N22" s="21">
        <f t="shared" si="1"/>
        <v>0</v>
      </c>
      <c r="O22" s="11"/>
      <c r="P22" s="2">
        <f>--93998.84</f>
        <v>93998.84</v>
      </c>
      <c r="Q22" s="2"/>
      <c r="R22" s="21"/>
      <c r="S22" s="2"/>
      <c r="T22" s="2"/>
      <c r="U22" s="2"/>
      <c r="V22" s="21"/>
      <c r="W22" s="2"/>
      <c r="X22" s="2">
        <f t="shared" si="2"/>
        <v>93998.84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"4134", " - ", "NON-TAXABLE SALES-SODA")</f>
        <v xml:space="preserve">          4134 - NON-TAXABLE SALES-SODA</v>
      </c>
      <c r="C23" s="11"/>
      <c r="D23" s="2">
        <f>0</f>
        <v>0</v>
      </c>
      <c r="E23" s="2"/>
      <c r="F23" s="21"/>
      <c r="G23" s="2"/>
      <c r="H23" s="2"/>
      <c r="I23" s="2"/>
      <c r="J23" s="21"/>
      <c r="K23" s="2"/>
      <c r="L23" s="2">
        <f t="shared" si="0"/>
        <v>0</v>
      </c>
      <c r="M23" s="2"/>
      <c r="N23" s="21">
        <f t="shared" si="1"/>
        <v>0</v>
      </c>
      <c r="O23" s="11"/>
      <c r="P23" s="2">
        <f>-3.39</f>
        <v>-3.39</v>
      </c>
      <c r="Q23" s="2"/>
      <c r="R23" s="21"/>
      <c r="S23" s="2"/>
      <c r="T23" s="2"/>
      <c r="U23" s="2"/>
      <c r="V23" s="21"/>
      <c r="W23" s="2"/>
      <c r="X23" s="2">
        <f t="shared" si="2"/>
        <v>-3.39</v>
      </c>
      <c r="Y23" s="2"/>
      <c r="Z23" s="21">
        <f t="shared" si="3"/>
        <v>0</v>
      </c>
    </row>
    <row r="24" spans="1:26" s="24" customFormat="1" hidden="1" outlineLevel="1" x14ac:dyDescent="0.25">
      <c r="A24" s="46"/>
      <c r="B24" s="11" t="str">
        <f>CONCATENATE("          ", "4137", " - ", "NON-TAXABLE SALES-WATER")</f>
        <v xml:space="preserve">          4137 - NON-TAXABLE SALES-WATER</v>
      </c>
      <c r="C24" s="11"/>
      <c r="D24" s="2">
        <f>--173.02</f>
        <v>173.02</v>
      </c>
      <c r="E24" s="2"/>
      <c r="F24" s="21"/>
      <c r="G24" s="2"/>
      <c r="H24" s="2"/>
      <c r="I24" s="2"/>
      <c r="J24" s="21"/>
      <c r="K24" s="2"/>
      <c r="L24" s="2">
        <f t="shared" si="0"/>
        <v>173.02</v>
      </c>
      <c r="M24" s="2"/>
      <c r="N24" s="21">
        <f t="shared" si="1"/>
        <v>0</v>
      </c>
      <c r="O24" s="11"/>
      <c r="P24" s="2">
        <f>--383.52</f>
        <v>383.52</v>
      </c>
      <c r="Q24" s="2"/>
      <c r="R24" s="21"/>
      <c r="S24" s="2"/>
      <c r="T24" s="2"/>
      <c r="U24" s="2"/>
      <c r="V24" s="21"/>
      <c r="W24" s="2"/>
      <c r="X24" s="2">
        <f t="shared" si="2"/>
        <v>383.52</v>
      </c>
      <c r="Y24" s="2"/>
      <c r="Z24" s="21">
        <f t="shared" si="3"/>
        <v>0</v>
      </c>
    </row>
    <row r="25" spans="1:26" s="24" customFormat="1" hidden="1" outlineLevel="1" x14ac:dyDescent="0.25">
      <c r="A25" s="46"/>
      <c r="B25" s="11" t="str">
        <f>CONCATENATE("          ", "4151", " - ", "NON-TAXABLE SALES-FOOD")</f>
        <v xml:space="preserve">          4151 - NON-TAXABLE SALES-FOOD</v>
      </c>
      <c r="C25" s="11"/>
      <c r="D25" s="2">
        <f>--119215.75</f>
        <v>119215.75</v>
      </c>
      <c r="E25" s="2"/>
      <c r="F25" s="21"/>
      <c r="G25" s="2"/>
      <c r="H25" s="2"/>
      <c r="I25" s="2"/>
      <c r="J25" s="21"/>
      <c r="K25" s="2"/>
      <c r="L25" s="2">
        <f t="shared" si="0"/>
        <v>119215.75</v>
      </c>
      <c r="M25" s="2"/>
      <c r="N25" s="21">
        <f t="shared" si="1"/>
        <v>0</v>
      </c>
      <c r="O25" s="11"/>
      <c r="P25" s="2">
        <f>--164980.72</f>
        <v>164980.72</v>
      </c>
      <c r="Q25" s="2"/>
      <c r="R25" s="21"/>
      <c r="S25" s="2"/>
      <c r="T25" s="2"/>
      <c r="U25" s="2"/>
      <c r="V25" s="21"/>
      <c r="W25" s="2"/>
      <c r="X25" s="2">
        <f t="shared" si="2"/>
        <v>164980.72</v>
      </c>
      <c r="Y25" s="2"/>
      <c r="Z25" s="21">
        <f t="shared" si="3"/>
        <v>0</v>
      </c>
    </row>
    <row r="26" spans="1:26" s="24" customFormat="1" hidden="1" outlineLevel="1" x14ac:dyDescent="0.25">
      <c r="A26" s="46"/>
      <c r="B26" s="11" t="str">
        <f>CONCATENATE("          ", "4152", " - ", "NON-TAXABLE SALES-FOOD")</f>
        <v xml:space="preserve">          4152 - NON-TAXABLE SALES-FOOD</v>
      </c>
      <c r="C26" s="11"/>
      <c r="D26" s="2">
        <f>--3990.43</f>
        <v>3990.43</v>
      </c>
      <c r="E26" s="2"/>
      <c r="F26" s="21"/>
      <c r="G26" s="2"/>
      <c r="H26" s="2"/>
      <c r="I26" s="2"/>
      <c r="J26" s="21"/>
      <c r="K26" s="2"/>
      <c r="L26" s="2">
        <f t="shared" si="0"/>
        <v>3990.43</v>
      </c>
      <c r="M26" s="2"/>
      <c r="N26" s="21">
        <f t="shared" si="1"/>
        <v>0</v>
      </c>
      <c r="O26" s="11"/>
      <c r="P26" s="2">
        <f>--7657.52</f>
        <v>7657.52</v>
      </c>
      <c r="Q26" s="2"/>
      <c r="R26" s="21"/>
      <c r="S26" s="2"/>
      <c r="T26" s="2"/>
      <c r="U26" s="2"/>
      <c r="V26" s="21"/>
      <c r="W26" s="2"/>
      <c r="X26" s="2">
        <f t="shared" si="2"/>
        <v>7657.52</v>
      </c>
      <c r="Y26" s="2"/>
      <c r="Z26" s="21">
        <f t="shared" si="3"/>
        <v>0</v>
      </c>
    </row>
    <row r="27" spans="1:26" s="24" customFormat="1" hidden="1" outlineLevel="1" x14ac:dyDescent="0.25">
      <c r="A27" s="46"/>
      <c r="B27" s="11" t="str">
        <f>CONCATENATE("          ", "4153", " - ", "NON-TAXABLE SALES-FOOD")</f>
        <v xml:space="preserve">          4153 - NON-TAXABLE SALES-FOOD</v>
      </c>
      <c r="C27" s="11"/>
      <c r="D27" s="2">
        <f>--227.5</f>
        <v>227.5</v>
      </c>
      <c r="E27" s="2"/>
      <c r="F27" s="21"/>
      <c r="G27" s="2"/>
      <c r="H27" s="2"/>
      <c r="I27" s="2"/>
      <c r="J27" s="21"/>
      <c r="K27" s="2"/>
      <c r="L27" s="2">
        <f t="shared" si="0"/>
        <v>227.5</v>
      </c>
      <c r="M27" s="2"/>
      <c r="N27" s="21">
        <f t="shared" si="1"/>
        <v>0</v>
      </c>
      <c r="O27" s="11"/>
      <c r="P27" s="2">
        <f>--464.5</f>
        <v>464.5</v>
      </c>
      <c r="Q27" s="2"/>
      <c r="R27" s="21"/>
      <c r="S27" s="2"/>
      <c r="T27" s="2"/>
      <c r="U27" s="2"/>
      <c r="V27" s="21"/>
      <c r="W27" s="2"/>
      <c r="X27" s="2">
        <f t="shared" si="2"/>
        <v>464.5</v>
      </c>
      <c r="Y27" s="2"/>
      <c r="Z27" s="21">
        <f t="shared" si="3"/>
        <v>0</v>
      </c>
    </row>
    <row r="28" spans="1:26" s="24" customFormat="1" hidden="1" outlineLevel="1" x14ac:dyDescent="0.25">
      <c r="A28" s="46"/>
      <c r="B28" s="11" t="str">
        <f>CONCATENATE("          ", "4155", " - ", "NON-TAXABLE SALES-FOOD")</f>
        <v xml:space="preserve">          4155 - NON-TAXABLE SALES-FOOD</v>
      </c>
      <c r="C28" s="11"/>
      <c r="D28" s="2">
        <f>--45088.39</f>
        <v>45088.39</v>
      </c>
      <c r="E28" s="2"/>
      <c r="F28" s="21"/>
      <c r="G28" s="2"/>
      <c r="H28" s="2"/>
      <c r="I28" s="2"/>
      <c r="J28" s="21"/>
      <c r="K28" s="2"/>
      <c r="L28" s="2">
        <f t="shared" si="0"/>
        <v>45088.39</v>
      </c>
      <c r="M28" s="2"/>
      <c r="N28" s="21">
        <f t="shared" si="1"/>
        <v>0</v>
      </c>
      <c r="O28" s="11"/>
      <c r="P28" s="2">
        <f>--70725.05</f>
        <v>70725.05</v>
      </c>
      <c r="Q28" s="2"/>
      <c r="R28" s="21"/>
      <c r="S28" s="2"/>
      <c r="T28" s="2"/>
      <c r="U28" s="2"/>
      <c r="V28" s="21"/>
      <c r="W28" s="2"/>
      <c r="X28" s="2">
        <f t="shared" si="2"/>
        <v>70725.05</v>
      </c>
      <c r="Y28" s="2"/>
      <c r="Z28" s="21">
        <f t="shared" si="3"/>
        <v>0</v>
      </c>
    </row>
    <row r="29" spans="1:26" s="24" customFormat="1" hidden="1" outlineLevel="1" x14ac:dyDescent="0.25">
      <c r="A29" s="46"/>
      <c r="B29" s="11" t="str">
        <f>CONCATENATE("          ", "4158", " - ", "NON-TAXABLE SALES-FOOD")</f>
        <v xml:space="preserve">          4158 - NON-TAXABLE SALES-FOOD</v>
      </c>
      <c r="C29" s="11"/>
      <c r="D29" s="2">
        <f>--30810.22</f>
        <v>30810.22</v>
      </c>
      <c r="E29" s="2"/>
      <c r="F29" s="21"/>
      <c r="G29" s="2"/>
      <c r="H29" s="2"/>
      <c r="I29" s="2"/>
      <c r="J29" s="21"/>
      <c r="K29" s="2"/>
      <c r="L29" s="2">
        <f t="shared" si="0"/>
        <v>30810.22</v>
      </c>
      <c r="M29" s="2"/>
      <c r="N29" s="21">
        <f t="shared" si="1"/>
        <v>0</v>
      </c>
      <c r="O29" s="11"/>
      <c r="P29" s="2">
        <f>--40369.91</f>
        <v>40369.910000000003</v>
      </c>
      <c r="Q29" s="2"/>
      <c r="R29" s="21"/>
      <c r="S29" s="2"/>
      <c r="T29" s="2"/>
      <c r="U29" s="2"/>
      <c r="V29" s="21"/>
      <c r="W29" s="2"/>
      <c r="X29" s="2">
        <f t="shared" si="2"/>
        <v>40369.910000000003</v>
      </c>
      <c r="Y29" s="2"/>
      <c r="Z29" s="21">
        <f t="shared" si="3"/>
        <v>0</v>
      </c>
    </row>
    <row r="30" spans="1:26" x14ac:dyDescent="0.25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collapsed="1" x14ac:dyDescent="0.25">
      <c r="A31" s="10"/>
      <c r="B31" s="28" t="s">
        <v>8</v>
      </c>
      <c r="C31" s="10"/>
      <c r="D31" s="4">
        <f>SUM(OSRRefD16x_0)</f>
        <v>175036.09</v>
      </c>
      <c r="E31" s="4"/>
      <c r="F31" s="12">
        <f t="shared" ref="F31:F34" si="4">IF(D$12=0,0,D31/D$12)</f>
        <v>0.36756962632764495</v>
      </c>
      <c r="G31" s="4"/>
      <c r="H31" s="4">
        <f>SUM(OSRRefH16x_0)</f>
        <v>209647</v>
      </c>
      <c r="I31" s="4"/>
      <c r="J31" s="12">
        <f t="shared" ref="J31:J34" si="5">IF(H$12=0,0,H31/H$12)</f>
        <v>0.35502520689637657</v>
      </c>
      <c r="K31" s="4"/>
      <c r="L31" s="4">
        <f t="shared" ref="L31:L34" si="6">+D31-H31</f>
        <v>-34610.910000000003</v>
      </c>
      <c r="M31" s="4"/>
      <c r="N31" s="12">
        <f t="shared" ref="N31:N34" si="7">IF(H31=0,0,L31/H31)</f>
        <v>-0.16509136787075418</v>
      </c>
      <c r="O31" s="10"/>
      <c r="P31" s="4">
        <f>SUM(OSRRefP16x_0)</f>
        <v>269923.64</v>
      </c>
      <c r="Q31" s="4"/>
      <c r="R31" s="12">
        <f t="shared" ref="R31:R34" si="8">IF(P$12=0,0,P31/P$12)</f>
        <v>0.37778545661213114</v>
      </c>
      <c r="S31" s="4"/>
      <c r="T31" s="4">
        <f>SUM(OSRRefT16x_0)</f>
        <v>317142</v>
      </c>
      <c r="U31" s="4"/>
      <c r="V31" s="12">
        <f t="shared" ref="V31:V34" si="9">IF(T$12=0,0,T31/T$12)</f>
        <v>0.35229302276704577</v>
      </c>
      <c r="W31" s="4"/>
      <c r="X31" s="4">
        <f t="shared" ref="X31:X34" si="10">+P31-T31</f>
        <v>-47218.359999999986</v>
      </c>
      <c r="Y31" s="4"/>
      <c r="Z31" s="12">
        <f t="shared" ref="Z31:Z34" si="11">IF(T31=0,0,X31/T31)</f>
        <v>-0.14888712311835073</v>
      </c>
    </row>
    <row r="32" spans="1:26" s="24" customFormat="1" hidden="1" outlineLevel="1" x14ac:dyDescent="0.25">
      <c r="A32" s="46"/>
      <c r="B32" s="11" t="str">
        <f>CONCATENATE("          ", "5000", " - ", "PURCHASES @ COST")</f>
        <v xml:space="preserve">          5000 - PURCHASES @ COST</v>
      </c>
      <c r="C32" s="11"/>
      <c r="D32" s="2"/>
      <c r="E32" s="2"/>
      <c r="F32" s="21">
        <f t="shared" si="4"/>
        <v>0</v>
      </c>
      <c r="G32" s="2"/>
      <c r="H32" s="2">
        <v>209647</v>
      </c>
      <c r="I32" s="2"/>
      <c r="J32" s="21">
        <f t="shared" si="5"/>
        <v>0.35502520689637657</v>
      </c>
      <c r="K32" s="2"/>
      <c r="L32" s="2">
        <f t="shared" si="6"/>
        <v>-209647</v>
      </c>
      <c r="M32" s="2"/>
      <c r="N32" s="21">
        <f t="shared" si="7"/>
        <v>-1</v>
      </c>
      <c r="O32" s="11"/>
      <c r="P32" s="2"/>
      <c r="Q32" s="2"/>
      <c r="R32" s="21">
        <f t="shared" si="8"/>
        <v>0</v>
      </c>
      <c r="S32" s="2"/>
      <c r="T32" s="2">
        <v>317142</v>
      </c>
      <c r="U32" s="2"/>
      <c r="V32" s="21">
        <f t="shared" si="9"/>
        <v>0.35229302276704577</v>
      </c>
      <c r="W32" s="2"/>
      <c r="X32" s="2">
        <f t="shared" si="10"/>
        <v>-317142</v>
      </c>
      <c r="Y32" s="2"/>
      <c r="Z32" s="21">
        <f t="shared" si="11"/>
        <v>-1</v>
      </c>
    </row>
    <row r="33" spans="1:26" s="24" customFormat="1" hidden="1" outlineLevel="1" x14ac:dyDescent="0.25">
      <c r="A33" s="46"/>
      <c r="B33" s="11" t="str">
        <f>CONCATENATE("          ", "5053", " - ", "PURCHASES @ COST-FOOD")</f>
        <v xml:space="preserve">          5053 - PURCHASES @ COST-FOOD</v>
      </c>
      <c r="C33" s="11"/>
      <c r="D33" s="2">
        <v>221568.52</v>
      </c>
      <c r="E33" s="2"/>
      <c r="F33" s="21">
        <f t="shared" si="4"/>
        <v>0.46528609101339796</v>
      </c>
      <c r="G33" s="2"/>
      <c r="H33" s="2"/>
      <c r="I33" s="2"/>
      <c r="J33" s="21">
        <f t="shared" si="5"/>
        <v>0</v>
      </c>
      <c r="K33" s="2"/>
      <c r="L33" s="2">
        <f t="shared" si="6"/>
        <v>221568.52</v>
      </c>
      <c r="M33" s="2"/>
      <c r="N33" s="21">
        <f t="shared" si="7"/>
        <v>0</v>
      </c>
      <c r="O33" s="11"/>
      <c r="P33" s="2">
        <v>340988.82</v>
      </c>
      <c r="Q33" s="2"/>
      <c r="R33" s="21">
        <f t="shared" si="8"/>
        <v>0.47724836944008237</v>
      </c>
      <c r="S33" s="2"/>
      <c r="T33" s="2"/>
      <c r="U33" s="2"/>
      <c r="V33" s="21">
        <f t="shared" si="9"/>
        <v>0</v>
      </c>
      <c r="W33" s="2"/>
      <c r="X33" s="2">
        <f t="shared" si="10"/>
        <v>340988.82</v>
      </c>
      <c r="Y33" s="2"/>
      <c r="Z33" s="21">
        <f t="shared" si="11"/>
        <v>0</v>
      </c>
    </row>
    <row r="34" spans="1:26" s="24" customFormat="1" hidden="1" outlineLevel="1" x14ac:dyDescent="0.25">
      <c r="A34" s="46"/>
      <c r="B34" s="11" t="str">
        <f>CONCATENATE("          ", "5059", " - ", "PURCHASES @ COST-FOOD")</f>
        <v xml:space="preserve">          5059 - PURCHASES @ COST-FOOD</v>
      </c>
      <c r="C34" s="11"/>
      <c r="D34" s="2">
        <v>-46532.43</v>
      </c>
      <c r="E34" s="2"/>
      <c r="F34" s="21">
        <f t="shared" si="4"/>
        <v>-9.7716464685753068E-2</v>
      </c>
      <c r="G34" s="2"/>
      <c r="H34" s="2"/>
      <c r="I34" s="2"/>
      <c r="J34" s="21">
        <f t="shared" si="5"/>
        <v>0</v>
      </c>
      <c r="K34" s="2"/>
      <c r="L34" s="2">
        <f t="shared" si="6"/>
        <v>-46532.43</v>
      </c>
      <c r="M34" s="2"/>
      <c r="N34" s="21">
        <f t="shared" si="7"/>
        <v>0</v>
      </c>
      <c r="O34" s="11"/>
      <c r="P34" s="2">
        <v>-71065.180000000008</v>
      </c>
      <c r="Q34" s="2"/>
      <c r="R34" s="21">
        <f t="shared" si="8"/>
        <v>-9.9462912827951236E-2</v>
      </c>
      <c r="S34" s="2"/>
      <c r="T34" s="2"/>
      <c r="U34" s="2"/>
      <c r="V34" s="21">
        <f t="shared" si="9"/>
        <v>0</v>
      </c>
      <c r="W34" s="2"/>
      <c r="X34" s="2">
        <f t="shared" si="10"/>
        <v>-71065.180000000008</v>
      </c>
      <c r="Y34" s="2"/>
      <c r="Z34" s="21">
        <f t="shared" si="11"/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9" t="s">
        <v>6</v>
      </c>
      <c r="C36" s="29"/>
      <c r="D36" s="22">
        <f>D12-D31</f>
        <v>301162.37000000011</v>
      </c>
      <c r="E36" s="14"/>
      <c r="F36" s="20">
        <f>IF(D$12=0,0,D36/D$12)</f>
        <v>0.63243037367235511</v>
      </c>
      <c r="G36" s="14"/>
      <c r="H36" s="22">
        <f>H12-H31</f>
        <v>380866</v>
      </c>
      <c r="I36" s="14"/>
      <c r="J36" s="20">
        <f>IF(H$12=0,0,H36/H$12)</f>
        <v>0.64497479310362349</v>
      </c>
      <c r="K36" s="15"/>
      <c r="L36" s="22">
        <f>+D36-H36</f>
        <v>-79703.629999999888</v>
      </c>
      <c r="M36" s="15"/>
      <c r="N36" s="20">
        <f>IF(H36=0,0,L36/H36)</f>
        <v>-0.20926948060472683</v>
      </c>
      <c r="O36" s="28"/>
      <c r="P36" s="22">
        <f>P12-P31</f>
        <v>444565.59000000008</v>
      </c>
      <c r="Q36" s="14"/>
      <c r="R36" s="20">
        <f>IF(P$12=0,0,P36/P$12)</f>
        <v>0.62221454338786886</v>
      </c>
      <c r="S36" s="14"/>
      <c r="T36" s="22">
        <f>T12-T31</f>
        <v>583080.19999999995</v>
      </c>
      <c r="U36" s="14"/>
      <c r="V36" s="20">
        <f>IF(T$12=0,0,T36/T$12)</f>
        <v>0.64770697723295423</v>
      </c>
      <c r="W36" s="15"/>
      <c r="X36" s="22">
        <f>+P36-T36</f>
        <v>-138514.60999999987</v>
      </c>
      <c r="Y36" s="15"/>
      <c r="Z36" s="20">
        <f>IF(T36=0,0,X36/T36)</f>
        <v>-0.23755670317736716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6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8" t="s">
        <v>9</v>
      </c>
      <c r="C38" s="10"/>
      <c r="D38" s="19">
        <f>SUM(OSRRefD22x_0)</f>
        <v>478654.29000000004</v>
      </c>
      <c r="E38" s="19"/>
      <c r="F38" s="34">
        <f t="shared" ref="F38:F49" si="12">IF(D$12=0,0,D38/D$12)</f>
        <v>1.0051571565351134</v>
      </c>
      <c r="G38" s="19"/>
      <c r="H38" s="19">
        <f>SUM(OSRRefH22x_0)</f>
        <v>536043.94871186046</v>
      </c>
      <c r="I38" s="19"/>
      <c r="J38" s="34">
        <f t="shared" ref="J38:J49" si="13">IF(H$12=0,0,H38/H$12)</f>
        <v>0.90775977618081305</v>
      </c>
      <c r="K38" s="4"/>
      <c r="L38" s="19">
        <f t="shared" ref="L38:L49" si="14">+D38-H38</f>
        <v>-57389.658711860422</v>
      </c>
      <c r="M38" s="4"/>
      <c r="N38" s="34">
        <f t="shared" ref="N38:N49" si="15">IF(H38=0,0,L38/H38)</f>
        <v>-0.10706148040616921</v>
      </c>
      <c r="O38" s="10"/>
      <c r="P38" s="19">
        <f>SUM(OSRRefP22x_0)</f>
        <v>967137.92999999982</v>
      </c>
      <c r="Q38" s="19"/>
      <c r="R38" s="34">
        <f t="shared" ref="R38:R49" si="16">IF(P$12=0,0,P38/P$12)</f>
        <v>1.3536074294639817</v>
      </c>
      <c r="S38" s="19"/>
      <c r="T38" s="19">
        <f>SUM(OSRRefT22x_0)</f>
        <v>1016888.5575074662</v>
      </c>
      <c r="U38" s="19"/>
      <c r="V38" s="34">
        <f t="shared" ref="V38:V49" si="17">IF(T$12=0,0,T38/T$12)</f>
        <v>1.1295972899884787</v>
      </c>
      <c r="W38" s="4"/>
      <c r="X38" s="19">
        <f t="shared" ref="X38:X49" si="18">+P38-T38</f>
        <v>-49750.627507466357</v>
      </c>
      <c r="Y38" s="4"/>
      <c r="Z38" s="34">
        <f t="shared" ref="Z38:Z49" si="19">IF(T38=0,0,X38/T38)</f>
        <v>-4.8924365546419359E-2</v>
      </c>
    </row>
    <row r="39" spans="1:26" s="26" customFormat="1" outlineLevel="1" collapsed="1" x14ac:dyDescent="0.25">
      <c r="A39" s="25"/>
      <c r="B39" s="13" t="str">
        <f>CONCATENATE("     ","*Benefits                                         ")</f>
        <v xml:space="preserve">     *Benefits                                         </v>
      </c>
      <c r="C39" s="13"/>
      <c r="D39" s="1">
        <f>SUM(OSRRefD22_0x_0)</f>
        <v>71962.909999999989</v>
      </c>
      <c r="E39" s="1"/>
      <c r="F39" s="5">
        <f t="shared" si="12"/>
        <v>0.15111957732916645</v>
      </c>
      <c r="G39" s="1"/>
      <c r="H39" s="1">
        <f>SUM(OSRRefH22_0x_0)</f>
        <v>83526.495377245068</v>
      </c>
      <c r="I39" s="1"/>
      <c r="J39" s="5">
        <f t="shared" si="13"/>
        <v>0.14144734388107472</v>
      </c>
      <c r="K39" s="1"/>
      <c r="L39" s="1">
        <f t="shared" si="14"/>
        <v>-11563.585377245079</v>
      </c>
      <c r="M39" s="1"/>
      <c r="N39" s="5">
        <f t="shared" si="15"/>
        <v>-0.13844212336478948</v>
      </c>
      <c r="O39" s="13"/>
      <c r="P39" s="1">
        <f>SUM(OSRRefP22_0x_0)</f>
        <v>152595.14000000001</v>
      </c>
      <c r="Q39" s="1"/>
      <c r="R39" s="5">
        <f t="shared" si="16"/>
        <v>0.21357234454044885</v>
      </c>
      <c r="S39" s="1"/>
      <c r="T39" s="1">
        <f>SUM(OSRRefT22_0x_0)</f>
        <v>160123.67269208163</v>
      </c>
      <c r="U39" s="1"/>
      <c r="V39" s="5">
        <f t="shared" si="17"/>
        <v>0.17787127743803879</v>
      </c>
      <c r="W39" s="1"/>
      <c r="X39" s="1">
        <f t="shared" si="18"/>
        <v>-7528.5326920816151</v>
      </c>
      <c r="Y39" s="1"/>
      <c r="Z39" s="5">
        <f t="shared" si="19"/>
        <v>-4.7016987341771815E-2</v>
      </c>
    </row>
    <row r="40" spans="1:26" s="24" customFormat="1" hidden="1" outlineLevel="2" x14ac:dyDescent="0.25">
      <c r="A40" s="27"/>
      <c r="B40" s="11" t="str">
        <f>CONCATENATE("          ", "6111", " - ", "F.I.C.A.")</f>
        <v xml:space="preserve">          6111 - F.I.C.A.</v>
      </c>
      <c r="C40" s="11"/>
      <c r="D40" s="6">
        <v>15316.22</v>
      </c>
      <c r="E40" s="2"/>
      <c r="F40" s="7">
        <f t="shared" si="12"/>
        <v>3.2163522746377626E-2</v>
      </c>
      <c r="G40" s="2"/>
      <c r="H40" s="6">
        <v>14467.495641761998</v>
      </c>
      <c r="I40" s="2"/>
      <c r="J40" s="7">
        <f t="shared" si="13"/>
        <v>2.4499876618739973E-2</v>
      </c>
      <c r="K40" s="2"/>
      <c r="L40" s="6">
        <f t="shared" si="14"/>
        <v>848.72435823800151</v>
      </c>
      <c r="M40" s="2"/>
      <c r="N40" s="7">
        <f t="shared" si="15"/>
        <v>5.8664220764516176E-2</v>
      </c>
      <c r="O40" s="11"/>
      <c r="P40" s="6">
        <v>27979.82</v>
      </c>
      <c r="Q40" s="2"/>
      <c r="R40" s="7">
        <f t="shared" si="16"/>
        <v>3.9160590286294442E-2</v>
      </c>
      <c r="S40" s="2"/>
      <c r="T40" s="6">
        <v>29608.541923137003</v>
      </c>
      <c r="U40" s="2"/>
      <c r="V40" s="7">
        <f t="shared" si="17"/>
        <v>3.2890259674930263E-2</v>
      </c>
      <c r="W40" s="2"/>
      <c r="X40" s="6">
        <f t="shared" si="18"/>
        <v>-1628.7219231370036</v>
      </c>
      <c r="Y40" s="2"/>
      <c r="Z40" s="7">
        <f t="shared" si="19"/>
        <v>-5.5008515021277404E-2</v>
      </c>
    </row>
    <row r="41" spans="1:26" s="24" customFormat="1" hidden="1" outlineLevel="2" x14ac:dyDescent="0.25">
      <c r="A41" s="27"/>
      <c r="B41" s="11" t="str">
        <f>CONCATENATE("          ", "6112", " - ", "COMPENSATION INSURANCE")</f>
        <v xml:space="preserve">          6112 - COMPENSATION INSURANCE</v>
      </c>
      <c r="C41" s="11"/>
      <c r="D41" s="6">
        <v>7030.48</v>
      </c>
      <c r="E41" s="2"/>
      <c r="F41" s="7">
        <f t="shared" si="12"/>
        <v>1.4763760470791943E-2</v>
      </c>
      <c r="G41" s="2"/>
      <c r="H41" s="6">
        <v>8628.7839879046114</v>
      </c>
      <c r="I41" s="2"/>
      <c r="J41" s="7">
        <f t="shared" si="13"/>
        <v>1.4612352290135206E-2</v>
      </c>
      <c r="K41" s="2"/>
      <c r="L41" s="6">
        <f t="shared" si="14"/>
        <v>-1598.3039879046119</v>
      </c>
      <c r="M41" s="2"/>
      <c r="N41" s="7">
        <f t="shared" si="15"/>
        <v>-0.18522934287670578</v>
      </c>
      <c r="O41" s="11"/>
      <c r="P41" s="6">
        <v>12676.87</v>
      </c>
      <c r="Q41" s="2"/>
      <c r="R41" s="7">
        <f t="shared" si="16"/>
        <v>1.7742562753535137E-2</v>
      </c>
      <c r="S41" s="2"/>
      <c r="T41" s="6">
        <v>15773.788649635384</v>
      </c>
      <c r="U41" s="2"/>
      <c r="V41" s="7">
        <f t="shared" si="17"/>
        <v>1.7522105819691387E-2</v>
      </c>
      <c r="W41" s="2"/>
      <c r="X41" s="6">
        <f t="shared" si="18"/>
        <v>-3096.9186496353832</v>
      </c>
      <c r="Y41" s="2"/>
      <c r="Z41" s="7">
        <f t="shared" si="19"/>
        <v>-0.19633321571777046</v>
      </c>
    </row>
    <row r="42" spans="1:26" s="24" customFormat="1" hidden="1" outlineLevel="2" x14ac:dyDescent="0.25">
      <c r="A42" s="27"/>
      <c r="B42" s="11" t="str">
        <f>CONCATENATE("          ", "6113", " - ", "GROUP INSURANCE")</f>
        <v xml:space="preserve">          6113 - GROUP INSURANCE</v>
      </c>
      <c r="C42" s="11"/>
      <c r="D42" s="6">
        <v>26980.649999999998</v>
      </c>
      <c r="E42" s="2"/>
      <c r="F42" s="7">
        <f t="shared" si="12"/>
        <v>5.6658415065013006E-2</v>
      </c>
      <c r="G42" s="2"/>
      <c r="H42" s="6">
        <v>27840.153846153848</v>
      </c>
      <c r="I42" s="2"/>
      <c r="J42" s="7">
        <f t="shared" si="13"/>
        <v>4.7145708640036456E-2</v>
      </c>
      <c r="K42" s="2"/>
      <c r="L42" s="6">
        <f t="shared" si="14"/>
        <v>-859.50384615384974</v>
      </c>
      <c r="M42" s="2"/>
      <c r="N42" s="7">
        <f t="shared" si="15"/>
        <v>-3.0872812373937054E-2</v>
      </c>
      <c r="O42" s="11"/>
      <c r="P42" s="6">
        <v>54429.03</v>
      </c>
      <c r="Q42" s="2"/>
      <c r="R42" s="7">
        <f t="shared" si="16"/>
        <v>7.6178936944927764E-2</v>
      </c>
      <c r="S42" s="2"/>
      <c r="T42" s="6">
        <v>55314.653846153858</v>
      </c>
      <c r="U42" s="2"/>
      <c r="V42" s="7">
        <f t="shared" si="17"/>
        <v>6.1445556270611698E-2</v>
      </c>
      <c r="W42" s="2"/>
      <c r="X42" s="6">
        <f t="shared" si="18"/>
        <v>-885.62384615385963</v>
      </c>
      <c r="Y42" s="2"/>
      <c r="Z42" s="7">
        <f t="shared" si="19"/>
        <v>-1.6010655126163082E-2</v>
      </c>
    </row>
    <row r="43" spans="1:26" s="24" customFormat="1" hidden="1" outlineLevel="2" x14ac:dyDescent="0.25">
      <c r="A43" s="27"/>
      <c r="B43" s="11" t="str">
        <f>CONCATENATE("          ", "6114", " - ", "STATE UNEMPLOYMENT INSURANCE")</f>
        <v xml:space="preserve">          6114 - STATE UNEMPLOYMENT INSURANCE</v>
      </c>
      <c r="C43" s="11"/>
      <c r="D43" s="6">
        <v>523.86</v>
      </c>
      <c r="E43" s="2"/>
      <c r="F43" s="7">
        <f t="shared" si="12"/>
        <v>1.1000875559320372E-3</v>
      </c>
      <c r="G43" s="2"/>
      <c r="H43" s="6">
        <v>670.85838404000003</v>
      </c>
      <c r="I43" s="2"/>
      <c r="J43" s="7">
        <f t="shared" si="13"/>
        <v>1.1360603137272169E-3</v>
      </c>
      <c r="K43" s="2"/>
      <c r="L43" s="6">
        <f t="shared" si="14"/>
        <v>-146.99838404000002</v>
      </c>
      <c r="M43" s="2"/>
      <c r="N43" s="7">
        <f t="shared" si="15"/>
        <v>-0.2191198433785024</v>
      </c>
      <c r="O43" s="11"/>
      <c r="P43" s="6">
        <v>951.74</v>
      </c>
      <c r="Q43" s="2"/>
      <c r="R43" s="7">
        <f t="shared" si="16"/>
        <v>1.3320564678070794E-3</v>
      </c>
      <c r="S43" s="2"/>
      <c r="T43" s="6">
        <v>1249.79931154</v>
      </c>
      <c r="U43" s="2"/>
      <c r="V43" s="7">
        <f t="shared" si="17"/>
        <v>1.3883231401536199E-3</v>
      </c>
      <c r="W43" s="2"/>
      <c r="X43" s="6">
        <f t="shared" si="18"/>
        <v>-298.05931153999995</v>
      </c>
      <c r="Y43" s="2"/>
      <c r="Z43" s="7">
        <f t="shared" si="19"/>
        <v>-0.23848573830044115</v>
      </c>
    </row>
    <row r="44" spans="1:26" s="24" customFormat="1" hidden="1" outlineLevel="2" x14ac:dyDescent="0.25">
      <c r="A44" s="27"/>
      <c r="B44" s="11" t="str">
        <f>CONCATENATE("          ", "6115", " - ", "P.E.R.S.")</f>
        <v xml:space="preserve">          6115 - P.E.R.S.</v>
      </c>
      <c r="C44" s="11"/>
      <c r="D44" s="6">
        <v>7277.48</v>
      </c>
      <c r="E44" s="2"/>
      <c r="F44" s="7">
        <f t="shared" si="12"/>
        <v>1.5282451774413546E-2</v>
      </c>
      <c r="G44" s="2"/>
      <c r="H44" s="6">
        <v>8289.5649400000057</v>
      </c>
      <c r="I44" s="2"/>
      <c r="J44" s="7">
        <f t="shared" si="13"/>
        <v>1.4037904229034764E-2</v>
      </c>
      <c r="K44" s="2"/>
      <c r="L44" s="6">
        <f t="shared" si="14"/>
        <v>-1012.0849400000061</v>
      </c>
      <c r="M44" s="2"/>
      <c r="N44" s="7">
        <f t="shared" si="15"/>
        <v>-0.12209144235258328</v>
      </c>
      <c r="O44" s="11"/>
      <c r="P44" s="6">
        <v>14554.96</v>
      </c>
      <c r="Q44" s="2"/>
      <c r="R44" s="7">
        <f t="shared" si="16"/>
        <v>2.0371139814101883E-2</v>
      </c>
      <c r="S44" s="2"/>
      <c r="T44" s="6">
        <v>18651.52111500001</v>
      </c>
      <c r="U44" s="2"/>
      <c r="V44" s="7">
        <f t="shared" si="17"/>
        <v>2.0718797109202606E-2</v>
      </c>
      <c r="W44" s="2"/>
      <c r="X44" s="6">
        <f t="shared" si="18"/>
        <v>-4096.5611150000113</v>
      </c>
      <c r="Y44" s="2"/>
      <c r="Z44" s="7">
        <f t="shared" si="19"/>
        <v>-0.21963683764674058</v>
      </c>
    </row>
    <row r="45" spans="1:26" s="24" customFormat="1" hidden="1" outlineLevel="2" x14ac:dyDescent="0.25">
      <c r="A45" s="27"/>
      <c r="B45" s="11" t="str">
        <f>CONCATENATE("          ", "6116", " - ", "EDUCATIONAL BENEFITS")</f>
        <v xml:space="preserve">          6116 - EDUCATIONAL BENEFITS</v>
      </c>
      <c r="C45" s="11"/>
      <c r="D45" s="6"/>
      <c r="E45" s="2"/>
      <c r="F45" s="7">
        <f t="shared" si="12"/>
        <v>0</v>
      </c>
      <c r="G45" s="2"/>
      <c r="H45" s="6">
        <v>8000</v>
      </c>
      <c r="I45" s="2"/>
      <c r="J45" s="7">
        <f t="shared" si="13"/>
        <v>1.3547542560451676E-2</v>
      </c>
      <c r="K45" s="2"/>
      <c r="L45" s="6">
        <f t="shared" si="14"/>
        <v>-8000</v>
      </c>
      <c r="M45" s="2"/>
      <c r="N45" s="7">
        <f t="shared" si="15"/>
        <v>-1</v>
      </c>
      <c r="O45" s="11"/>
      <c r="P45" s="6"/>
      <c r="Q45" s="2"/>
      <c r="R45" s="7">
        <f t="shared" si="16"/>
        <v>0</v>
      </c>
      <c r="S45" s="2"/>
      <c r="T45" s="6">
        <v>8000</v>
      </c>
      <c r="U45" s="2"/>
      <c r="V45" s="7">
        <f t="shared" si="17"/>
        <v>8.8866948626683505E-3</v>
      </c>
      <c r="W45" s="2"/>
      <c r="X45" s="6">
        <f t="shared" si="18"/>
        <v>-8000</v>
      </c>
      <c r="Y45" s="2"/>
      <c r="Z45" s="7">
        <f t="shared" si="19"/>
        <v>-1</v>
      </c>
    </row>
    <row r="46" spans="1:26" s="24" customFormat="1" hidden="1" outlineLevel="2" x14ac:dyDescent="0.25">
      <c r="A46" s="27"/>
      <c r="B46" s="11" t="str">
        <f>CONCATENATE("          ", "6117", " - ", "RETIREMENT STAFF HOURLY")</f>
        <v xml:space="preserve">          6117 - RETIREMENT STAFF HOURLY</v>
      </c>
      <c r="C46" s="11"/>
      <c r="D46" s="6">
        <v>56</v>
      </c>
      <c r="E46" s="2"/>
      <c r="F46" s="7">
        <f t="shared" si="12"/>
        <v>1.1759802835145663E-4</v>
      </c>
      <c r="G46" s="2"/>
      <c r="H46" s="6"/>
      <c r="I46" s="2"/>
      <c r="J46" s="7">
        <f t="shared" si="13"/>
        <v>0</v>
      </c>
      <c r="K46" s="2"/>
      <c r="L46" s="6">
        <f t="shared" si="14"/>
        <v>56</v>
      </c>
      <c r="M46" s="2"/>
      <c r="N46" s="7">
        <f t="shared" si="15"/>
        <v>0</v>
      </c>
      <c r="O46" s="11"/>
      <c r="P46" s="6">
        <v>112</v>
      </c>
      <c r="Q46" s="2"/>
      <c r="R46" s="7">
        <f t="shared" si="16"/>
        <v>1.5675533695588384E-4</v>
      </c>
      <c r="S46" s="2"/>
      <c r="T46" s="6"/>
      <c r="U46" s="2"/>
      <c r="V46" s="7">
        <f t="shared" si="17"/>
        <v>0</v>
      </c>
      <c r="W46" s="2"/>
      <c r="X46" s="6">
        <f t="shared" si="18"/>
        <v>112</v>
      </c>
      <c r="Y46" s="2"/>
      <c r="Z46" s="7">
        <f t="shared" si="19"/>
        <v>0</v>
      </c>
    </row>
    <row r="47" spans="1:26" s="24" customFormat="1" hidden="1" outlineLevel="2" x14ac:dyDescent="0.25">
      <c r="A47" s="27"/>
      <c r="B47" s="11" t="str">
        <f>CONCATENATE("          ", "6118", " - ", "VACATION")</f>
        <v xml:space="preserve">          6118 - VACATION</v>
      </c>
      <c r="C47" s="11"/>
      <c r="D47" s="6">
        <v>6648.86</v>
      </c>
      <c r="E47" s="2"/>
      <c r="F47" s="7">
        <f t="shared" si="12"/>
        <v>1.3962371906872606E-2</v>
      </c>
      <c r="G47" s="2"/>
      <c r="H47" s="6">
        <v>5866.2704999999969</v>
      </c>
      <c r="I47" s="2"/>
      <c r="J47" s="7">
        <f t="shared" si="13"/>
        <v>9.9341936587340109E-3</v>
      </c>
      <c r="K47" s="2"/>
      <c r="L47" s="6">
        <f t="shared" si="14"/>
        <v>782.58950000000277</v>
      </c>
      <c r="M47" s="2"/>
      <c r="N47" s="7">
        <f t="shared" si="15"/>
        <v>0.13340494612377715</v>
      </c>
      <c r="O47" s="11"/>
      <c r="P47" s="6">
        <v>16532.43</v>
      </c>
      <c r="Q47" s="2"/>
      <c r="R47" s="7">
        <f t="shared" si="16"/>
        <v>2.3138809244192524E-2</v>
      </c>
      <c r="S47" s="2"/>
      <c r="T47" s="6">
        <v>13038.964624999995</v>
      </c>
      <c r="U47" s="2"/>
      <c r="V47" s="7">
        <f t="shared" si="17"/>
        <v>1.4484162493437727E-2</v>
      </c>
      <c r="W47" s="2"/>
      <c r="X47" s="6">
        <f t="shared" si="18"/>
        <v>3493.4653750000052</v>
      </c>
      <c r="Y47" s="2"/>
      <c r="Z47" s="7">
        <f t="shared" si="19"/>
        <v>0.26792505965557112</v>
      </c>
    </row>
    <row r="48" spans="1:26" s="24" customFormat="1" hidden="1" outlineLevel="2" x14ac:dyDescent="0.25">
      <c r="A48" s="27"/>
      <c r="B48" s="11" t="str">
        <f>CONCATENATE("          ", "6119", " - ", "SICK LEAVE")</f>
        <v xml:space="preserve">          6119 - SICK LEAVE</v>
      </c>
      <c r="C48" s="11"/>
      <c r="D48" s="6">
        <v>4832.92</v>
      </c>
      <c r="E48" s="2"/>
      <c r="F48" s="7">
        <f t="shared" si="12"/>
        <v>1.0148961842505747E-2</v>
      </c>
      <c r="G48" s="2"/>
      <c r="H48" s="6">
        <v>8038.3680773846172</v>
      </c>
      <c r="I48" s="2"/>
      <c r="J48" s="7">
        <f t="shared" si="13"/>
        <v>1.3612516705618026E-2</v>
      </c>
      <c r="K48" s="2"/>
      <c r="L48" s="6">
        <f t="shared" si="14"/>
        <v>-3205.4480773846171</v>
      </c>
      <c r="M48" s="2"/>
      <c r="N48" s="7">
        <f t="shared" si="15"/>
        <v>-0.39876851203205282</v>
      </c>
      <c r="O48" s="11"/>
      <c r="P48" s="6">
        <v>19416.34</v>
      </c>
      <c r="Q48" s="2"/>
      <c r="R48" s="7">
        <f t="shared" si="16"/>
        <v>2.7175133206696477E-2</v>
      </c>
      <c r="S48" s="2"/>
      <c r="T48" s="6">
        <v>14911.403221615385</v>
      </c>
      <c r="U48" s="2"/>
      <c r="V48" s="7">
        <f t="shared" si="17"/>
        <v>1.6564136300588218E-2</v>
      </c>
      <c r="W48" s="2"/>
      <c r="X48" s="6">
        <f t="shared" si="18"/>
        <v>4504.9367783846155</v>
      </c>
      <c r="Y48" s="2"/>
      <c r="Z48" s="7">
        <f t="shared" si="19"/>
        <v>0.30211353763503057</v>
      </c>
    </row>
    <row r="49" spans="1:26" s="24" customFormat="1" hidden="1" outlineLevel="2" x14ac:dyDescent="0.25">
      <c r="A49" s="27"/>
      <c r="B49" s="11" t="str">
        <f>CONCATENATE("          ", "6156", " - ", "EMPLOYEE MEALS")</f>
        <v xml:space="preserve">          6156 - EMPLOYEE MEALS</v>
      </c>
      <c r="C49" s="11"/>
      <c r="D49" s="6">
        <v>3296.44</v>
      </c>
      <c r="E49" s="2"/>
      <c r="F49" s="7">
        <f t="shared" si="12"/>
        <v>6.9224079389084954E-3</v>
      </c>
      <c r="G49" s="2"/>
      <c r="H49" s="6">
        <v>1725</v>
      </c>
      <c r="I49" s="2"/>
      <c r="J49" s="7">
        <f t="shared" si="13"/>
        <v>2.9211888645973923E-3</v>
      </c>
      <c r="K49" s="2"/>
      <c r="L49" s="6">
        <f t="shared" si="14"/>
        <v>1571.44</v>
      </c>
      <c r="M49" s="2"/>
      <c r="N49" s="7">
        <f t="shared" si="15"/>
        <v>0.91097971014492751</v>
      </c>
      <c r="O49" s="11"/>
      <c r="P49" s="6">
        <v>5941.95</v>
      </c>
      <c r="Q49" s="2"/>
      <c r="R49" s="7">
        <f t="shared" si="16"/>
        <v>8.3163604859376235E-3</v>
      </c>
      <c r="S49" s="2"/>
      <c r="T49" s="6">
        <v>3575</v>
      </c>
      <c r="U49" s="2"/>
      <c r="V49" s="7">
        <f t="shared" si="17"/>
        <v>3.9712417667549195E-3</v>
      </c>
      <c r="W49" s="2"/>
      <c r="X49" s="6">
        <f t="shared" si="18"/>
        <v>2366.9499999999998</v>
      </c>
      <c r="Y49" s="2"/>
      <c r="Z49" s="7">
        <f t="shared" si="19"/>
        <v>0.66208391608391604</v>
      </c>
    </row>
    <row r="50" spans="1:26" s="26" customFormat="1" outlineLevel="1" collapsed="1" x14ac:dyDescent="0.25">
      <c r="A50" s="25"/>
      <c r="B50" s="13" t="str">
        <f>CONCATENATE("     ","*Payroll                                          ")</f>
        <v xml:space="preserve">     *Payroll                                          </v>
      </c>
      <c r="C50" s="13"/>
      <c r="D50" s="1">
        <f>SUM(OSRRefD22_1x_0)</f>
        <v>226050.38999999998</v>
      </c>
      <c r="E50" s="1"/>
      <c r="F50" s="5">
        <f t="shared" ref="F50:F60" si="20">IF(D$12=0,0,D50/D$12)</f>
        <v>0.4746978602156755</v>
      </c>
      <c r="G50" s="1"/>
      <c r="H50" s="1">
        <f>SUM(OSRRefH22_1x_0)</f>
        <v>242305.0233346154</v>
      </c>
      <c r="I50" s="1"/>
      <c r="J50" s="5">
        <f t="shared" ref="J50:J60" si="21">IF(H$12=0,0,H50/H$12)</f>
        <v>0.41032970202961727</v>
      </c>
      <c r="K50" s="1"/>
      <c r="L50" s="1">
        <f t="shared" ref="L50:L60" si="22">+D50-H50</f>
        <v>-16254.633334615413</v>
      </c>
      <c r="M50" s="1"/>
      <c r="N50" s="5">
        <f t="shared" ref="N50:N60" si="23">IF(H50=0,0,L50/H50)</f>
        <v>-6.7083352672256777E-2</v>
      </c>
      <c r="O50" s="13"/>
      <c r="P50" s="1">
        <f>SUM(OSRRefP22_1x_0)</f>
        <v>424174.23000000004</v>
      </c>
      <c r="Q50" s="1"/>
      <c r="R50" s="5">
        <f t="shared" ref="R50:R60" si="24">IF(P$12=0,0,P50/P$12)</f>
        <v>0.59367477099689803</v>
      </c>
      <c r="S50" s="1"/>
      <c r="T50" s="1">
        <f>SUM(OSRRefT22_1x_0)</f>
        <v>446543.55481538462</v>
      </c>
      <c r="U50" s="1"/>
      <c r="V50" s="5">
        <f t="shared" ref="V50:V60" si="25">IF(T$12=0,0,T50/T$12)</f>
        <v>0.49603703931694271</v>
      </c>
      <c r="W50" s="1"/>
      <c r="X50" s="1">
        <f t="shared" ref="X50:X60" si="26">+P50-T50</f>
        <v>-22369.324815384578</v>
      </c>
      <c r="Y50" s="1"/>
      <c r="Z50" s="5">
        <f t="shared" ref="Z50:Z60" si="27">IF(T50=0,0,X50/T50)</f>
        <v>-5.0094385137039482E-2</v>
      </c>
    </row>
    <row r="51" spans="1:26" s="24" customFormat="1" hidden="1" outlineLevel="2" x14ac:dyDescent="0.25">
      <c r="A51" s="27"/>
      <c r="B51" s="11" t="str">
        <f>CONCATENATE("          ", "6001", " - ", "ADMINISTRATIVE SALARIES")</f>
        <v xml:space="preserve">          6001 - ADMINISTRATIVE SALARIES</v>
      </c>
      <c r="C51" s="11"/>
      <c r="D51" s="6">
        <v>15056.230000000001</v>
      </c>
      <c r="E51" s="2"/>
      <c r="F51" s="7">
        <f t="shared" si="20"/>
        <v>3.1617552900108072E-2</v>
      </c>
      <c r="G51" s="2"/>
      <c r="H51" s="6">
        <v>33015.773538461544</v>
      </c>
      <c r="I51" s="2"/>
      <c r="J51" s="7">
        <f t="shared" si="21"/>
        <v>5.5910324647317745E-2</v>
      </c>
      <c r="K51" s="2"/>
      <c r="L51" s="6">
        <f t="shared" si="22"/>
        <v>-17959.543538461541</v>
      </c>
      <c r="M51" s="2"/>
      <c r="N51" s="7">
        <f t="shared" si="23"/>
        <v>-0.54396858270001369</v>
      </c>
      <c r="O51" s="11"/>
      <c r="P51" s="6">
        <v>35482.899999999994</v>
      </c>
      <c r="Q51" s="2"/>
      <c r="R51" s="7">
        <f t="shared" si="24"/>
        <v>4.9661910229213659E-2</v>
      </c>
      <c r="S51" s="2"/>
      <c r="T51" s="6">
        <v>74285.490461538458</v>
      </c>
      <c r="U51" s="2"/>
      <c r="V51" s="7">
        <f t="shared" si="25"/>
        <v>8.2519060806919078E-2</v>
      </c>
      <c r="W51" s="2"/>
      <c r="X51" s="6">
        <f t="shared" si="26"/>
        <v>-38802.590461538464</v>
      </c>
      <c r="Y51" s="2"/>
      <c r="Z51" s="7">
        <f t="shared" si="27"/>
        <v>-0.52234413773748489</v>
      </c>
    </row>
    <row r="52" spans="1:26" s="24" customFormat="1" hidden="1" outlineLevel="2" x14ac:dyDescent="0.25">
      <c r="A52" s="27"/>
      <c r="B52" s="11" t="str">
        <f>CONCATENATE("          ", "6002", " - ", "STAFF SALARIES")</f>
        <v xml:space="preserve">          6002 - STAFF SALARIES</v>
      </c>
      <c r="C52" s="11"/>
      <c r="D52" s="6">
        <v>65738.720000000001</v>
      </c>
      <c r="E52" s="2"/>
      <c r="F52" s="7">
        <f t="shared" si="20"/>
        <v>0.13804899747050839</v>
      </c>
      <c r="G52" s="2"/>
      <c r="H52" s="6">
        <v>54927.481646153872</v>
      </c>
      <c r="I52" s="2"/>
      <c r="J52" s="7">
        <f t="shared" si="21"/>
        <v>9.3016549417462221E-2</v>
      </c>
      <c r="K52" s="2"/>
      <c r="L52" s="6">
        <f t="shared" si="22"/>
        <v>10811.238353846129</v>
      </c>
      <c r="M52" s="2"/>
      <c r="N52" s="7">
        <f t="shared" si="23"/>
        <v>0.19682749017136403</v>
      </c>
      <c r="O52" s="11"/>
      <c r="P52" s="6">
        <v>143049.07</v>
      </c>
      <c r="Q52" s="2"/>
      <c r="R52" s="7">
        <f t="shared" si="24"/>
        <v>0.20021165329531979</v>
      </c>
      <c r="S52" s="2"/>
      <c r="T52" s="6">
        <v>123586.83370384618</v>
      </c>
      <c r="U52" s="2"/>
      <c r="V52" s="7">
        <f t="shared" si="25"/>
        <v>0.13728481002117721</v>
      </c>
      <c r="W52" s="2"/>
      <c r="X52" s="6">
        <f t="shared" si="26"/>
        <v>19462.236296153831</v>
      </c>
      <c r="Y52" s="2"/>
      <c r="Z52" s="7">
        <f t="shared" si="27"/>
        <v>0.15747823382862622</v>
      </c>
    </row>
    <row r="53" spans="1:26" s="24" customFormat="1" hidden="1" outlineLevel="2" x14ac:dyDescent="0.25">
      <c r="A53" s="27"/>
      <c r="B53" s="11" t="str">
        <f>CONCATENATE("          ", "6003", " - ", "STAFF HOURLY-9 MONTH")</f>
        <v xml:space="preserve">          6003 - STAFF HOURLY-9 MONTH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25">
      <c r="A54" s="27"/>
      <c r="B54" s="11" t="str">
        <f>CONCATENATE("          ", "6004", " - ", "STAFF HOURLY")</f>
        <v xml:space="preserve">          6004 - STAFF HOURLY</v>
      </c>
      <c r="C54" s="11"/>
      <c r="D54" s="6">
        <v>17855.3</v>
      </c>
      <c r="E54" s="2"/>
      <c r="F54" s="7">
        <f t="shared" si="20"/>
        <v>3.749550135042435E-2</v>
      </c>
      <c r="G54" s="2"/>
      <c r="H54" s="6">
        <v>55948.181900000003</v>
      </c>
      <c r="I54" s="2"/>
      <c r="J54" s="7">
        <f t="shared" si="21"/>
        <v>9.4745046933767757E-2</v>
      </c>
      <c r="K54" s="2"/>
      <c r="L54" s="6">
        <f t="shared" si="22"/>
        <v>-38092.881900000008</v>
      </c>
      <c r="M54" s="2"/>
      <c r="N54" s="7">
        <f t="shared" si="23"/>
        <v>-0.68086004953808887</v>
      </c>
      <c r="O54" s="11"/>
      <c r="P54" s="6">
        <v>33165.310000000005</v>
      </c>
      <c r="Q54" s="2"/>
      <c r="R54" s="7">
        <f t="shared" si="24"/>
        <v>4.6418208431217363E-2</v>
      </c>
      <c r="S54" s="2"/>
      <c r="T54" s="6">
        <v>100094.5319</v>
      </c>
      <c r="U54" s="2"/>
      <c r="V54" s="7">
        <f t="shared" si="25"/>
        <v>0.11118869530211542</v>
      </c>
      <c r="W54" s="2"/>
      <c r="X54" s="6">
        <f t="shared" si="26"/>
        <v>-66929.221900000004</v>
      </c>
      <c r="Y54" s="2"/>
      <c r="Z54" s="7">
        <f t="shared" si="27"/>
        <v>-0.66866012188224244</v>
      </c>
    </row>
    <row r="55" spans="1:26" s="24" customFormat="1" hidden="1" outlineLevel="2" x14ac:dyDescent="0.25">
      <c r="A55" s="27"/>
      <c r="B55" s="11" t="str">
        <f>CONCATENATE("          ", "6005", " - ", "TEMPORARY WAGES-HOURLY")</f>
        <v xml:space="preserve">          6005 - TEMPORARY WAGES-HOURLY</v>
      </c>
      <c r="C55" s="11"/>
      <c r="D55" s="6">
        <v>41274.769999999997</v>
      </c>
      <c r="E55" s="2"/>
      <c r="F55" s="7">
        <f t="shared" si="20"/>
        <v>8.6675563797497357E-2</v>
      </c>
      <c r="G55" s="2"/>
      <c r="H55" s="6">
        <v>22926.69</v>
      </c>
      <c r="I55" s="2"/>
      <c r="J55" s="7">
        <f t="shared" si="21"/>
        <v>3.8825038568160226E-2</v>
      </c>
      <c r="K55" s="2"/>
      <c r="L55" s="6">
        <f t="shared" si="22"/>
        <v>18348.079999999998</v>
      </c>
      <c r="M55" s="2"/>
      <c r="N55" s="7">
        <f t="shared" si="23"/>
        <v>0.80029345710174471</v>
      </c>
      <c r="O55" s="11"/>
      <c r="P55" s="6">
        <v>72055.02</v>
      </c>
      <c r="Q55" s="2"/>
      <c r="R55" s="7">
        <f t="shared" si="24"/>
        <v>0.10084829410234776</v>
      </c>
      <c r="S55" s="2"/>
      <c r="T55" s="6">
        <v>42834.315000000002</v>
      </c>
      <c r="U55" s="2"/>
      <c r="V55" s="7">
        <f t="shared" si="25"/>
        <v>4.7581935882052236E-2</v>
      </c>
      <c r="W55" s="2"/>
      <c r="X55" s="6">
        <f t="shared" si="26"/>
        <v>29220.705000000002</v>
      </c>
      <c r="Y55" s="2"/>
      <c r="Z55" s="7">
        <f t="shared" si="27"/>
        <v>0.68217981307743569</v>
      </c>
    </row>
    <row r="56" spans="1:26" s="24" customFormat="1" hidden="1" outlineLevel="2" x14ac:dyDescent="0.25">
      <c r="A56" s="27"/>
      <c r="B56" s="11" t="str">
        <f>CONCATENATE("          ", "6006", " - ", "TEMPORARY PART TIME")</f>
        <v xml:space="preserve">          6006 - TEMPORARY PART TIME</v>
      </c>
      <c r="C56" s="11"/>
      <c r="D56" s="6">
        <v>2606.88</v>
      </c>
      <c r="E56" s="2"/>
      <c r="F56" s="7">
        <f t="shared" si="20"/>
        <v>5.4743562169436658E-3</v>
      </c>
      <c r="G56" s="2"/>
      <c r="H56" s="6">
        <v>0</v>
      </c>
      <c r="I56" s="2"/>
      <c r="J56" s="7">
        <f t="shared" si="21"/>
        <v>0</v>
      </c>
      <c r="K56" s="2"/>
      <c r="L56" s="6">
        <f t="shared" si="22"/>
        <v>2606.88</v>
      </c>
      <c r="M56" s="2"/>
      <c r="N56" s="7">
        <f t="shared" si="23"/>
        <v>0</v>
      </c>
      <c r="O56" s="11"/>
      <c r="P56" s="6">
        <v>5584.27</v>
      </c>
      <c r="Q56" s="2"/>
      <c r="R56" s="7">
        <f t="shared" si="24"/>
        <v>7.8157511205592268E-3</v>
      </c>
      <c r="S56" s="2"/>
      <c r="T56" s="6">
        <v>0</v>
      </c>
      <c r="U56" s="2"/>
      <c r="V56" s="7">
        <f t="shared" si="25"/>
        <v>0</v>
      </c>
      <c r="W56" s="2"/>
      <c r="X56" s="6">
        <f t="shared" si="26"/>
        <v>5584.27</v>
      </c>
      <c r="Y56" s="2"/>
      <c r="Z56" s="7">
        <f t="shared" si="27"/>
        <v>0</v>
      </c>
    </row>
    <row r="57" spans="1:26" s="24" customFormat="1" hidden="1" outlineLevel="2" x14ac:dyDescent="0.25">
      <c r="A57" s="27"/>
      <c r="B57" s="11" t="str">
        <f>CONCATENATE("          ", "6007", " - ", "STUDENT HOURLY")</f>
        <v xml:space="preserve">          6007 - STUDENT HOURLY</v>
      </c>
      <c r="C57" s="11"/>
      <c r="D57" s="6">
        <v>78706.81</v>
      </c>
      <c r="E57" s="2"/>
      <c r="F57" s="7">
        <f t="shared" si="20"/>
        <v>0.16528152988986983</v>
      </c>
      <c r="G57" s="2"/>
      <c r="H57" s="6">
        <v>33433.456250000003</v>
      </c>
      <c r="I57" s="2"/>
      <c r="J57" s="7">
        <f t="shared" si="21"/>
        <v>5.6617646436234265E-2</v>
      </c>
      <c r="K57" s="2"/>
      <c r="L57" s="6">
        <f t="shared" si="22"/>
        <v>45273.353749999995</v>
      </c>
      <c r="M57" s="2"/>
      <c r="N57" s="7">
        <f t="shared" si="23"/>
        <v>1.3541332194753268</v>
      </c>
      <c r="O57" s="11"/>
      <c r="P57" s="6">
        <v>127499.96</v>
      </c>
      <c r="Q57" s="2"/>
      <c r="R57" s="7">
        <f t="shared" si="24"/>
        <v>0.178449099925551</v>
      </c>
      <c r="S57" s="2"/>
      <c r="T57" s="6">
        <v>58956.443749999999</v>
      </c>
      <c r="U57" s="2"/>
      <c r="V57" s="7">
        <f t="shared" si="25"/>
        <v>6.5490990724290071E-2</v>
      </c>
      <c r="W57" s="2"/>
      <c r="X57" s="6">
        <f t="shared" si="26"/>
        <v>68543.516250000015</v>
      </c>
      <c r="Y57" s="2"/>
      <c r="Z57" s="7">
        <f t="shared" si="27"/>
        <v>1.1626128017601132</v>
      </c>
    </row>
    <row r="58" spans="1:26" s="24" customFormat="1" hidden="1" outlineLevel="2" x14ac:dyDescent="0.25">
      <c r="A58" s="27"/>
      <c r="B58" s="11" t="str">
        <f>CONCATENATE("          ", "6008", " - ", "STUDENT HOURLY-FICA EXEMPT")</f>
        <v xml:space="preserve">          6008 - STUDENT HOURLY-FICA EXEMPT</v>
      </c>
      <c r="C58" s="11"/>
      <c r="D58" s="6">
        <v>4811.68</v>
      </c>
      <c r="E58" s="2"/>
      <c r="F58" s="7">
        <f t="shared" si="20"/>
        <v>1.0104358590323874E-2</v>
      </c>
      <c r="G58" s="2"/>
      <c r="H58" s="6">
        <v>42053.440000000002</v>
      </c>
      <c r="I58" s="2"/>
      <c r="J58" s="7">
        <f t="shared" si="21"/>
        <v>7.1215096026675112E-2</v>
      </c>
      <c r="K58" s="2"/>
      <c r="L58" s="6">
        <f t="shared" si="22"/>
        <v>-37241.760000000002</v>
      </c>
      <c r="M58" s="2"/>
      <c r="N58" s="7">
        <f t="shared" si="23"/>
        <v>-0.88558177404749761</v>
      </c>
      <c r="O58" s="11"/>
      <c r="P58" s="6">
        <v>7337.7</v>
      </c>
      <c r="Q58" s="2"/>
      <c r="R58" s="7">
        <f t="shared" si="24"/>
        <v>1.0269853892689185E-2</v>
      </c>
      <c r="S58" s="2"/>
      <c r="T58" s="6">
        <v>46785.939999999995</v>
      </c>
      <c r="U58" s="2"/>
      <c r="V58" s="7">
        <f t="shared" si="25"/>
        <v>5.1971546580388703E-2</v>
      </c>
      <c r="W58" s="2"/>
      <c r="X58" s="6">
        <f t="shared" si="26"/>
        <v>-39448.239999999998</v>
      </c>
      <c r="Y58" s="2"/>
      <c r="Z58" s="7">
        <f t="shared" si="27"/>
        <v>-0.84316442076401588</v>
      </c>
    </row>
    <row r="59" spans="1:26" s="24" customFormat="1" hidden="1" outlineLevel="2" x14ac:dyDescent="0.25">
      <c r="A59" s="27"/>
      <c r="B59" s="11" t="str">
        <f>CONCATENATE("          ", "6009", " - ", "TEMPORARY-SEASONAL")</f>
        <v xml:space="preserve">          6009 - TEMPORARY-SEASONAL</v>
      </c>
      <c r="C59" s="11"/>
      <c r="D59" s="6"/>
      <c r="E59" s="2"/>
      <c r="F59" s="7">
        <f t="shared" si="20"/>
        <v>0</v>
      </c>
      <c r="G59" s="2"/>
      <c r="H59" s="6">
        <v>0</v>
      </c>
      <c r="I59" s="2"/>
      <c r="J59" s="7">
        <f t="shared" si="21"/>
        <v>0</v>
      </c>
      <c r="K59" s="2"/>
      <c r="L59" s="6">
        <f t="shared" si="22"/>
        <v>0</v>
      </c>
      <c r="M59" s="2"/>
      <c r="N59" s="7">
        <f t="shared" si="23"/>
        <v>0</v>
      </c>
      <c r="O59" s="11"/>
      <c r="P59" s="6"/>
      <c r="Q59" s="2"/>
      <c r="R59" s="7">
        <f t="shared" si="24"/>
        <v>0</v>
      </c>
      <c r="S59" s="2"/>
      <c r="T59" s="6">
        <v>0</v>
      </c>
      <c r="U59" s="2"/>
      <c r="V59" s="7">
        <f t="shared" si="25"/>
        <v>0</v>
      </c>
      <c r="W59" s="2"/>
      <c r="X59" s="6">
        <f t="shared" si="26"/>
        <v>0</v>
      </c>
      <c r="Y59" s="2"/>
      <c r="Z59" s="7">
        <f t="shared" si="27"/>
        <v>0</v>
      </c>
    </row>
    <row r="60" spans="1:26" s="24" customFormat="1" hidden="1" outlineLevel="2" x14ac:dyDescent="0.25">
      <c r="A60" s="27"/>
      <c r="B60" s="11" t="str">
        <f>CONCATENATE("          ", "6010", " - ", "GRATUITY")</f>
        <v xml:space="preserve">          6010 - GRATUITY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6" customFormat="1" outlineLevel="1" collapsed="1" x14ac:dyDescent="0.25">
      <c r="A61" s="25"/>
      <c r="B61" s="13" t="str">
        <f>CONCATENATE("     ","Advertising/Promo                                 ")</f>
        <v xml:space="preserve">     Advertising/Promo                                 </v>
      </c>
      <c r="C61" s="13"/>
      <c r="D61" s="1">
        <f>SUM(OSRRefD22_2x_0)</f>
        <v>2725.1</v>
      </c>
      <c r="E61" s="1"/>
      <c r="F61" s="5">
        <f t="shared" ref="F61:F71" si="28">IF(D$12=0,0,D61/D$12)</f>
        <v>5.7226140546527589E-3</v>
      </c>
      <c r="G61" s="1"/>
      <c r="H61" s="1">
        <f>SUM(OSRRefH22_2x_0)</f>
        <v>3550</v>
      </c>
      <c r="I61" s="1"/>
      <c r="J61" s="5">
        <f t="shared" ref="J61:J71" si="29">IF(H$12=0,0,H61/H$12)</f>
        <v>6.0117220112004309E-3</v>
      </c>
      <c r="K61" s="1"/>
      <c r="L61" s="1">
        <f t="shared" ref="L61:L71" si="30">+D61-H61</f>
        <v>-824.90000000000009</v>
      </c>
      <c r="M61" s="1"/>
      <c r="N61" s="5">
        <f t="shared" ref="N61:N71" si="31">IF(H61=0,0,L61/H61)</f>
        <v>-0.23236619718309862</v>
      </c>
      <c r="O61" s="13"/>
      <c r="P61" s="1">
        <f>SUM(OSRRefP22_2x_0)</f>
        <v>5773.55</v>
      </c>
      <c r="Q61" s="1"/>
      <c r="R61" s="5">
        <f t="shared" ref="R61:R71" si="32">IF(P$12=0,0,P61/P$12)</f>
        <v>8.0806676400146712E-3</v>
      </c>
      <c r="S61" s="1"/>
      <c r="T61" s="1">
        <f>SUM(OSRRefT22_2x_0)</f>
        <v>5825</v>
      </c>
      <c r="U61" s="1"/>
      <c r="V61" s="5">
        <f t="shared" ref="V61:V71" si="33">IF(T$12=0,0,T61/T$12)</f>
        <v>6.4706246968803931E-3</v>
      </c>
      <c r="W61" s="1"/>
      <c r="X61" s="1">
        <f t="shared" ref="X61:X71" si="34">+P61-T61</f>
        <v>-51.449999999999818</v>
      </c>
      <c r="Y61" s="1"/>
      <c r="Z61" s="5">
        <f t="shared" ref="Z61:Z71" si="35">IF(T61=0,0,X61/T61)</f>
        <v>-8.8326180257510423E-3</v>
      </c>
    </row>
    <row r="62" spans="1:26" s="24" customFormat="1" hidden="1" outlineLevel="2" x14ac:dyDescent="0.25">
      <c r="A62" s="27"/>
      <c r="B62" s="11" t="str">
        <f>CONCATENATE("          ", "6362", " - ", "ADVERTISING EXPENSE")</f>
        <v xml:space="preserve">          6362 - ADVERTISING EXPENSE</v>
      </c>
      <c r="C62" s="11"/>
      <c r="D62" s="6">
        <v>2725.1</v>
      </c>
      <c r="E62" s="2"/>
      <c r="F62" s="7">
        <f t="shared" si="28"/>
        <v>5.7226140546527589E-3</v>
      </c>
      <c r="G62" s="2"/>
      <c r="H62" s="6">
        <v>3550</v>
      </c>
      <c r="I62" s="2"/>
      <c r="J62" s="7">
        <f t="shared" si="29"/>
        <v>6.0117220112004309E-3</v>
      </c>
      <c r="K62" s="2"/>
      <c r="L62" s="6">
        <f t="shared" si="30"/>
        <v>-824.90000000000009</v>
      </c>
      <c r="M62" s="2"/>
      <c r="N62" s="7">
        <f t="shared" si="31"/>
        <v>-0.23236619718309862</v>
      </c>
      <c r="O62" s="11"/>
      <c r="P62" s="6">
        <v>5773.55</v>
      </c>
      <c r="Q62" s="2"/>
      <c r="R62" s="7">
        <f t="shared" si="32"/>
        <v>8.0806676400146712E-3</v>
      </c>
      <c r="S62" s="2"/>
      <c r="T62" s="6">
        <v>5825</v>
      </c>
      <c r="U62" s="2"/>
      <c r="V62" s="7">
        <f t="shared" si="33"/>
        <v>6.4706246968803931E-3</v>
      </c>
      <c r="W62" s="2"/>
      <c r="X62" s="6">
        <f t="shared" si="34"/>
        <v>-51.449999999999818</v>
      </c>
      <c r="Y62" s="2"/>
      <c r="Z62" s="7">
        <f t="shared" si="35"/>
        <v>-8.8326180257510423E-3</v>
      </c>
    </row>
    <row r="63" spans="1:26" s="26" customFormat="1" outlineLevel="1" collapsed="1" x14ac:dyDescent="0.25">
      <c r="A63" s="25"/>
      <c r="B63" s="13" t="str">
        <f>CONCATENATE("     ","Bad Debts/Over/Short                              ")</f>
        <v xml:space="preserve">     Bad Debts/Over/Short                              </v>
      </c>
      <c r="C63" s="13"/>
      <c r="D63" s="1">
        <f>SUM(OSRRefD22_3x_0)</f>
        <v>0.5</v>
      </c>
      <c r="E63" s="1"/>
      <c r="F63" s="5">
        <f t="shared" si="28"/>
        <v>1.0499823959951486E-6</v>
      </c>
      <c r="G63" s="1"/>
      <c r="H63" s="1">
        <f>SUM(OSRRefH22_3x_0)</f>
        <v>169</v>
      </c>
      <c r="I63" s="1"/>
      <c r="J63" s="5">
        <f t="shared" si="29"/>
        <v>2.8619183658954166E-4</v>
      </c>
      <c r="K63" s="1"/>
      <c r="L63" s="1">
        <f t="shared" si="30"/>
        <v>-168.5</v>
      </c>
      <c r="M63" s="1"/>
      <c r="N63" s="5">
        <f t="shared" si="31"/>
        <v>-0.99704142011834318</v>
      </c>
      <c r="O63" s="13"/>
      <c r="P63" s="1">
        <f>SUM(OSRRefP22_3x_0)</f>
        <v>-20.260000000000002</v>
      </c>
      <c r="Q63" s="1"/>
      <c r="R63" s="5">
        <f t="shared" si="32"/>
        <v>-2.8355920774341131E-5</v>
      </c>
      <c r="S63" s="1"/>
      <c r="T63" s="1">
        <f>SUM(OSRRefT22_3x_0)</f>
        <v>288</v>
      </c>
      <c r="U63" s="1"/>
      <c r="V63" s="5">
        <f t="shared" si="33"/>
        <v>3.1992101505606059E-4</v>
      </c>
      <c r="W63" s="1"/>
      <c r="X63" s="1">
        <f t="shared" si="34"/>
        <v>-308.26</v>
      </c>
      <c r="Y63" s="1"/>
      <c r="Z63" s="5">
        <f t="shared" si="35"/>
        <v>-1.0703472222222221</v>
      </c>
    </row>
    <row r="64" spans="1:26" s="24" customFormat="1" hidden="1" outlineLevel="2" x14ac:dyDescent="0.25">
      <c r="A64" s="27"/>
      <c r="B64" s="11" t="str">
        <f>CONCATENATE("          ", "6272", " - ", "CASH (OVER/SHORT)")</f>
        <v xml:space="preserve">          6272 - CASH (OVER/SHORT)</v>
      </c>
      <c r="C64" s="11"/>
      <c r="D64" s="6">
        <v>0.5</v>
      </c>
      <c r="E64" s="2"/>
      <c r="F64" s="7">
        <f t="shared" si="28"/>
        <v>1.0499823959951486E-6</v>
      </c>
      <c r="G64" s="2"/>
      <c r="H64" s="6">
        <v>169</v>
      </c>
      <c r="I64" s="2"/>
      <c r="J64" s="7">
        <f t="shared" si="29"/>
        <v>2.8619183658954166E-4</v>
      </c>
      <c r="K64" s="2"/>
      <c r="L64" s="6">
        <f t="shared" si="30"/>
        <v>-168.5</v>
      </c>
      <c r="M64" s="2"/>
      <c r="N64" s="7">
        <f t="shared" si="31"/>
        <v>-0.99704142011834318</v>
      </c>
      <c r="O64" s="11"/>
      <c r="P64" s="6">
        <v>-20.260000000000002</v>
      </c>
      <c r="Q64" s="2"/>
      <c r="R64" s="7">
        <f t="shared" si="32"/>
        <v>-2.8355920774341131E-5</v>
      </c>
      <c r="S64" s="2"/>
      <c r="T64" s="6">
        <v>288</v>
      </c>
      <c r="U64" s="2"/>
      <c r="V64" s="7">
        <f t="shared" si="33"/>
        <v>3.1992101505606059E-4</v>
      </c>
      <c r="W64" s="2"/>
      <c r="X64" s="6">
        <f t="shared" si="34"/>
        <v>-308.26</v>
      </c>
      <c r="Y64" s="2"/>
      <c r="Z64" s="7">
        <f t="shared" si="35"/>
        <v>-1.0703472222222221</v>
      </c>
    </row>
    <row r="65" spans="1:26" s="26" customFormat="1" outlineLevel="1" collapsed="1" x14ac:dyDescent="0.25">
      <c r="A65" s="25"/>
      <c r="B65" s="13" t="str">
        <f>CONCATENATE("     ","Bank/card Fees                                    ")</f>
        <v xml:space="preserve">     Bank/card Fees                                    </v>
      </c>
      <c r="C65" s="13"/>
      <c r="D65" s="1">
        <f>SUM(OSRRefD22_4x_0)</f>
        <v>13254.35</v>
      </c>
      <c r="E65" s="1"/>
      <c r="F65" s="5">
        <f t="shared" si="28"/>
        <v>2.7833668340716596E-2</v>
      </c>
      <c r="G65" s="1"/>
      <c r="H65" s="1">
        <f>SUM(OSRRefH22_4x_0)</f>
        <v>12417</v>
      </c>
      <c r="I65" s="1"/>
      <c r="J65" s="5">
        <f t="shared" si="29"/>
        <v>2.1027479496641056E-2</v>
      </c>
      <c r="K65" s="1"/>
      <c r="L65" s="1">
        <f t="shared" si="30"/>
        <v>837.35000000000036</v>
      </c>
      <c r="M65" s="1"/>
      <c r="N65" s="5">
        <f t="shared" si="31"/>
        <v>6.7435773536280941E-2</v>
      </c>
      <c r="O65" s="13"/>
      <c r="P65" s="1">
        <f>SUM(OSRRefP22_4x_0)</f>
        <v>18973.070000000003</v>
      </c>
      <c r="Q65" s="1"/>
      <c r="R65" s="5">
        <f t="shared" si="32"/>
        <v>2.6554731972656887E-2</v>
      </c>
      <c r="S65" s="1"/>
      <c r="T65" s="1">
        <f>SUM(OSRRefT22_4x_0)</f>
        <v>18753</v>
      </c>
      <c r="U65" s="1"/>
      <c r="V65" s="5">
        <f t="shared" si="33"/>
        <v>2.0831523594952446E-2</v>
      </c>
      <c r="W65" s="1"/>
      <c r="X65" s="1">
        <f t="shared" si="34"/>
        <v>220.07000000000335</v>
      </c>
      <c r="Y65" s="1"/>
      <c r="Z65" s="5">
        <f t="shared" si="35"/>
        <v>1.1735189036421017E-2</v>
      </c>
    </row>
    <row r="66" spans="1:26" s="24" customFormat="1" hidden="1" outlineLevel="2" x14ac:dyDescent="0.25">
      <c r="A66" s="27"/>
      <c r="B66" s="11" t="str">
        <f>CONCATENATE("          ", "6381", " - ", "BANK/CREDIT CARD FEES")</f>
        <v xml:space="preserve">          6381 - BANK/CREDIT CARD FEES</v>
      </c>
      <c r="C66" s="11"/>
      <c r="D66" s="6">
        <v>13254.35</v>
      </c>
      <c r="E66" s="2"/>
      <c r="F66" s="7">
        <f t="shared" si="28"/>
        <v>2.7833668340716596E-2</v>
      </c>
      <c r="G66" s="2"/>
      <c r="H66" s="6">
        <v>12417</v>
      </c>
      <c r="I66" s="2"/>
      <c r="J66" s="7">
        <f t="shared" si="29"/>
        <v>2.1027479496641056E-2</v>
      </c>
      <c r="K66" s="2"/>
      <c r="L66" s="6">
        <f t="shared" si="30"/>
        <v>837.35000000000036</v>
      </c>
      <c r="M66" s="2"/>
      <c r="N66" s="7">
        <f t="shared" si="31"/>
        <v>6.7435773536280941E-2</v>
      </c>
      <c r="O66" s="11"/>
      <c r="P66" s="6">
        <v>18973.070000000003</v>
      </c>
      <c r="Q66" s="2"/>
      <c r="R66" s="7">
        <f t="shared" si="32"/>
        <v>2.6554731972656887E-2</v>
      </c>
      <c r="S66" s="2"/>
      <c r="T66" s="6">
        <v>18753</v>
      </c>
      <c r="U66" s="2"/>
      <c r="V66" s="7">
        <f t="shared" si="33"/>
        <v>2.0831523594952446E-2</v>
      </c>
      <c r="W66" s="2"/>
      <c r="X66" s="6">
        <f t="shared" si="34"/>
        <v>220.07000000000335</v>
      </c>
      <c r="Y66" s="2"/>
      <c r="Z66" s="7">
        <f t="shared" si="35"/>
        <v>1.1735189036421017E-2</v>
      </c>
    </row>
    <row r="67" spans="1:26" s="26" customFormat="1" outlineLevel="1" collapsed="1" x14ac:dyDescent="0.25">
      <c r="A67" s="25"/>
      <c r="B67" s="13" t="str">
        <f>CONCATENATE("     ","Depreciation                                      ")</f>
        <v xml:space="preserve">     Depreciation                                      </v>
      </c>
      <c r="C67" s="13"/>
      <c r="D67" s="1">
        <f>SUM(OSRRefD22_5x_0)</f>
        <v>47974.53</v>
      </c>
      <c r="E67" s="1"/>
      <c r="F67" s="5">
        <f t="shared" si="28"/>
        <v>0.10074482391228226</v>
      </c>
      <c r="G67" s="1"/>
      <c r="H67" s="1">
        <f>SUM(OSRRefH22_5x_0)</f>
        <v>47443</v>
      </c>
      <c r="I67" s="1"/>
      <c r="J67" s="5">
        <f t="shared" si="29"/>
        <v>8.0342007711938598E-2</v>
      </c>
      <c r="K67" s="1"/>
      <c r="L67" s="1">
        <f t="shared" si="30"/>
        <v>531.52999999999884</v>
      </c>
      <c r="M67" s="1"/>
      <c r="N67" s="5">
        <f t="shared" si="31"/>
        <v>1.1203549522584972E-2</v>
      </c>
      <c r="O67" s="13"/>
      <c r="P67" s="1">
        <f>SUM(OSRRefP22_5x_0)</f>
        <v>95949.06</v>
      </c>
      <c r="Q67" s="1"/>
      <c r="R67" s="5">
        <f t="shared" si="32"/>
        <v>0.13429042170446709</v>
      </c>
      <c r="S67" s="1"/>
      <c r="T67" s="1">
        <f>SUM(OSRRefT22_5x_0)</f>
        <v>94886</v>
      </c>
      <c r="U67" s="1"/>
      <c r="V67" s="5">
        <f t="shared" si="33"/>
        <v>0.10540286609239363</v>
      </c>
      <c r="W67" s="1"/>
      <c r="X67" s="1">
        <f t="shared" si="34"/>
        <v>1063.0599999999977</v>
      </c>
      <c r="Y67" s="1"/>
      <c r="Z67" s="5">
        <f t="shared" si="35"/>
        <v>1.1203549522584972E-2</v>
      </c>
    </row>
    <row r="68" spans="1:26" s="24" customFormat="1" hidden="1" outlineLevel="2" x14ac:dyDescent="0.25">
      <c r="A68" s="27"/>
      <c r="B68" s="11" t="str">
        <f>CONCATENATE("          ", "6321", " - ", "BUILDING DEPRECIATION")</f>
        <v xml:space="preserve">          6321 - BUILDING DEPRECIATION</v>
      </c>
      <c r="C68" s="11"/>
      <c r="D68" s="6">
        <v>29123.47</v>
      </c>
      <c r="E68" s="2"/>
      <c r="F68" s="7">
        <f t="shared" si="28"/>
        <v>6.1158261620585665E-2</v>
      </c>
      <c r="G68" s="2"/>
      <c r="H68" s="6">
        <v>28200</v>
      </c>
      <c r="I68" s="2"/>
      <c r="J68" s="7">
        <f t="shared" si="29"/>
        <v>4.7755087525592155E-2</v>
      </c>
      <c r="K68" s="2"/>
      <c r="L68" s="6">
        <f t="shared" si="30"/>
        <v>923.47000000000116</v>
      </c>
      <c r="M68" s="2"/>
      <c r="N68" s="7">
        <f t="shared" si="31"/>
        <v>3.274716312056742E-2</v>
      </c>
      <c r="O68" s="11"/>
      <c r="P68" s="6">
        <v>58246.94</v>
      </c>
      <c r="Q68" s="2"/>
      <c r="R68" s="7">
        <f t="shared" si="32"/>
        <v>8.1522488449545974E-2</v>
      </c>
      <c r="S68" s="2"/>
      <c r="T68" s="6">
        <v>56400</v>
      </c>
      <c r="U68" s="2"/>
      <c r="V68" s="7">
        <f t="shared" si="33"/>
        <v>6.265119878181187E-2</v>
      </c>
      <c r="W68" s="2"/>
      <c r="X68" s="6">
        <f t="shared" si="34"/>
        <v>1846.9400000000023</v>
      </c>
      <c r="Y68" s="2"/>
      <c r="Z68" s="7">
        <f t="shared" si="35"/>
        <v>3.274716312056742E-2</v>
      </c>
    </row>
    <row r="69" spans="1:26" s="24" customFormat="1" hidden="1" outlineLevel="2" x14ac:dyDescent="0.25">
      <c r="A69" s="27"/>
      <c r="B69" s="11" t="str">
        <f>CONCATENATE("          ", "6322", " - ", "EQUIPMENT DEPRECIATION EXPENSE")</f>
        <v xml:space="preserve">          6322 - EQUIPMENT DEPRECIATION EXPENSE</v>
      </c>
      <c r="C69" s="11"/>
      <c r="D69" s="6">
        <v>18426.809999999998</v>
      </c>
      <c r="E69" s="2"/>
      <c r="F69" s="7">
        <f t="shared" si="28"/>
        <v>3.869565222869472E-2</v>
      </c>
      <c r="G69" s="2"/>
      <c r="H69" s="6">
        <v>18476</v>
      </c>
      <c r="I69" s="2"/>
      <c r="J69" s="7">
        <f t="shared" si="29"/>
        <v>3.1288049543363144E-2</v>
      </c>
      <c r="K69" s="2"/>
      <c r="L69" s="6">
        <f t="shared" si="30"/>
        <v>-49.190000000002328</v>
      </c>
      <c r="M69" s="2"/>
      <c r="N69" s="7">
        <f t="shared" si="31"/>
        <v>-2.6623728079672184E-3</v>
      </c>
      <c r="O69" s="11"/>
      <c r="P69" s="6">
        <v>36853.619999999995</v>
      </c>
      <c r="Q69" s="2"/>
      <c r="R69" s="7">
        <f t="shared" si="32"/>
        <v>5.1580371617358026E-2</v>
      </c>
      <c r="S69" s="2"/>
      <c r="T69" s="6">
        <v>36952</v>
      </c>
      <c r="U69" s="2"/>
      <c r="V69" s="7">
        <f t="shared" si="33"/>
        <v>4.1047643570665114E-2</v>
      </c>
      <c r="W69" s="2"/>
      <c r="X69" s="6">
        <f t="shared" si="34"/>
        <v>-98.380000000004657</v>
      </c>
      <c r="Y69" s="2"/>
      <c r="Z69" s="7">
        <f t="shared" si="35"/>
        <v>-2.6623728079672184E-3</v>
      </c>
    </row>
    <row r="70" spans="1:26" s="24" customFormat="1" hidden="1" outlineLevel="2" x14ac:dyDescent="0.25">
      <c r="A70" s="27"/>
      <c r="B70" s="11" t="str">
        <f>CONCATENATE("          ", "6324", " - ", "FURNITURE + FIXT DEPRECIATION")</f>
        <v xml:space="preserve">          6324 - FURNITURE + FIXT DEPRECIATION</v>
      </c>
      <c r="C70" s="11"/>
      <c r="D70" s="6"/>
      <c r="E70" s="2"/>
      <c r="F70" s="7">
        <f t="shared" si="28"/>
        <v>0</v>
      </c>
      <c r="G70" s="2"/>
      <c r="H70" s="6">
        <v>343</v>
      </c>
      <c r="I70" s="2"/>
      <c r="J70" s="7">
        <f t="shared" si="29"/>
        <v>5.8085088727936559E-4</v>
      </c>
      <c r="K70" s="2"/>
      <c r="L70" s="6">
        <f t="shared" si="30"/>
        <v>-343</v>
      </c>
      <c r="M70" s="2"/>
      <c r="N70" s="7">
        <f t="shared" si="31"/>
        <v>-1</v>
      </c>
      <c r="O70" s="11"/>
      <c r="P70" s="6"/>
      <c r="Q70" s="2"/>
      <c r="R70" s="7">
        <f t="shared" si="32"/>
        <v>0</v>
      </c>
      <c r="S70" s="2"/>
      <c r="T70" s="6">
        <v>686</v>
      </c>
      <c r="U70" s="2"/>
      <c r="V70" s="7">
        <f t="shared" si="33"/>
        <v>7.6203408447381106E-4</v>
      </c>
      <c r="W70" s="2"/>
      <c r="X70" s="6">
        <f t="shared" si="34"/>
        <v>-686</v>
      </c>
      <c r="Y70" s="2"/>
      <c r="Z70" s="7">
        <f t="shared" si="35"/>
        <v>-1</v>
      </c>
    </row>
    <row r="71" spans="1:26" s="24" customFormat="1" hidden="1" outlineLevel="2" x14ac:dyDescent="0.25">
      <c r="A71" s="27"/>
      <c r="B71" s="11" t="str">
        <f>CONCATENATE("          ", "6326", " - ", "VEHICLES DEPRECIATION EXPENSE")</f>
        <v xml:space="preserve">          6326 - VEHICLES DEPRECIATION EXPENSE</v>
      </c>
      <c r="C71" s="11"/>
      <c r="D71" s="6">
        <v>424.25</v>
      </c>
      <c r="E71" s="2"/>
      <c r="F71" s="7">
        <f t="shared" si="28"/>
        <v>8.9091006300188352E-4</v>
      </c>
      <c r="G71" s="2"/>
      <c r="H71" s="6">
        <v>424</v>
      </c>
      <c r="I71" s="2"/>
      <c r="J71" s="7">
        <f t="shared" si="29"/>
        <v>7.1801975570393874E-4</v>
      </c>
      <c r="K71" s="2"/>
      <c r="L71" s="6">
        <f t="shared" si="30"/>
        <v>0.25</v>
      </c>
      <c r="M71" s="2"/>
      <c r="N71" s="7">
        <f t="shared" si="31"/>
        <v>5.8962264150943394E-4</v>
      </c>
      <c r="O71" s="11"/>
      <c r="P71" s="6">
        <v>848.5</v>
      </c>
      <c r="Q71" s="2"/>
      <c r="R71" s="7">
        <f t="shared" si="32"/>
        <v>1.1875616375631021E-3</v>
      </c>
      <c r="S71" s="2"/>
      <c r="T71" s="6">
        <v>848</v>
      </c>
      <c r="U71" s="2"/>
      <c r="V71" s="7">
        <f t="shared" si="33"/>
        <v>9.4198965544284514E-4</v>
      </c>
      <c r="W71" s="2"/>
      <c r="X71" s="6">
        <f t="shared" si="34"/>
        <v>0.5</v>
      </c>
      <c r="Y71" s="2"/>
      <c r="Z71" s="7">
        <f t="shared" si="35"/>
        <v>5.8962264150943394E-4</v>
      </c>
    </row>
    <row r="72" spans="1:26" s="26" customFormat="1" outlineLevel="1" collapsed="1" x14ac:dyDescent="0.25">
      <c r="A72" s="25"/>
      <c r="B72" s="13" t="str">
        <f>CONCATENATE("     ","Discounts and Markdowns                           ")</f>
        <v xml:space="preserve">     Discounts and Markdowns                           </v>
      </c>
      <c r="C72" s="13"/>
      <c r="D72" s="1">
        <f>SUM(OSRRefD22_6x_0)</f>
        <v>6.18</v>
      </c>
      <c r="E72" s="1"/>
      <c r="F72" s="5">
        <f t="shared" ref="F72:F84" si="36">IF(D$12=0,0,D72/D$12)</f>
        <v>1.2977782414500035E-5</v>
      </c>
      <c r="G72" s="1"/>
      <c r="H72" s="1">
        <f>SUM(OSRRefH22_6x_0)</f>
        <v>0</v>
      </c>
      <c r="I72" s="1"/>
      <c r="J72" s="5">
        <f t="shared" ref="J72:J84" si="37">IF(H$12=0,0,H72/H$12)</f>
        <v>0</v>
      </c>
      <c r="K72" s="1"/>
      <c r="L72" s="1">
        <f t="shared" ref="L72:L84" si="38">+D72-H72</f>
        <v>6.18</v>
      </c>
      <c r="M72" s="1"/>
      <c r="N72" s="5">
        <f t="shared" ref="N72:N84" si="39">IF(H72=0,0,L72/H72)</f>
        <v>0</v>
      </c>
      <c r="O72" s="13"/>
      <c r="P72" s="1">
        <f>SUM(OSRRefP22_6x_0)</f>
        <v>20.09</v>
      </c>
      <c r="Q72" s="1"/>
      <c r="R72" s="5">
        <f t="shared" ref="R72:R84" si="40">IF(P$12=0,0,P72/P$12)</f>
        <v>2.8117988566461664E-5</v>
      </c>
      <c r="S72" s="1"/>
      <c r="T72" s="1">
        <f>SUM(OSRRefT22_6x_0)</f>
        <v>0</v>
      </c>
      <c r="U72" s="1"/>
      <c r="V72" s="5">
        <f t="shared" ref="V72:V84" si="41">IF(T$12=0,0,T72/T$12)</f>
        <v>0</v>
      </c>
      <c r="W72" s="1"/>
      <c r="X72" s="1">
        <f t="shared" ref="X72:X84" si="42">+P72-T72</f>
        <v>20.09</v>
      </c>
      <c r="Y72" s="1"/>
      <c r="Z72" s="5">
        <f t="shared" ref="Z72:Z84" si="43">IF(T72=0,0,X72/T72)</f>
        <v>0</v>
      </c>
    </row>
    <row r="73" spans="1:26" s="24" customFormat="1" hidden="1" outlineLevel="2" x14ac:dyDescent="0.25">
      <c r="A73" s="27"/>
      <c r="B73" s="11" t="str">
        <f>CONCATENATE("          ", "6382", " - ", "DISCOUNTS/MARK DOWNS")</f>
        <v xml:space="preserve">          6382 - DISCOUNTS/MARK DOWNS</v>
      </c>
      <c r="C73" s="11"/>
      <c r="D73" s="6">
        <v>6.18</v>
      </c>
      <c r="E73" s="2"/>
      <c r="F73" s="7">
        <f t="shared" si="36"/>
        <v>1.2977782414500035E-5</v>
      </c>
      <c r="G73" s="2"/>
      <c r="H73" s="6"/>
      <c r="I73" s="2"/>
      <c r="J73" s="7">
        <f t="shared" si="37"/>
        <v>0</v>
      </c>
      <c r="K73" s="2"/>
      <c r="L73" s="6">
        <f t="shared" si="38"/>
        <v>6.18</v>
      </c>
      <c r="M73" s="2"/>
      <c r="N73" s="7">
        <f t="shared" si="39"/>
        <v>0</v>
      </c>
      <c r="O73" s="11"/>
      <c r="P73" s="6">
        <v>20.09</v>
      </c>
      <c r="Q73" s="2"/>
      <c r="R73" s="7">
        <f t="shared" si="40"/>
        <v>2.8117988566461664E-5</v>
      </c>
      <c r="S73" s="2"/>
      <c r="T73" s="6"/>
      <c r="U73" s="2"/>
      <c r="V73" s="7">
        <f t="shared" si="41"/>
        <v>0</v>
      </c>
      <c r="W73" s="2"/>
      <c r="X73" s="6">
        <f t="shared" si="42"/>
        <v>20.09</v>
      </c>
      <c r="Y73" s="2"/>
      <c r="Z73" s="7">
        <f t="shared" si="43"/>
        <v>0</v>
      </c>
    </row>
    <row r="74" spans="1:26" s="26" customFormat="1" outlineLevel="1" collapsed="1" x14ac:dyDescent="0.25">
      <c r="A74" s="25"/>
      <c r="B74" s="13" t="str">
        <f>CONCATENATE("     ","Donations                                         ")</f>
        <v xml:space="preserve">     Donations                                         </v>
      </c>
      <c r="C74" s="13"/>
      <c r="D74" s="1">
        <f>SUM(OSRRefD22_7x_0)</f>
        <v>0</v>
      </c>
      <c r="E74" s="1"/>
      <c r="F74" s="5">
        <f t="shared" si="36"/>
        <v>0</v>
      </c>
      <c r="G74" s="1"/>
      <c r="H74" s="1">
        <f>SUM(OSRRefH22_7x_0)</f>
        <v>300</v>
      </c>
      <c r="I74" s="1"/>
      <c r="J74" s="5">
        <f t="shared" si="37"/>
        <v>5.0803284601693777E-4</v>
      </c>
      <c r="K74" s="1"/>
      <c r="L74" s="1">
        <f t="shared" si="38"/>
        <v>-300</v>
      </c>
      <c r="M74" s="1"/>
      <c r="N74" s="5">
        <f t="shared" si="39"/>
        <v>-1</v>
      </c>
      <c r="O74" s="13"/>
      <c r="P74" s="1">
        <f>SUM(OSRRefP22_7x_0)</f>
        <v>0</v>
      </c>
      <c r="Q74" s="1"/>
      <c r="R74" s="5">
        <f t="shared" si="40"/>
        <v>0</v>
      </c>
      <c r="S74" s="1"/>
      <c r="T74" s="1">
        <f>SUM(OSRRefT22_7x_0)</f>
        <v>300</v>
      </c>
      <c r="U74" s="1"/>
      <c r="V74" s="5">
        <f t="shared" si="41"/>
        <v>3.3325105735006313E-4</v>
      </c>
      <c r="W74" s="1"/>
      <c r="X74" s="1">
        <f t="shared" si="42"/>
        <v>-300</v>
      </c>
      <c r="Y74" s="1"/>
      <c r="Z74" s="5">
        <f t="shared" si="43"/>
        <v>-1</v>
      </c>
    </row>
    <row r="75" spans="1:26" s="24" customFormat="1" hidden="1" outlineLevel="2" x14ac:dyDescent="0.25">
      <c r="A75" s="27"/>
      <c r="B75" s="11" t="str">
        <f>CONCATENATE("          ", "6399", " - ", "DONATION-ON CAMPUS")</f>
        <v xml:space="preserve">          6399 - DONATION-ON CAMPUS</v>
      </c>
      <c r="C75" s="11"/>
      <c r="D75" s="6"/>
      <c r="E75" s="2"/>
      <c r="F75" s="7">
        <f t="shared" si="36"/>
        <v>0</v>
      </c>
      <c r="G75" s="2"/>
      <c r="H75" s="6">
        <v>300</v>
      </c>
      <c r="I75" s="2"/>
      <c r="J75" s="7">
        <f t="shared" si="37"/>
        <v>5.0803284601693777E-4</v>
      </c>
      <c r="K75" s="2"/>
      <c r="L75" s="6">
        <f t="shared" si="38"/>
        <v>-300</v>
      </c>
      <c r="M75" s="2"/>
      <c r="N75" s="7">
        <f t="shared" si="39"/>
        <v>-1</v>
      </c>
      <c r="O75" s="11"/>
      <c r="P75" s="6"/>
      <c r="Q75" s="2"/>
      <c r="R75" s="7">
        <f t="shared" si="40"/>
        <v>0</v>
      </c>
      <c r="S75" s="2"/>
      <c r="T75" s="6">
        <v>300</v>
      </c>
      <c r="U75" s="2"/>
      <c r="V75" s="7">
        <f t="shared" si="41"/>
        <v>3.3325105735006313E-4</v>
      </c>
      <c r="W75" s="2"/>
      <c r="X75" s="6">
        <f t="shared" si="42"/>
        <v>-300</v>
      </c>
      <c r="Y75" s="2"/>
      <c r="Z75" s="7">
        <f t="shared" si="43"/>
        <v>-1</v>
      </c>
    </row>
    <row r="76" spans="1:26" s="26" customFormat="1" outlineLevel="1" collapsed="1" x14ac:dyDescent="0.25">
      <c r="A76" s="25"/>
      <c r="B76" s="13" t="str">
        <f>CONCATENATE("     ","Employees' Appreciation                           ")</f>
        <v xml:space="preserve">     Employees' Appreciation                           </v>
      </c>
      <c r="C76" s="13"/>
      <c r="D76" s="1">
        <f>SUM(OSRRefD22_8x_0)</f>
        <v>289.95999999999998</v>
      </c>
      <c r="E76" s="1"/>
      <c r="F76" s="5">
        <f t="shared" si="36"/>
        <v>6.0890579108550654E-4</v>
      </c>
      <c r="G76" s="1"/>
      <c r="H76" s="1">
        <f>SUM(OSRRefH22_8x_0)</f>
        <v>375</v>
      </c>
      <c r="I76" s="1"/>
      <c r="J76" s="5">
        <f t="shared" si="37"/>
        <v>6.3504105752117232E-4</v>
      </c>
      <c r="K76" s="1"/>
      <c r="L76" s="1">
        <f t="shared" si="38"/>
        <v>-85.04000000000002</v>
      </c>
      <c r="M76" s="1"/>
      <c r="N76" s="5">
        <f t="shared" si="39"/>
        <v>-0.22677333333333338</v>
      </c>
      <c r="O76" s="13"/>
      <c r="P76" s="1">
        <f>SUM(OSRRefP22_8x_0)</f>
        <v>399.72</v>
      </c>
      <c r="Q76" s="1"/>
      <c r="R76" s="5">
        <f t="shared" si="40"/>
        <v>5.5944860078576688E-4</v>
      </c>
      <c r="S76" s="1"/>
      <c r="T76" s="1">
        <f>SUM(OSRRefT22_8x_0)</f>
        <v>765</v>
      </c>
      <c r="U76" s="1"/>
      <c r="V76" s="5">
        <f t="shared" si="41"/>
        <v>8.4979019624266102E-4</v>
      </c>
      <c r="W76" s="1"/>
      <c r="X76" s="1">
        <f t="shared" si="42"/>
        <v>-365.28</v>
      </c>
      <c r="Y76" s="1"/>
      <c r="Z76" s="5">
        <f t="shared" si="43"/>
        <v>-0.47749019607843135</v>
      </c>
    </row>
    <row r="77" spans="1:26" s="24" customFormat="1" hidden="1" outlineLevel="2" x14ac:dyDescent="0.25">
      <c r="A77" s="27"/>
      <c r="B77" s="11" t="str">
        <f>CONCATENATE("          ", "6277", " - ", "EMPLOYEE APPRECIATION")</f>
        <v xml:space="preserve">          6277 - EMPLOYEE APPRECIATION</v>
      </c>
      <c r="C77" s="11"/>
      <c r="D77" s="6">
        <v>289.95999999999998</v>
      </c>
      <c r="E77" s="2"/>
      <c r="F77" s="7">
        <f t="shared" si="36"/>
        <v>6.0890579108550654E-4</v>
      </c>
      <c r="G77" s="2"/>
      <c r="H77" s="6">
        <v>375</v>
      </c>
      <c r="I77" s="2"/>
      <c r="J77" s="7">
        <f t="shared" si="37"/>
        <v>6.3504105752117232E-4</v>
      </c>
      <c r="K77" s="2"/>
      <c r="L77" s="6">
        <f t="shared" si="38"/>
        <v>-85.04000000000002</v>
      </c>
      <c r="M77" s="2"/>
      <c r="N77" s="7">
        <f t="shared" si="39"/>
        <v>-0.22677333333333338</v>
      </c>
      <c r="O77" s="11"/>
      <c r="P77" s="6">
        <v>399.72</v>
      </c>
      <c r="Q77" s="2"/>
      <c r="R77" s="7">
        <f t="shared" si="40"/>
        <v>5.5944860078576688E-4</v>
      </c>
      <c r="S77" s="2"/>
      <c r="T77" s="6">
        <v>765</v>
      </c>
      <c r="U77" s="2"/>
      <c r="V77" s="7">
        <f t="shared" si="41"/>
        <v>8.4979019624266102E-4</v>
      </c>
      <c r="W77" s="2"/>
      <c r="X77" s="6">
        <f t="shared" si="42"/>
        <v>-365.28</v>
      </c>
      <c r="Y77" s="2"/>
      <c r="Z77" s="7">
        <f t="shared" si="43"/>
        <v>-0.47749019607843135</v>
      </c>
    </row>
    <row r="78" spans="1:26" s="26" customFormat="1" outlineLevel="1" collapsed="1" x14ac:dyDescent="0.25">
      <c r="A78" s="25"/>
      <c r="B78" s="13" t="str">
        <f>CONCATENATE("     ","Equipment Rental                                  ")</f>
        <v xml:space="preserve">     Equipment Rental                                  </v>
      </c>
      <c r="C78" s="13"/>
      <c r="D78" s="1">
        <f>SUM(OSRRefD22_9x_0)</f>
        <v>2773.64</v>
      </c>
      <c r="E78" s="1"/>
      <c r="F78" s="5">
        <f t="shared" si="36"/>
        <v>5.8245463456559673E-3</v>
      </c>
      <c r="G78" s="1"/>
      <c r="H78" s="1">
        <f>SUM(OSRRefH22_9x_0)</f>
        <v>1185</v>
      </c>
      <c r="I78" s="1"/>
      <c r="J78" s="5">
        <f t="shared" si="37"/>
        <v>2.0067297417669045E-3</v>
      </c>
      <c r="K78" s="1"/>
      <c r="L78" s="1">
        <f t="shared" si="38"/>
        <v>1588.6399999999999</v>
      </c>
      <c r="M78" s="1"/>
      <c r="N78" s="5">
        <f t="shared" si="39"/>
        <v>1.3406244725738397</v>
      </c>
      <c r="O78" s="13"/>
      <c r="P78" s="1">
        <f>SUM(OSRRefP22_9x_0)</f>
        <v>4458.12</v>
      </c>
      <c r="Q78" s="1"/>
      <c r="R78" s="5">
        <f t="shared" si="40"/>
        <v>6.2395902034800433E-3</v>
      </c>
      <c r="S78" s="1"/>
      <c r="T78" s="1">
        <f>SUM(OSRRefT22_9x_0)</f>
        <v>3055</v>
      </c>
      <c r="U78" s="1"/>
      <c r="V78" s="5">
        <f t="shared" si="41"/>
        <v>3.3936066006814763E-3</v>
      </c>
      <c r="W78" s="1"/>
      <c r="X78" s="1">
        <f t="shared" si="42"/>
        <v>1403.12</v>
      </c>
      <c r="Y78" s="1"/>
      <c r="Z78" s="5">
        <f t="shared" si="43"/>
        <v>0.45928641571194762</v>
      </c>
    </row>
    <row r="79" spans="1:26" s="24" customFormat="1" hidden="1" outlineLevel="2" x14ac:dyDescent="0.25">
      <c r="A79" s="27"/>
      <c r="B79" s="11" t="str">
        <f>CONCATENATE("          ", "6351", " - ", "EQUIPMENT RENTAL")</f>
        <v xml:space="preserve">          6351 - EQUIPMENT RENTAL</v>
      </c>
      <c r="C79" s="11"/>
      <c r="D79" s="6">
        <v>2773.64</v>
      </c>
      <c r="E79" s="2"/>
      <c r="F79" s="7">
        <f t="shared" si="36"/>
        <v>5.8245463456559673E-3</v>
      </c>
      <c r="G79" s="2"/>
      <c r="H79" s="6">
        <v>1185</v>
      </c>
      <c r="I79" s="2"/>
      <c r="J79" s="7">
        <f t="shared" si="37"/>
        <v>2.0067297417669045E-3</v>
      </c>
      <c r="K79" s="2"/>
      <c r="L79" s="6">
        <f t="shared" si="38"/>
        <v>1588.6399999999999</v>
      </c>
      <c r="M79" s="2"/>
      <c r="N79" s="7">
        <f t="shared" si="39"/>
        <v>1.3406244725738397</v>
      </c>
      <c r="O79" s="11"/>
      <c r="P79" s="6">
        <v>4458.12</v>
      </c>
      <c r="Q79" s="2"/>
      <c r="R79" s="7">
        <f t="shared" si="40"/>
        <v>6.2395902034800433E-3</v>
      </c>
      <c r="S79" s="2"/>
      <c r="T79" s="6">
        <v>3055</v>
      </c>
      <c r="U79" s="2"/>
      <c r="V79" s="7">
        <f t="shared" si="41"/>
        <v>3.3936066006814763E-3</v>
      </c>
      <c r="W79" s="2"/>
      <c r="X79" s="6">
        <f t="shared" si="42"/>
        <v>1403.12</v>
      </c>
      <c r="Y79" s="2"/>
      <c r="Z79" s="7">
        <f t="shared" si="43"/>
        <v>0.45928641571194762</v>
      </c>
    </row>
    <row r="80" spans="1:26" s="26" customFormat="1" outlineLevel="1" collapsed="1" x14ac:dyDescent="0.25">
      <c r="A80" s="25"/>
      <c r="B80" s="13" t="str">
        <f>CONCATENATE("     ","Freight out/Postage                               ")</f>
        <v xml:space="preserve">     Freight out/Postage                               </v>
      </c>
      <c r="C80" s="13"/>
      <c r="D80" s="1">
        <f>SUM(OSRRefD22_10x_0)</f>
        <v>44.96</v>
      </c>
      <c r="E80" s="1"/>
      <c r="F80" s="5">
        <f t="shared" si="36"/>
        <v>9.4414417047883757E-5</v>
      </c>
      <c r="G80" s="1"/>
      <c r="H80" s="1">
        <f>SUM(OSRRefH22_10x_0)</f>
        <v>0</v>
      </c>
      <c r="I80" s="1"/>
      <c r="J80" s="5">
        <f t="shared" si="37"/>
        <v>0</v>
      </c>
      <c r="K80" s="1"/>
      <c r="L80" s="1">
        <f t="shared" si="38"/>
        <v>44.96</v>
      </c>
      <c r="M80" s="1"/>
      <c r="N80" s="5">
        <f t="shared" si="39"/>
        <v>0</v>
      </c>
      <c r="O80" s="13"/>
      <c r="P80" s="1">
        <f>SUM(OSRRefP22_10x_0)</f>
        <v>116.65</v>
      </c>
      <c r="Q80" s="1"/>
      <c r="R80" s="5">
        <f t="shared" si="40"/>
        <v>1.6326348264199866E-4</v>
      </c>
      <c r="S80" s="1"/>
      <c r="T80" s="1">
        <f>SUM(OSRRefT22_10x_0)</f>
        <v>0</v>
      </c>
      <c r="U80" s="1"/>
      <c r="V80" s="5">
        <f t="shared" si="41"/>
        <v>0</v>
      </c>
      <c r="W80" s="1"/>
      <c r="X80" s="1">
        <f t="shared" si="42"/>
        <v>116.65</v>
      </c>
      <c r="Y80" s="1"/>
      <c r="Z80" s="5">
        <f t="shared" si="43"/>
        <v>0</v>
      </c>
    </row>
    <row r="81" spans="1:26" s="24" customFormat="1" hidden="1" outlineLevel="2" x14ac:dyDescent="0.25">
      <c r="A81" s="27"/>
      <c r="B81" s="11" t="str">
        <f>CONCATENATE("          ", "6305", " - ", "FREIGHT OUT")</f>
        <v xml:space="preserve">          6305 - FREIGHT OUT</v>
      </c>
      <c r="C81" s="11"/>
      <c r="D81" s="6">
        <v>44.96</v>
      </c>
      <c r="E81" s="2"/>
      <c r="F81" s="7">
        <f t="shared" si="36"/>
        <v>9.4414417047883757E-5</v>
      </c>
      <c r="G81" s="2"/>
      <c r="H81" s="6"/>
      <c r="I81" s="2"/>
      <c r="J81" s="7">
        <f t="shared" si="37"/>
        <v>0</v>
      </c>
      <c r="K81" s="2"/>
      <c r="L81" s="6">
        <f t="shared" si="38"/>
        <v>44.96</v>
      </c>
      <c r="M81" s="2"/>
      <c r="N81" s="7">
        <f t="shared" si="39"/>
        <v>0</v>
      </c>
      <c r="O81" s="11"/>
      <c r="P81" s="6">
        <v>116.65</v>
      </c>
      <c r="Q81" s="2"/>
      <c r="R81" s="7">
        <f t="shared" si="40"/>
        <v>1.6326348264199866E-4</v>
      </c>
      <c r="S81" s="2"/>
      <c r="T81" s="6"/>
      <c r="U81" s="2"/>
      <c r="V81" s="7">
        <f t="shared" si="41"/>
        <v>0</v>
      </c>
      <c r="W81" s="2"/>
      <c r="X81" s="6">
        <f t="shared" si="42"/>
        <v>116.65</v>
      </c>
      <c r="Y81" s="2"/>
      <c r="Z81" s="7">
        <f t="shared" si="43"/>
        <v>0</v>
      </c>
    </row>
    <row r="82" spans="1:26" s="26" customFormat="1" outlineLevel="1" collapsed="1" x14ac:dyDescent="0.25">
      <c r="A82" s="25"/>
      <c r="B82" s="13" t="str">
        <f>CONCATENATE("     ","General                                           ")</f>
        <v xml:space="preserve">     General                                           </v>
      </c>
      <c r="C82" s="13"/>
      <c r="D82" s="1">
        <f>SUM(OSRRefD22_11x_0)</f>
        <v>4577.67</v>
      </c>
      <c r="E82" s="1"/>
      <c r="F82" s="5">
        <f t="shared" si="36"/>
        <v>9.6129458293502234E-3</v>
      </c>
      <c r="G82" s="1"/>
      <c r="H82" s="1">
        <f>SUM(OSRRefH22_11x_0)</f>
        <v>6403</v>
      </c>
      <c r="I82" s="1"/>
      <c r="J82" s="5">
        <f t="shared" si="37"/>
        <v>1.0843114376821509E-2</v>
      </c>
      <c r="K82" s="1"/>
      <c r="L82" s="1">
        <f t="shared" si="38"/>
        <v>-1825.33</v>
      </c>
      <c r="M82" s="1"/>
      <c r="N82" s="5">
        <f t="shared" si="39"/>
        <v>-0.28507418397626111</v>
      </c>
      <c r="O82" s="13"/>
      <c r="P82" s="1">
        <f>SUM(OSRRefP22_11x_0)</f>
        <v>26619.52</v>
      </c>
      <c r="Q82" s="1"/>
      <c r="R82" s="5">
        <f t="shared" si="40"/>
        <v>3.7256712742891863E-2</v>
      </c>
      <c r="S82" s="1"/>
      <c r="T82" s="1">
        <f>SUM(OSRRefT22_11x_0)</f>
        <v>17648</v>
      </c>
      <c r="U82" s="1"/>
      <c r="V82" s="5">
        <f t="shared" si="41"/>
        <v>1.9604048867046382E-2</v>
      </c>
      <c r="W82" s="1"/>
      <c r="X82" s="1">
        <f t="shared" si="42"/>
        <v>8971.52</v>
      </c>
      <c r="Y82" s="1"/>
      <c r="Z82" s="5">
        <f t="shared" si="43"/>
        <v>0.50835902085222129</v>
      </c>
    </row>
    <row r="83" spans="1:26" s="24" customFormat="1" hidden="1" outlineLevel="2" x14ac:dyDescent="0.25">
      <c r="A83" s="27"/>
      <c r="B83" s="11" t="str">
        <f>CONCATENATE("          ", "6269", " - ", "ENTERTAINMENT")</f>
        <v xml:space="preserve">          6269 - ENTERTAINMENT</v>
      </c>
      <c r="C83" s="11"/>
      <c r="D83" s="6">
        <v>2600</v>
      </c>
      <c r="E83" s="2"/>
      <c r="F83" s="7">
        <f t="shared" si="36"/>
        <v>5.4599084591747723E-3</v>
      </c>
      <c r="G83" s="2"/>
      <c r="H83" s="6">
        <v>350</v>
      </c>
      <c r="I83" s="2"/>
      <c r="J83" s="7">
        <f t="shared" si="37"/>
        <v>5.9270498701976073E-4</v>
      </c>
      <c r="K83" s="2"/>
      <c r="L83" s="6">
        <f t="shared" si="38"/>
        <v>2250</v>
      </c>
      <c r="M83" s="2"/>
      <c r="N83" s="7">
        <f t="shared" si="39"/>
        <v>6.4285714285714288</v>
      </c>
      <c r="O83" s="11"/>
      <c r="P83" s="6">
        <v>2600</v>
      </c>
      <c r="Q83" s="2"/>
      <c r="R83" s="7">
        <f t="shared" si="40"/>
        <v>3.6389631793330175E-3</v>
      </c>
      <c r="S83" s="2"/>
      <c r="T83" s="6">
        <v>1500</v>
      </c>
      <c r="U83" s="2"/>
      <c r="V83" s="7">
        <f t="shared" si="41"/>
        <v>1.6662552867503157E-3</v>
      </c>
      <c r="W83" s="2"/>
      <c r="X83" s="6">
        <f t="shared" si="42"/>
        <v>1100</v>
      </c>
      <c r="Y83" s="2"/>
      <c r="Z83" s="7">
        <f t="shared" si="43"/>
        <v>0.73333333333333328</v>
      </c>
    </row>
    <row r="84" spans="1:26" s="24" customFormat="1" hidden="1" outlineLevel="2" x14ac:dyDescent="0.25">
      <c r="A84" s="27"/>
      <c r="B84" s="11" t="str">
        <f>CONCATENATE("          ", "6279", " - ", "GENERAL EXPENSE")</f>
        <v xml:space="preserve">          6279 - GENERAL EXPENSE</v>
      </c>
      <c r="C84" s="11"/>
      <c r="D84" s="6">
        <v>1977.67</v>
      </c>
      <c r="E84" s="2"/>
      <c r="F84" s="7">
        <f t="shared" si="36"/>
        <v>4.1530373701754511E-3</v>
      </c>
      <c r="G84" s="2"/>
      <c r="H84" s="6">
        <v>6053</v>
      </c>
      <c r="I84" s="2"/>
      <c r="J84" s="7">
        <f t="shared" si="37"/>
        <v>1.0250409389801748E-2</v>
      </c>
      <c r="K84" s="2"/>
      <c r="L84" s="6">
        <f t="shared" si="38"/>
        <v>-4075.33</v>
      </c>
      <c r="M84" s="2"/>
      <c r="N84" s="7">
        <f t="shared" si="39"/>
        <v>-0.67327440938377658</v>
      </c>
      <c r="O84" s="11"/>
      <c r="P84" s="6">
        <v>24019.52</v>
      </c>
      <c r="Q84" s="2"/>
      <c r="R84" s="7">
        <f t="shared" si="40"/>
        <v>3.3617749563558848E-2</v>
      </c>
      <c r="S84" s="2"/>
      <c r="T84" s="6">
        <v>16148</v>
      </c>
      <c r="U84" s="2"/>
      <c r="V84" s="7">
        <f t="shared" si="41"/>
        <v>1.7937793580296065E-2</v>
      </c>
      <c r="W84" s="2"/>
      <c r="X84" s="6">
        <f t="shared" si="42"/>
        <v>7871.52</v>
      </c>
      <c r="Y84" s="2"/>
      <c r="Z84" s="7">
        <f t="shared" si="43"/>
        <v>0.48746098588060444</v>
      </c>
    </row>
    <row r="85" spans="1:26" s="26" customFormat="1" outlineLevel="1" collapsed="1" x14ac:dyDescent="0.25">
      <c r="A85" s="25"/>
      <c r="B85" s="13" t="str">
        <f>CONCATENATE("     ","Insurance                                         ")</f>
        <v xml:space="preserve">     Insurance                                         </v>
      </c>
      <c r="C85" s="13"/>
      <c r="D85" s="1">
        <f>SUM(OSRRefD22_12x_0)</f>
        <v>4483.67</v>
      </c>
      <c r="E85" s="1"/>
      <c r="F85" s="5">
        <f t="shared" ref="F85:F99" si="44">IF(D$12=0,0,D85/D$12)</f>
        <v>9.415549138903136E-3</v>
      </c>
      <c r="G85" s="1"/>
      <c r="H85" s="1">
        <f>SUM(OSRRefH22_12x_0)</f>
        <v>4234</v>
      </c>
      <c r="I85" s="1"/>
      <c r="J85" s="5">
        <f t="shared" ref="J85:J99" si="45">IF(H$12=0,0,H85/H$12)</f>
        <v>7.170036900119049E-3</v>
      </c>
      <c r="K85" s="1"/>
      <c r="L85" s="1">
        <f t="shared" ref="L85:L99" si="46">+D85-H85</f>
        <v>249.67000000000007</v>
      </c>
      <c r="M85" s="1"/>
      <c r="N85" s="5">
        <f t="shared" ref="N85:N99" si="47">IF(H85=0,0,L85/H85)</f>
        <v>5.8967879074161567E-2</v>
      </c>
      <c r="O85" s="13"/>
      <c r="P85" s="1">
        <f>SUM(OSRRefP22_12x_0)</f>
        <v>8967.34</v>
      </c>
      <c r="Q85" s="1"/>
      <c r="R85" s="5">
        <f t="shared" ref="R85:R99" si="48">IF(P$12=0,0,P85/P$12)</f>
        <v>1.2550700029446209E-2</v>
      </c>
      <c r="S85" s="1"/>
      <c r="T85" s="1">
        <f>SUM(OSRRefT22_12x_0)</f>
        <v>8468</v>
      </c>
      <c r="U85" s="1"/>
      <c r="V85" s="5">
        <f t="shared" ref="V85:V99" si="49">IF(T$12=0,0,T85/T$12)</f>
        <v>9.4065665121344493E-3</v>
      </c>
      <c r="W85" s="1"/>
      <c r="X85" s="1">
        <f t="shared" ref="X85:X99" si="50">+P85-T85</f>
        <v>499.34000000000015</v>
      </c>
      <c r="Y85" s="1"/>
      <c r="Z85" s="5">
        <f t="shared" ref="Z85:Z99" si="51">IF(T85=0,0,X85/T85)</f>
        <v>5.8967879074161567E-2</v>
      </c>
    </row>
    <row r="86" spans="1:26" s="24" customFormat="1" hidden="1" outlineLevel="2" x14ac:dyDescent="0.25">
      <c r="A86" s="27"/>
      <c r="B86" s="11" t="str">
        <f>CONCATENATE("          ", "6314", " - ", "LIABILITY INSURANCE")</f>
        <v xml:space="preserve">          6314 - LIABILITY INSURANCE</v>
      </c>
      <c r="C86" s="11"/>
      <c r="D86" s="6">
        <v>4483.67</v>
      </c>
      <c r="E86" s="2"/>
      <c r="F86" s="7">
        <f t="shared" si="44"/>
        <v>9.415549138903136E-3</v>
      </c>
      <c r="G86" s="2"/>
      <c r="H86" s="6">
        <v>4234</v>
      </c>
      <c r="I86" s="2"/>
      <c r="J86" s="7">
        <f t="shared" si="45"/>
        <v>7.170036900119049E-3</v>
      </c>
      <c r="K86" s="2"/>
      <c r="L86" s="6">
        <f t="shared" si="46"/>
        <v>249.67000000000007</v>
      </c>
      <c r="M86" s="2"/>
      <c r="N86" s="7">
        <f t="shared" si="47"/>
        <v>5.8967879074161567E-2</v>
      </c>
      <c r="O86" s="11"/>
      <c r="P86" s="6">
        <v>8967.34</v>
      </c>
      <c r="Q86" s="2"/>
      <c r="R86" s="7">
        <f t="shared" si="48"/>
        <v>1.2550700029446209E-2</v>
      </c>
      <c r="S86" s="2"/>
      <c r="T86" s="6">
        <v>8468</v>
      </c>
      <c r="U86" s="2"/>
      <c r="V86" s="7">
        <f t="shared" si="49"/>
        <v>9.4065665121344493E-3</v>
      </c>
      <c r="W86" s="2"/>
      <c r="X86" s="6">
        <f t="shared" si="50"/>
        <v>499.34000000000015</v>
      </c>
      <c r="Y86" s="2"/>
      <c r="Z86" s="7">
        <f t="shared" si="51"/>
        <v>5.8967879074161567E-2</v>
      </c>
    </row>
    <row r="87" spans="1:26" s="26" customFormat="1" outlineLevel="1" collapsed="1" x14ac:dyDescent="0.25">
      <c r="A87" s="25"/>
      <c r="B87" s="13" t="str">
        <f>CONCATENATE("     ","Interest                                          ")</f>
        <v xml:space="preserve">     Interest                                          </v>
      </c>
      <c r="C87" s="13"/>
      <c r="D87" s="1">
        <f>SUM(OSRRefD22_13x_0)</f>
        <v>11740</v>
      </c>
      <c r="E87" s="1"/>
      <c r="F87" s="5">
        <f t="shared" si="44"/>
        <v>2.465358665796609E-2</v>
      </c>
      <c r="G87" s="1"/>
      <c r="H87" s="1">
        <f>SUM(OSRRefH22_13x_0)</f>
        <v>11929</v>
      </c>
      <c r="I87" s="1"/>
      <c r="J87" s="5">
        <f t="shared" si="45"/>
        <v>2.0201079400453504E-2</v>
      </c>
      <c r="K87" s="1"/>
      <c r="L87" s="1">
        <f t="shared" si="46"/>
        <v>-189</v>
      </c>
      <c r="M87" s="1"/>
      <c r="N87" s="5">
        <f t="shared" si="47"/>
        <v>-1.5843742141000924E-2</v>
      </c>
      <c r="O87" s="13"/>
      <c r="P87" s="1">
        <f>SUM(OSRRefP22_13x_0)</f>
        <v>23480</v>
      </c>
      <c r="Q87" s="1"/>
      <c r="R87" s="5">
        <f t="shared" si="48"/>
        <v>3.2862636711822789E-2</v>
      </c>
      <c r="S87" s="1"/>
      <c r="T87" s="1">
        <f>SUM(OSRRefT22_13x_0)</f>
        <v>23858</v>
      </c>
      <c r="U87" s="1"/>
      <c r="V87" s="5">
        <f t="shared" si="49"/>
        <v>2.6502345754192688E-2</v>
      </c>
      <c r="W87" s="1"/>
      <c r="X87" s="1">
        <f t="shared" si="50"/>
        <v>-378</v>
      </c>
      <c r="Y87" s="1"/>
      <c r="Z87" s="5">
        <f t="shared" si="51"/>
        <v>-1.5843742141000924E-2</v>
      </c>
    </row>
    <row r="88" spans="1:26" s="24" customFormat="1" hidden="1" outlineLevel="2" x14ac:dyDescent="0.25">
      <c r="A88" s="27"/>
      <c r="B88" s="11" t="str">
        <f>CONCATENATE("          ", "6401", " - ", "INTEREST EXPENSE")</f>
        <v xml:space="preserve">          6401 - INTEREST EXPENSE</v>
      </c>
      <c r="C88" s="11"/>
      <c r="D88" s="6">
        <v>11740</v>
      </c>
      <c r="E88" s="2"/>
      <c r="F88" s="7">
        <f t="shared" si="44"/>
        <v>2.465358665796609E-2</v>
      </c>
      <c r="G88" s="2"/>
      <c r="H88" s="6">
        <v>11929</v>
      </c>
      <c r="I88" s="2"/>
      <c r="J88" s="7">
        <f t="shared" si="45"/>
        <v>2.0201079400453504E-2</v>
      </c>
      <c r="K88" s="2"/>
      <c r="L88" s="6">
        <f t="shared" si="46"/>
        <v>-189</v>
      </c>
      <c r="M88" s="2"/>
      <c r="N88" s="7">
        <f t="shared" si="47"/>
        <v>-1.5843742141000924E-2</v>
      </c>
      <c r="O88" s="11"/>
      <c r="P88" s="6">
        <v>23480</v>
      </c>
      <c r="Q88" s="2"/>
      <c r="R88" s="7">
        <f t="shared" si="48"/>
        <v>3.2862636711822789E-2</v>
      </c>
      <c r="S88" s="2"/>
      <c r="T88" s="6">
        <v>23858</v>
      </c>
      <c r="U88" s="2"/>
      <c r="V88" s="7">
        <f t="shared" si="49"/>
        <v>2.6502345754192688E-2</v>
      </c>
      <c r="W88" s="2"/>
      <c r="X88" s="6">
        <f t="shared" si="50"/>
        <v>-378</v>
      </c>
      <c r="Y88" s="2"/>
      <c r="Z88" s="7">
        <f t="shared" si="51"/>
        <v>-1.5843742141000924E-2</v>
      </c>
    </row>
    <row r="89" spans="1:26" s="26" customFormat="1" outlineLevel="1" collapsed="1" x14ac:dyDescent="0.25">
      <c r="A89" s="25"/>
      <c r="B89" s="13" t="str">
        <f>CONCATENATE("     ","Professional Services                             ")</f>
        <v xml:space="preserve">     Professional Services                             </v>
      </c>
      <c r="C89" s="13"/>
      <c r="D89" s="1">
        <f>SUM(OSRRefD22_14x_0)</f>
        <v>125</v>
      </c>
      <c r="E89" s="1"/>
      <c r="F89" s="5">
        <f t="shared" si="44"/>
        <v>2.6249559899878716E-4</v>
      </c>
      <c r="G89" s="1"/>
      <c r="H89" s="1">
        <f>SUM(OSRRefH22_14x_0)</f>
        <v>0</v>
      </c>
      <c r="I89" s="1"/>
      <c r="J89" s="5">
        <f t="shared" si="45"/>
        <v>0</v>
      </c>
      <c r="K89" s="1"/>
      <c r="L89" s="1">
        <f t="shared" si="46"/>
        <v>125</v>
      </c>
      <c r="M89" s="1"/>
      <c r="N89" s="5">
        <f t="shared" si="47"/>
        <v>0</v>
      </c>
      <c r="O89" s="13"/>
      <c r="P89" s="1">
        <f>SUM(OSRRefP22_14x_0)</f>
        <v>125</v>
      </c>
      <c r="Q89" s="1"/>
      <c r="R89" s="5">
        <f t="shared" si="48"/>
        <v>1.7495015285254892E-4</v>
      </c>
      <c r="S89" s="1"/>
      <c r="T89" s="1">
        <f>SUM(OSRRefT22_14x_0)</f>
        <v>0</v>
      </c>
      <c r="U89" s="1"/>
      <c r="V89" s="5">
        <f t="shared" si="49"/>
        <v>0</v>
      </c>
      <c r="W89" s="1"/>
      <c r="X89" s="1">
        <f t="shared" si="50"/>
        <v>125</v>
      </c>
      <c r="Y89" s="1"/>
      <c r="Z89" s="5">
        <f t="shared" si="51"/>
        <v>0</v>
      </c>
    </row>
    <row r="90" spans="1:26" s="24" customFormat="1" hidden="1" outlineLevel="2" x14ac:dyDescent="0.25">
      <c r="A90" s="27"/>
      <c r="B90" s="11" t="str">
        <f>CONCATENATE("          ", "6336", " - ", "PROFESSIONAL SERVICES")</f>
        <v xml:space="preserve">          6336 - PROFESSIONAL SERVICES</v>
      </c>
      <c r="C90" s="11"/>
      <c r="D90" s="6">
        <v>125</v>
      </c>
      <c r="E90" s="2"/>
      <c r="F90" s="7">
        <f t="shared" si="44"/>
        <v>2.6249559899878716E-4</v>
      </c>
      <c r="G90" s="2"/>
      <c r="H90" s="6"/>
      <c r="I90" s="2"/>
      <c r="J90" s="7">
        <f t="shared" si="45"/>
        <v>0</v>
      </c>
      <c r="K90" s="2"/>
      <c r="L90" s="6">
        <f t="shared" si="46"/>
        <v>125</v>
      </c>
      <c r="M90" s="2"/>
      <c r="N90" s="7">
        <f t="shared" si="47"/>
        <v>0</v>
      </c>
      <c r="O90" s="11"/>
      <c r="P90" s="6">
        <v>125</v>
      </c>
      <c r="Q90" s="2"/>
      <c r="R90" s="7">
        <f t="shared" si="48"/>
        <v>1.7495015285254892E-4</v>
      </c>
      <c r="S90" s="2"/>
      <c r="T90" s="6"/>
      <c r="U90" s="2"/>
      <c r="V90" s="7">
        <f t="shared" si="49"/>
        <v>0</v>
      </c>
      <c r="W90" s="2"/>
      <c r="X90" s="6">
        <f t="shared" si="50"/>
        <v>125</v>
      </c>
      <c r="Y90" s="2"/>
      <c r="Z90" s="7">
        <f t="shared" si="51"/>
        <v>0</v>
      </c>
    </row>
    <row r="91" spans="1:26" s="26" customFormat="1" outlineLevel="1" collapsed="1" x14ac:dyDescent="0.25">
      <c r="A91" s="25"/>
      <c r="B91" s="13" t="str">
        <f>CONCATENATE("     ","R/H Commissions                                   ")</f>
        <v xml:space="preserve">     R/H Commissions                                   </v>
      </c>
      <c r="C91" s="13"/>
      <c r="D91" s="1">
        <f>SUM(OSRRefD22_15x_0)</f>
        <v>0</v>
      </c>
      <c r="E91" s="1"/>
      <c r="F91" s="5">
        <f t="shared" si="44"/>
        <v>0</v>
      </c>
      <c r="G91" s="1"/>
      <c r="H91" s="1">
        <f>SUM(OSRRefH22_15x_0)</f>
        <v>0</v>
      </c>
      <c r="I91" s="1"/>
      <c r="J91" s="5">
        <f t="shared" si="45"/>
        <v>0</v>
      </c>
      <c r="K91" s="1"/>
      <c r="L91" s="1">
        <f t="shared" si="46"/>
        <v>0</v>
      </c>
      <c r="M91" s="1"/>
      <c r="N91" s="5">
        <f t="shared" si="47"/>
        <v>0</v>
      </c>
      <c r="O91" s="13"/>
      <c r="P91" s="1">
        <f>SUM(OSRRefP22_15x_0)</f>
        <v>0</v>
      </c>
      <c r="Q91" s="1"/>
      <c r="R91" s="5">
        <f t="shared" si="48"/>
        <v>0</v>
      </c>
      <c r="S91" s="1"/>
      <c r="T91" s="1">
        <f>SUM(OSRRefT22_15x_0)</f>
        <v>0</v>
      </c>
      <c r="U91" s="1"/>
      <c r="V91" s="5">
        <f t="shared" si="49"/>
        <v>0</v>
      </c>
      <c r="W91" s="1"/>
      <c r="X91" s="1">
        <f t="shared" si="50"/>
        <v>0</v>
      </c>
      <c r="Y91" s="1"/>
      <c r="Z91" s="5">
        <f t="shared" si="51"/>
        <v>0</v>
      </c>
    </row>
    <row r="92" spans="1:26" s="24" customFormat="1" hidden="1" outlineLevel="2" x14ac:dyDescent="0.25">
      <c r="A92" s="27"/>
      <c r="B92" s="11" t="str">
        <f>CONCATENATE("          ", "6387", " - ", "COMMISSION DUE HOUSING")</f>
        <v xml:space="preserve">          6387 - COMMISSION DUE HOUSING</v>
      </c>
      <c r="C92" s="11"/>
      <c r="D92" s="6"/>
      <c r="E92" s="2"/>
      <c r="F92" s="7">
        <f t="shared" si="44"/>
        <v>0</v>
      </c>
      <c r="G92" s="2"/>
      <c r="H92" s="6"/>
      <c r="I92" s="2"/>
      <c r="J92" s="7">
        <f t="shared" si="45"/>
        <v>0</v>
      </c>
      <c r="K92" s="2"/>
      <c r="L92" s="6">
        <f t="shared" si="46"/>
        <v>0</v>
      </c>
      <c r="M92" s="2"/>
      <c r="N92" s="7">
        <f t="shared" si="47"/>
        <v>0</v>
      </c>
      <c r="O92" s="11"/>
      <c r="P92" s="6"/>
      <c r="Q92" s="2"/>
      <c r="R92" s="7">
        <f t="shared" si="48"/>
        <v>0</v>
      </c>
      <c r="S92" s="2"/>
      <c r="T92" s="6">
        <v>0</v>
      </c>
      <c r="U92" s="2"/>
      <c r="V92" s="7">
        <f t="shared" si="49"/>
        <v>0</v>
      </c>
      <c r="W92" s="2"/>
      <c r="X92" s="6">
        <f t="shared" si="50"/>
        <v>0</v>
      </c>
      <c r="Y92" s="2"/>
      <c r="Z92" s="7">
        <f t="shared" si="51"/>
        <v>0</v>
      </c>
    </row>
    <row r="93" spans="1:26" s="26" customFormat="1" outlineLevel="1" collapsed="1" x14ac:dyDescent="0.25">
      <c r="A93" s="25"/>
      <c r="B93" s="13" t="str">
        <f>CONCATENATE("     ","Rent                                              ")</f>
        <v xml:space="preserve">     Rent                                              </v>
      </c>
      <c r="C93" s="13"/>
      <c r="D93" s="1">
        <f>SUM(OSRRefD22_16x_0)</f>
        <v>3000</v>
      </c>
      <c r="E93" s="1"/>
      <c r="F93" s="5">
        <f t="shared" si="44"/>
        <v>6.299894375970891E-3</v>
      </c>
      <c r="G93" s="1"/>
      <c r="H93" s="1">
        <f>SUM(OSRRefH22_16x_0)</f>
        <v>3000</v>
      </c>
      <c r="I93" s="1"/>
      <c r="J93" s="5">
        <f t="shared" si="45"/>
        <v>5.0803284601693786E-3</v>
      </c>
      <c r="K93" s="1"/>
      <c r="L93" s="1">
        <f t="shared" si="46"/>
        <v>0</v>
      </c>
      <c r="M93" s="1"/>
      <c r="N93" s="5">
        <f t="shared" si="47"/>
        <v>0</v>
      </c>
      <c r="O93" s="13"/>
      <c r="P93" s="1">
        <f>SUM(OSRRefP22_16x_0)</f>
        <v>6000</v>
      </c>
      <c r="Q93" s="1"/>
      <c r="R93" s="5">
        <f t="shared" si="48"/>
        <v>8.397607336922349E-3</v>
      </c>
      <c r="S93" s="1"/>
      <c r="T93" s="1">
        <f>SUM(OSRRefT22_16x_0)</f>
        <v>6000</v>
      </c>
      <c r="U93" s="1"/>
      <c r="V93" s="5">
        <f t="shared" si="49"/>
        <v>6.6650211470012629E-3</v>
      </c>
      <c r="W93" s="1"/>
      <c r="X93" s="1">
        <f t="shared" si="50"/>
        <v>0</v>
      </c>
      <c r="Y93" s="1"/>
      <c r="Z93" s="5">
        <f t="shared" si="51"/>
        <v>0</v>
      </c>
    </row>
    <row r="94" spans="1:26" s="24" customFormat="1" hidden="1" outlineLevel="2" x14ac:dyDescent="0.25">
      <c r="A94" s="27"/>
      <c r="B94" s="11" t="str">
        <f>CONCATENATE("          ", "6273", " - ", "RENT")</f>
        <v xml:space="preserve">          6273 - RENT</v>
      </c>
      <c r="C94" s="11"/>
      <c r="D94" s="6">
        <v>3000</v>
      </c>
      <c r="E94" s="2"/>
      <c r="F94" s="7">
        <f t="shared" si="44"/>
        <v>6.299894375970891E-3</v>
      </c>
      <c r="G94" s="2"/>
      <c r="H94" s="6">
        <v>3000</v>
      </c>
      <c r="I94" s="2"/>
      <c r="J94" s="7">
        <f t="shared" si="45"/>
        <v>5.0803284601693786E-3</v>
      </c>
      <c r="K94" s="2"/>
      <c r="L94" s="6">
        <f t="shared" si="46"/>
        <v>0</v>
      </c>
      <c r="M94" s="2"/>
      <c r="N94" s="7">
        <f t="shared" si="47"/>
        <v>0</v>
      </c>
      <c r="O94" s="11"/>
      <c r="P94" s="6">
        <v>6000</v>
      </c>
      <c r="Q94" s="2"/>
      <c r="R94" s="7">
        <f t="shared" si="48"/>
        <v>8.397607336922349E-3</v>
      </c>
      <c r="S94" s="2"/>
      <c r="T94" s="6">
        <v>6000</v>
      </c>
      <c r="U94" s="2"/>
      <c r="V94" s="7">
        <f t="shared" si="49"/>
        <v>6.6650211470012629E-3</v>
      </c>
      <c r="W94" s="2"/>
      <c r="X94" s="6">
        <f t="shared" si="50"/>
        <v>0</v>
      </c>
      <c r="Y94" s="2"/>
      <c r="Z94" s="7">
        <f t="shared" si="51"/>
        <v>0</v>
      </c>
    </row>
    <row r="95" spans="1:26" s="26" customFormat="1" outlineLevel="1" collapsed="1" x14ac:dyDescent="0.25">
      <c r="A95" s="25"/>
      <c r="B95" s="13" t="str">
        <f>CONCATENATE("     ","Repair and Maintenance                            ")</f>
        <v xml:space="preserve">     Repair and Maintenance                            </v>
      </c>
      <c r="C95" s="13"/>
      <c r="D95" s="1">
        <f>SUM(OSRRefD22_17x_0)</f>
        <v>23172.27</v>
      </c>
      <c r="E95" s="1"/>
      <c r="F95" s="5">
        <f t="shared" si="44"/>
        <v>4.8660951150493001E-2</v>
      </c>
      <c r="G95" s="1"/>
      <c r="H95" s="1">
        <f>SUM(OSRRefH22_17x_0)</f>
        <v>29435</v>
      </c>
      <c r="I95" s="1"/>
      <c r="J95" s="5">
        <f t="shared" si="45"/>
        <v>4.984648940836188E-2</v>
      </c>
      <c r="K95" s="1"/>
      <c r="L95" s="1">
        <f t="shared" si="46"/>
        <v>-6262.73</v>
      </c>
      <c r="M95" s="1"/>
      <c r="N95" s="5">
        <f t="shared" si="47"/>
        <v>-0.21276473585867164</v>
      </c>
      <c r="O95" s="13"/>
      <c r="P95" s="1">
        <f>SUM(OSRRefP22_17x_0)</f>
        <v>50802.61</v>
      </c>
      <c r="Q95" s="1"/>
      <c r="R95" s="5">
        <f t="shared" si="48"/>
        <v>7.1103395078467441E-2</v>
      </c>
      <c r="S95" s="1"/>
      <c r="T95" s="1">
        <f>SUM(OSRRefT22_17x_0)</f>
        <v>50765</v>
      </c>
      <c r="U95" s="1"/>
      <c r="V95" s="5">
        <f t="shared" si="49"/>
        <v>5.6391633087919855E-2</v>
      </c>
      <c r="W95" s="1"/>
      <c r="X95" s="1">
        <f t="shared" si="50"/>
        <v>37.610000000000582</v>
      </c>
      <c r="Y95" s="1"/>
      <c r="Z95" s="5">
        <f t="shared" si="51"/>
        <v>7.4086476903379459E-4</v>
      </c>
    </row>
    <row r="96" spans="1:26" s="24" customFormat="1" hidden="1" outlineLevel="2" x14ac:dyDescent="0.25">
      <c r="A96" s="27"/>
      <c r="B96" s="11" t="str">
        <f>CONCATENATE("          ", "6371", " - ", "COMPUTER SOFTWARE MAINTENANCE")</f>
        <v xml:space="preserve">          6371 - COMPUTER SOFTWARE MAINTENANCE</v>
      </c>
      <c r="C96" s="11"/>
      <c r="D96" s="6"/>
      <c r="E96" s="2"/>
      <c r="F96" s="7">
        <f t="shared" si="44"/>
        <v>0</v>
      </c>
      <c r="G96" s="2"/>
      <c r="H96" s="6">
        <v>50</v>
      </c>
      <c r="I96" s="2"/>
      <c r="J96" s="7">
        <f t="shared" si="45"/>
        <v>8.4672141002822975E-5</v>
      </c>
      <c r="K96" s="2"/>
      <c r="L96" s="6">
        <f t="shared" si="46"/>
        <v>-50</v>
      </c>
      <c r="M96" s="2"/>
      <c r="N96" s="7">
        <f t="shared" si="47"/>
        <v>-1</v>
      </c>
      <c r="O96" s="11"/>
      <c r="P96" s="6"/>
      <c r="Q96" s="2"/>
      <c r="R96" s="7">
        <f t="shared" si="48"/>
        <v>0</v>
      </c>
      <c r="S96" s="2"/>
      <c r="T96" s="6">
        <v>600</v>
      </c>
      <c r="U96" s="2"/>
      <c r="V96" s="7">
        <f t="shared" si="49"/>
        <v>6.6650211470012626E-4</v>
      </c>
      <c r="W96" s="2"/>
      <c r="X96" s="6">
        <f t="shared" si="50"/>
        <v>-600</v>
      </c>
      <c r="Y96" s="2"/>
      <c r="Z96" s="7">
        <f t="shared" si="51"/>
        <v>-1</v>
      </c>
    </row>
    <row r="97" spans="1:26" s="24" customFormat="1" hidden="1" outlineLevel="2" x14ac:dyDescent="0.25">
      <c r="A97" s="27"/>
      <c r="B97" s="11" t="str">
        <f>CONCATENATE("          ", "6372", " - ", "COMPUTER HARDWARE MAINTENANCE")</f>
        <v xml:space="preserve">          6372 - COMPUTER HARDWARE MAINTENANCE</v>
      </c>
      <c r="C97" s="11"/>
      <c r="D97" s="6"/>
      <c r="E97" s="2"/>
      <c r="F97" s="7">
        <f t="shared" si="44"/>
        <v>0</v>
      </c>
      <c r="G97" s="2"/>
      <c r="H97" s="6"/>
      <c r="I97" s="2"/>
      <c r="J97" s="7">
        <f t="shared" si="45"/>
        <v>0</v>
      </c>
      <c r="K97" s="2"/>
      <c r="L97" s="6">
        <f t="shared" si="46"/>
        <v>0</v>
      </c>
      <c r="M97" s="2"/>
      <c r="N97" s="7">
        <f t="shared" si="47"/>
        <v>0</v>
      </c>
      <c r="O97" s="11"/>
      <c r="P97" s="6"/>
      <c r="Q97" s="2"/>
      <c r="R97" s="7">
        <f t="shared" si="48"/>
        <v>0</v>
      </c>
      <c r="S97" s="2"/>
      <c r="T97" s="6">
        <v>200</v>
      </c>
      <c r="U97" s="2"/>
      <c r="V97" s="7">
        <f t="shared" si="49"/>
        <v>2.2216737156670877E-4</v>
      </c>
      <c r="W97" s="2"/>
      <c r="X97" s="6">
        <f t="shared" si="50"/>
        <v>-200</v>
      </c>
      <c r="Y97" s="2"/>
      <c r="Z97" s="7">
        <f t="shared" si="51"/>
        <v>-1</v>
      </c>
    </row>
    <row r="98" spans="1:26" s="24" customFormat="1" hidden="1" outlineLevel="2" x14ac:dyDescent="0.25">
      <c r="A98" s="27"/>
      <c r="B98" s="11" t="str">
        <f>CONCATENATE("          ", "6373", " - ", "MAINTENANCE CONTRACTS")</f>
        <v xml:space="preserve">          6373 - MAINTENANCE CONTRACTS</v>
      </c>
      <c r="C98" s="11"/>
      <c r="D98" s="6">
        <v>10062.32</v>
      </c>
      <c r="E98" s="2"/>
      <c r="F98" s="7">
        <f t="shared" si="44"/>
        <v>2.1130517725739806E-2</v>
      </c>
      <c r="G98" s="2"/>
      <c r="H98" s="6">
        <v>2200</v>
      </c>
      <c r="I98" s="2"/>
      <c r="J98" s="7">
        <f t="shared" si="45"/>
        <v>3.7255742041242107E-3</v>
      </c>
      <c r="K98" s="2"/>
      <c r="L98" s="6">
        <f t="shared" si="46"/>
        <v>7862.32</v>
      </c>
      <c r="M98" s="2"/>
      <c r="N98" s="7">
        <f t="shared" si="47"/>
        <v>3.5737818181818182</v>
      </c>
      <c r="O98" s="11"/>
      <c r="P98" s="6">
        <v>16091.2</v>
      </c>
      <c r="Q98" s="2"/>
      <c r="R98" s="7">
        <f t="shared" si="48"/>
        <v>2.2521263196647483E-2</v>
      </c>
      <c r="S98" s="2"/>
      <c r="T98" s="6">
        <v>4400</v>
      </c>
      <c r="U98" s="2"/>
      <c r="V98" s="7">
        <f t="shared" si="49"/>
        <v>4.8876821744675931E-3</v>
      </c>
      <c r="W98" s="2"/>
      <c r="X98" s="6">
        <f t="shared" si="50"/>
        <v>11691.2</v>
      </c>
      <c r="Y98" s="2"/>
      <c r="Z98" s="7">
        <f t="shared" si="51"/>
        <v>2.6570909090909094</v>
      </c>
    </row>
    <row r="99" spans="1:26" s="24" customFormat="1" hidden="1" outlineLevel="2" x14ac:dyDescent="0.25">
      <c r="A99" s="27"/>
      <c r="B99" s="11" t="str">
        <f>CONCATENATE("          ", "6375", " - ", "OUTSIDE REPAIRS &amp; MAINTENANCE")</f>
        <v xml:space="preserve">          6375 - OUTSIDE REPAIRS &amp; MAINTENANCE</v>
      </c>
      <c r="C99" s="11"/>
      <c r="D99" s="6">
        <v>13109.95</v>
      </c>
      <c r="E99" s="2"/>
      <c r="F99" s="7">
        <f t="shared" si="44"/>
        <v>2.7530433424753198E-2</v>
      </c>
      <c r="G99" s="2"/>
      <c r="H99" s="6">
        <v>27185</v>
      </c>
      <c r="I99" s="2"/>
      <c r="J99" s="7">
        <f t="shared" si="45"/>
        <v>4.6036243063234845E-2</v>
      </c>
      <c r="K99" s="2"/>
      <c r="L99" s="6">
        <f t="shared" si="46"/>
        <v>-14075.05</v>
      </c>
      <c r="M99" s="2"/>
      <c r="N99" s="7">
        <f t="shared" si="47"/>
        <v>-0.51775059775611543</v>
      </c>
      <c r="O99" s="11"/>
      <c r="P99" s="6">
        <v>34711.409999999996</v>
      </c>
      <c r="Q99" s="2"/>
      <c r="R99" s="7">
        <f t="shared" si="48"/>
        <v>4.8582131881819958E-2</v>
      </c>
      <c r="S99" s="2"/>
      <c r="T99" s="6">
        <v>45565</v>
      </c>
      <c r="U99" s="2"/>
      <c r="V99" s="7">
        <f t="shared" si="49"/>
        <v>5.0615281427185424E-2</v>
      </c>
      <c r="W99" s="2"/>
      <c r="X99" s="6">
        <f t="shared" si="50"/>
        <v>-10853.590000000004</v>
      </c>
      <c r="Y99" s="2"/>
      <c r="Z99" s="7">
        <f t="shared" si="51"/>
        <v>-0.23820015362668723</v>
      </c>
    </row>
    <row r="100" spans="1:26" s="26" customFormat="1" outlineLevel="1" collapsed="1" x14ac:dyDescent="0.25">
      <c r="A100" s="25"/>
      <c r="B100" s="13" t="str">
        <f>CONCATENATE("     ","Royalty &amp; Commissions                             ")</f>
        <v xml:space="preserve">     Royalty &amp; Commissions                             </v>
      </c>
      <c r="C100" s="13"/>
      <c r="D100" s="1">
        <f>SUM(OSRRefD22_18x_0)</f>
        <v>16843.939999999999</v>
      </c>
      <c r="E100" s="1"/>
      <c r="F100" s="5">
        <f t="shared" ref="F100:F103" si="52">IF(D$12=0,0,D100/D$12)</f>
        <v>3.5371680958397045E-2</v>
      </c>
      <c r="G100" s="1"/>
      <c r="H100" s="1">
        <f>SUM(OSRRefH22_18x_0)</f>
        <v>18730</v>
      </c>
      <c r="I100" s="1"/>
      <c r="J100" s="5">
        <f t="shared" ref="J100:J103" si="53">IF(H$12=0,0,H100/H$12)</f>
        <v>3.1718184019657487E-2</v>
      </c>
      <c r="K100" s="1"/>
      <c r="L100" s="1">
        <f t="shared" ref="L100:L103" si="54">+D100-H100</f>
        <v>-1886.0600000000013</v>
      </c>
      <c r="M100" s="1"/>
      <c r="N100" s="5">
        <f t="shared" ref="N100:N103" si="55">IF(H100=0,0,L100/H100)</f>
        <v>-0.10069727709556868</v>
      </c>
      <c r="O100" s="13"/>
      <c r="P100" s="1">
        <f>SUM(OSRRefP22_18x_0)</f>
        <v>33702.04</v>
      </c>
      <c r="Q100" s="1"/>
      <c r="R100" s="5">
        <f t="shared" ref="R100:R103" si="56">IF(P$12=0,0,P100/P$12)</f>
        <v>4.7169416395541744E-2</v>
      </c>
      <c r="S100" s="1"/>
      <c r="T100" s="1">
        <f>SUM(OSRRefT22_18x_0)</f>
        <v>28420</v>
      </c>
      <c r="U100" s="1"/>
      <c r="V100" s="5">
        <f t="shared" ref="V100:V103" si="57">IF(T$12=0,0,T100/T$12)</f>
        <v>3.1569983499629313E-2</v>
      </c>
      <c r="W100" s="1"/>
      <c r="X100" s="1">
        <f t="shared" ref="X100:X103" si="58">+P100-T100</f>
        <v>5282.0400000000009</v>
      </c>
      <c r="Y100" s="1"/>
      <c r="Z100" s="5">
        <f t="shared" ref="Z100:Z103" si="59">IF(T100=0,0,X100/T100)</f>
        <v>0.18585643912737512</v>
      </c>
    </row>
    <row r="101" spans="1:26" s="24" customFormat="1" hidden="1" outlineLevel="2" x14ac:dyDescent="0.25">
      <c r="A101" s="27"/>
      <c r="B101" s="11" t="str">
        <f>CONCATENATE("          ", "6253", " - ", "ROYALTY DUE ATHLETICS-LRG")</f>
        <v xml:space="preserve">          6253 - ROYALTY DUE ATHLETICS-LRG</v>
      </c>
      <c r="C101" s="11"/>
      <c r="D101" s="6"/>
      <c r="E101" s="2"/>
      <c r="F101" s="7">
        <f t="shared" si="52"/>
        <v>0</v>
      </c>
      <c r="G101" s="2"/>
      <c r="H101" s="6">
        <v>6000</v>
      </c>
      <c r="I101" s="2"/>
      <c r="J101" s="7">
        <f t="shared" si="53"/>
        <v>1.0160656920338757E-2</v>
      </c>
      <c r="K101" s="2"/>
      <c r="L101" s="6">
        <f t="shared" si="54"/>
        <v>-6000</v>
      </c>
      <c r="M101" s="2"/>
      <c r="N101" s="7">
        <f t="shared" si="55"/>
        <v>-1</v>
      </c>
      <c r="O101" s="11"/>
      <c r="P101" s="6"/>
      <c r="Q101" s="2"/>
      <c r="R101" s="7">
        <f t="shared" si="56"/>
        <v>0</v>
      </c>
      <c r="S101" s="2"/>
      <c r="T101" s="6">
        <v>6000</v>
      </c>
      <c r="U101" s="2"/>
      <c r="V101" s="7">
        <f t="shared" si="57"/>
        <v>6.6650211470012629E-3</v>
      </c>
      <c r="W101" s="2"/>
      <c r="X101" s="6">
        <f t="shared" si="58"/>
        <v>-6000</v>
      </c>
      <c r="Y101" s="2"/>
      <c r="Z101" s="7">
        <f t="shared" si="59"/>
        <v>-1</v>
      </c>
    </row>
    <row r="102" spans="1:26" s="24" customFormat="1" hidden="1" outlineLevel="2" x14ac:dyDescent="0.25">
      <c r="A102" s="27"/>
      <c r="B102" s="11" t="str">
        <f>CONCATENATE("          ", "6254", " - ", "ROYALTY &amp; COMMISSIONS")</f>
        <v xml:space="preserve">          6254 - ROYALTY &amp; COMMISSIONS</v>
      </c>
      <c r="C102" s="11"/>
      <c r="D102" s="6">
        <v>10870.98</v>
      </c>
      <c r="E102" s="2"/>
      <c r="F102" s="7">
        <f t="shared" si="52"/>
        <v>2.2828675254430681E-2</v>
      </c>
      <c r="G102" s="2"/>
      <c r="H102" s="6"/>
      <c r="I102" s="2"/>
      <c r="J102" s="7">
        <f t="shared" si="53"/>
        <v>0</v>
      </c>
      <c r="K102" s="2"/>
      <c r="L102" s="6">
        <f t="shared" si="54"/>
        <v>10870.98</v>
      </c>
      <c r="M102" s="2"/>
      <c r="N102" s="7">
        <f t="shared" si="55"/>
        <v>0</v>
      </c>
      <c r="O102" s="11"/>
      <c r="P102" s="6">
        <v>24843.64</v>
      </c>
      <c r="Q102" s="2"/>
      <c r="R102" s="7">
        <f t="shared" si="56"/>
        <v>3.477118892330959E-2</v>
      </c>
      <c r="S102" s="2"/>
      <c r="T102" s="6">
        <v>4117</v>
      </c>
      <c r="U102" s="2"/>
      <c r="V102" s="7">
        <f t="shared" si="57"/>
        <v>4.5733153437006995E-3</v>
      </c>
      <c r="W102" s="2"/>
      <c r="X102" s="6">
        <f t="shared" si="58"/>
        <v>20726.64</v>
      </c>
      <c r="Y102" s="2"/>
      <c r="Z102" s="7">
        <f t="shared" si="59"/>
        <v>5.0344036920087438</v>
      </c>
    </row>
    <row r="103" spans="1:26" s="24" customFormat="1" hidden="1" outlineLevel="2" x14ac:dyDescent="0.25">
      <c r="A103" s="27"/>
      <c r="B103" s="11" t="str">
        <f>CONCATENATE("          ", "6259", " - ", "ROYALTY &amp; COMMISSIONS")</f>
        <v xml:space="preserve">          6259 - ROYALTY &amp; COMMISSIONS</v>
      </c>
      <c r="C103" s="11"/>
      <c r="D103" s="6">
        <v>5972.96</v>
      </c>
      <c r="E103" s="2"/>
      <c r="F103" s="7">
        <f t="shared" si="52"/>
        <v>1.2543005703966366E-2</v>
      </c>
      <c r="G103" s="2"/>
      <c r="H103" s="6">
        <v>12730</v>
      </c>
      <c r="I103" s="2"/>
      <c r="J103" s="7">
        <f t="shared" si="53"/>
        <v>2.1557527099318727E-2</v>
      </c>
      <c r="K103" s="2"/>
      <c r="L103" s="6">
        <f t="shared" si="54"/>
        <v>-6757.04</v>
      </c>
      <c r="M103" s="2"/>
      <c r="N103" s="7">
        <f t="shared" si="55"/>
        <v>-0.53079654359780049</v>
      </c>
      <c r="O103" s="11"/>
      <c r="P103" s="6">
        <v>8858.4</v>
      </c>
      <c r="Q103" s="2"/>
      <c r="R103" s="7">
        <f t="shared" si="56"/>
        <v>1.2398227472232154E-2</v>
      </c>
      <c r="S103" s="2"/>
      <c r="T103" s="6">
        <v>18303</v>
      </c>
      <c r="U103" s="2"/>
      <c r="V103" s="7">
        <f t="shared" si="57"/>
        <v>2.0331647008927353E-2</v>
      </c>
      <c r="W103" s="2"/>
      <c r="X103" s="6">
        <f t="shared" si="58"/>
        <v>-9444.6</v>
      </c>
      <c r="Y103" s="2"/>
      <c r="Z103" s="7">
        <f t="shared" si="59"/>
        <v>-0.51601376823471568</v>
      </c>
    </row>
    <row r="104" spans="1:26" s="26" customFormat="1" outlineLevel="1" collapsed="1" x14ac:dyDescent="0.25">
      <c r="A104" s="25"/>
      <c r="B104" s="13" t="str">
        <f>CONCATENATE("     ","Services                                          ")</f>
        <v xml:space="preserve">     Services                                          </v>
      </c>
      <c r="C104" s="13"/>
      <c r="D104" s="1">
        <f>SUM(OSRRefD22_19x_0)</f>
        <v>19397.060000000001</v>
      </c>
      <c r="E104" s="1"/>
      <c r="F104" s="5">
        <f t="shared" ref="F104:F110" si="60">IF(D$12=0,0,D104/D$12)</f>
        <v>4.0733143068123319E-2</v>
      </c>
      <c r="G104" s="1"/>
      <c r="H104" s="1">
        <f>SUM(OSRRefH22_19x_0)</f>
        <v>21852</v>
      </c>
      <c r="I104" s="1"/>
      <c r="J104" s="5">
        <f t="shared" ref="J104:J110" si="61">IF(H$12=0,0,H104/H$12)</f>
        <v>3.7005112503873748E-2</v>
      </c>
      <c r="K104" s="1"/>
      <c r="L104" s="1">
        <f t="shared" ref="L104:L110" si="62">+D104-H104</f>
        <v>-2454.9399999999987</v>
      </c>
      <c r="M104" s="1"/>
      <c r="N104" s="5">
        <f t="shared" ref="N104:N110" si="63">IF(H104=0,0,L104/H104)</f>
        <v>-0.11234395021050698</v>
      </c>
      <c r="O104" s="13"/>
      <c r="P104" s="1">
        <f>SUM(OSRRefP22_19x_0)</f>
        <v>42524.800000000003</v>
      </c>
      <c r="Q104" s="1"/>
      <c r="R104" s="5">
        <f t="shared" ref="R104:R110" si="64">IF(P$12=0,0,P104/P$12)</f>
        <v>5.9517762080192584E-2</v>
      </c>
      <c r="S104" s="1"/>
      <c r="T104" s="1">
        <f>SUM(OSRRefT22_19x_0)</f>
        <v>44527</v>
      </c>
      <c r="U104" s="1"/>
      <c r="V104" s="5">
        <f t="shared" ref="V104:V110" si="65">IF(T$12=0,0,T104/T$12)</f>
        <v>4.9462232768754208E-2</v>
      </c>
      <c r="W104" s="1"/>
      <c r="X104" s="1">
        <f t="shared" ref="X104:X110" si="66">+P104-T104</f>
        <v>-2002.1999999999971</v>
      </c>
      <c r="Y104" s="1"/>
      <c r="Z104" s="5">
        <f t="shared" ref="Z104:Z110" si="67">IF(T104=0,0,X104/T104)</f>
        <v>-4.4965975700136933E-2</v>
      </c>
    </row>
    <row r="105" spans="1:26" s="24" customFormat="1" hidden="1" outlineLevel="2" x14ac:dyDescent="0.25">
      <c r="A105" s="27"/>
      <c r="B105" s="11" t="str">
        <f>CONCATENATE("          ", "6281", " - ", "STORAGE FEE")</f>
        <v xml:space="preserve">          6281 - STORAGE FEE</v>
      </c>
      <c r="C105" s="11"/>
      <c r="D105" s="6"/>
      <c r="E105" s="2"/>
      <c r="F105" s="7">
        <f t="shared" si="60"/>
        <v>0</v>
      </c>
      <c r="G105" s="2"/>
      <c r="H105" s="6"/>
      <c r="I105" s="2"/>
      <c r="J105" s="7">
        <f t="shared" si="61"/>
        <v>0</v>
      </c>
      <c r="K105" s="2"/>
      <c r="L105" s="6">
        <f t="shared" si="62"/>
        <v>0</v>
      </c>
      <c r="M105" s="2"/>
      <c r="N105" s="7">
        <f t="shared" si="63"/>
        <v>0</v>
      </c>
      <c r="O105" s="11"/>
      <c r="P105" s="6"/>
      <c r="Q105" s="2"/>
      <c r="R105" s="7">
        <f t="shared" si="64"/>
        <v>0</v>
      </c>
      <c r="S105" s="2"/>
      <c r="T105" s="6">
        <v>0</v>
      </c>
      <c r="U105" s="2"/>
      <c r="V105" s="7">
        <f t="shared" si="65"/>
        <v>0</v>
      </c>
      <c r="W105" s="2"/>
      <c r="X105" s="6">
        <f t="shared" si="66"/>
        <v>0</v>
      </c>
      <c r="Y105" s="2"/>
      <c r="Z105" s="7">
        <f t="shared" si="67"/>
        <v>0</v>
      </c>
    </row>
    <row r="106" spans="1:26" s="24" customFormat="1" hidden="1" outlineLevel="2" x14ac:dyDescent="0.25">
      <c r="A106" s="27"/>
      <c r="B106" s="11" t="str">
        <f>CONCATENATE("          ", "6282", " - ", "JANITORIAL/EXTERMINATOR EXPENS")</f>
        <v xml:space="preserve">          6282 - JANITORIAL/EXTERMINATOR EXPENS</v>
      </c>
      <c r="C106" s="11"/>
      <c r="D106" s="6">
        <v>2324.4</v>
      </c>
      <c r="E106" s="2"/>
      <c r="F106" s="7">
        <f t="shared" si="60"/>
        <v>4.8811581625022469E-3</v>
      </c>
      <c r="G106" s="2"/>
      <c r="H106" s="6">
        <v>1648</v>
      </c>
      <c r="I106" s="2"/>
      <c r="J106" s="7">
        <f t="shared" si="61"/>
        <v>2.7907937674530449E-3</v>
      </c>
      <c r="K106" s="2"/>
      <c r="L106" s="6">
        <f t="shared" si="62"/>
        <v>676.40000000000009</v>
      </c>
      <c r="M106" s="2"/>
      <c r="N106" s="7">
        <f t="shared" si="63"/>
        <v>0.41043689320388355</v>
      </c>
      <c r="O106" s="11"/>
      <c r="P106" s="6">
        <v>4204.0600000000004</v>
      </c>
      <c r="Q106" s="2"/>
      <c r="R106" s="7">
        <f t="shared" si="64"/>
        <v>5.8840075168102952E-3</v>
      </c>
      <c r="S106" s="2"/>
      <c r="T106" s="6">
        <v>3003</v>
      </c>
      <c r="U106" s="2"/>
      <c r="V106" s="7">
        <f t="shared" si="65"/>
        <v>3.335843084074132E-3</v>
      </c>
      <c r="W106" s="2"/>
      <c r="X106" s="6">
        <f t="shared" si="66"/>
        <v>1201.0600000000004</v>
      </c>
      <c r="Y106" s="2"/>
      <c r="Z106" s="7">
        <f t="shared" si="67"/>
        <v>0.39995337995338009</v>
      </c>
    </row>
    <row r="107" spans="1:26" s="24" customFormat="1" hidden="1" outlineLevel="2" x14ac:dyDescent="0.25">
      <c r="A107" s="27"/>
      <c r="B107" s="11" t="str">
        <f>CONCATENATE("          ", "6283", " - ", "PLANT SERVICE")</f>
        <v xml:space="preserve">          6283 - PLANT SERVICE</v>
      </c>
      <c r="C107" s="11"/>
      <c r="D107" s="6">
        <v>199.78</v>
      </c>
      <c r="E107" s="2"/>
      <c r="F107" s="7">
        <f t="shared" si="60"/>
        <v>4.1953096614382157E-4</v>
      </c>
      <c r="G107" s="2"/>
      <c r="H107" s="6">
        <v>185</v>
      </c>
      <c r="I107" s="2"/>
      <c r="J107" s="7">
        <f t="shared" si="61"/>
        <v>3.1328692171044497E-4</v>
      </c>
      <c r="K107" s="2"/>
      <c r="L107" s="6">
        <f t="shared" si="62"/>
        <v>14.780000000000001</v>
      </c>
      <c r="M107" s="2"/>
      <c r="N107" s="7">
        <f t="shared" si="63"/>
        <v>7.98918918918919E-2</v>
      </c>
      <c r="O107" s="11"/>
      <c r="P107" s="6">
        <v>399.56</v>
      </c>
      <c r="Q107" s="2"/>
      <c r="R107" s="7">
        <f t="shared" si="64"/>
        <v>5.5922466459011556E-4</v>
      </c>
      <c r="S107" s="2"/>
      <c r="T107" s="6">
        <v>335</v>
      </c>
      <c r="U107" s="2"/>
      <c r="V107" s="7">
        <f t="shared" si="65"/>
        <v>3.7213034737423715E-4</v>
      </c>
      <c r="W107" s="2"/>
      <c r="X107" s="6">
        <f t="shared" si="66"/>
        <v>64.56</v>
      </c>
      <c r="Y107" s="2"/>
      <c r="Z107" s="7">
        <f t="shared" si="67"/>
        <v>0.19271641791044777</v>
      </c>
    </row>
    <row r="108" spans="1:26" s="24" customFormat="1" hidden="1" outlineLevel="2" x14ac:dyDescent="0.25">
      <c r="A108" s="27"/>
      <c r="B108" s="11" t="str">
        <f>CONCATENATE("          ", "6284", " - ", "TRASH REMOVAL EXPENSE")</f>
        <v xml:space="preserve">          6284 - TRASH REMOVAL EXPENSE</v>
      </c>
      <c r="C108" s="11"/>
      <c r="D108" s="6"/>
      <c r="E108" s="2"/>
      <c r="F108" s="7">
        <f t="shared" si="60"/>
        <v>0</v>
      </c>
      <c r="G108" s="2"/>
      <c r="H108" s="6">
        <v>3665</v>
      </c>
      <c r="I108" s="2"/>
      <c r="J108" s="7">
        <f t="shared" si="61"/>
        <v>6.2064679355069239E-3</v>
      </c>
      <c r="K108" s="2"/>
      <c r="L108" s="6">
        <f t="shared" si="62"/>
        <v>-3665</v>
      </c>
      <c r="M108" s="2"/>
      <c r="N108" s="7">
        <f t="shared" si="63"/>
        <v>-1</v>
      </c>
      <c r="O108" s="11"/>
      <c r="P108" s="6">
        <v>4436</v>
      </c>
      <c r="Q108" s="2"/>
      <c r="R108" s="7">
        <f t="shared" si="64"/>
        <v>6.2086310244312565E-3</v>
      </c>
      <c r="S108" s="2"/>
      <c r="T108" s="6">
        <v>7330</v>
      </c>
      <c r="U108" s="2"/>
      <c r="V108" s="7">
        <f t="shared" si="65"/>
        <v>8.1424341679198764E-3</v>
      </c>
      <c r="W108" s="2"/>
      <c r="X108" s="6">
        <f t="shared" si="66"/>
        <v>-2894</v>
      </c>
      <c r="Y108" s="2"/>
      <c r="Z108" s="7">
        <f t="shared" si="67"/>
        <v>-0.39481582537517051</v>
      </c>
    </row>
    <row r="109" spans="1:26" s="24" customFormat="1" hidden="1" outlineLevel="2" x14ac:dyDescent="0.25">
      <c r="A109" s="27"/>
      <c r="B109" s="11" t="str">
        <f>CONCATENATE("          ", "6285", " - ", "JANITORIAL SERVICES")</f>
        <v xml:space="preserve">          6285 - JANITORIAL SERVICES</v>
      </c>
      <c r="C109" s="11"/>
      <c r="D109" s="6">
        <v>13369.69</v>
      </c>
      <c r="E109" s="2"/>
      <c r="F109" s="7">
        <f t="shared" si="60"/>
        <v>2.8075878279824756E-2</v>
      </c>
      <c r="G109" s="2"/>
      <c r="H109" s="6">
        <v>13286</v>
      </c>
      <c r="I109" s="2"/>
      <c r="J109" s="7">
        <f t="shared" si="61"/>
        <v>2.249908130727012E-2</v>
      </c>
      <c r="K109" s="2"/>
      <c r="L109" s="6">
        <f t="shared" si="62"/>
        <v>83.690000000000509</v>
      </c>
      <c r="M109" s="2"/>
      <c r="N109" s="7">
        <f t="shared" si="63"/>
        <v>6.2991118470570907E-3</v>
      </c>
      <c r="O109" s="11"/>
      <c r="P109" s="6">
        <v>26286.769999999997</v>
      </c>
      <c r="Q109" s="2"/>
      <c r="R109" s="7">
        <f t="shared" si="64"/>
        <v>3.6790995435998376E-2</v>
      </c>
      <c r="S109" s="2"/>
      <c r="T109" s="6">
        <v>26578</v>
      </c>
      <c r="U109" s="2"/>
      <c r="V109" s="7">
        <f t="shared" si="65"/>
        <v>2.9523822007499926E-2</v>
      </c>
      <c r="W109" s="2"/>
      <c r="X109" s="6">
        <f t="shared" si="66"/>
        <v>-291.2300000000032</v>
      </c>
      <c r="Y109" s="2"/>
      <c r="Z109" s="7">
        <f t="shared" si="67"/>
        <v>-1.095755888328705E-2</v>
      </c>
    </row>
    <row r="110" spans="1:26" s="24" customFormat="1" hidden="1" outlineLevel="2" x14ac:dyDescent="0.25">
      <c r="A110" s="27"/>
      <c r="B110" s="11" t="str">
        <f>CONCATENATE("          ", "6286", " - ", "LAUNDRY EXPENSE")</f>
        <v xml:space="preserve">          6286 - LAUNDRY EXPENSE</v>
      </c>
      <c r="C110" s="11"/>
      <c r="D110" s="6">
        <v>3503.19</v>
      </c>
      <c r="E110" s="2"/>
      <c r="F110" s="7">
        <f t="shared" si="60"/>
        <v>7.3565756596524895E-3</v>
      </c>
      <c r="G110" s="2"/>
      <c r="H110" s="6">
        <v>3068</v>
      </c>
      <c r="I110" s="2"/>
      <c r="J110" s="7">
        <f t="shared" si="61"/>
        <v>5.1954825719332173E-3</v>
      </c>
      <c r="K110" s="2"/>
      <c r="L110" s="6">
        <f t="shared" si="62"/>
        <v>435.19000000000005</v>
      </c>
      <c r="M110" s="2"/>
      <c r="N110" s="7">
        <f t="shared" si="63"/>
        <v>0.14184810951760107</v>
      </c>
      <c r="O110" s="11"/>
      <c r="P110" s="6">
        <v>7198.41</v>
      </c>
      <c r="Q110" s="2"/>
      <c r="R110" s="7">
        <f t="shared" si="64"/>
        <v>1.0074903438362533E-2</v>
      </c>
      <c r="S110" s="2"/>
      <c r="T110" s="6">
        <v>7281</v>
      </c>
      <c r="U110" s="2"/>
      <c r="V110" s="7">
        <f t="shared" si="65"/>
        <v>8.0880031618860322E-3</v>
      </c>
      <c r="W110" s="2"/>
      <c r="X110" s="6">
        <f t="shared" si="66"/>
        <v>-82.590000000000146</v>
      </c>
      <c r="Y110" s="2"/>
      <c r="Z110" s="7">
        <f t="shared" si="67"/>
        <v>-1.1343222084878471E-2</v>
      </c>
    </row>
    <row r="111" spans="1:26" s="26" customFormat="1" outlineLevel="1" collapsed="1" x14ac:dyDescent="0.25">
      <c r="A111" s="25"/>
      <c r="B111" s="13" t="str">
        <f>CONCATENATE("     ","Subscriptions &amp; Dues                              ")</f>
        <v xml:space="preserve">     Subscriptions &amp; Dues                              </v>
      </c>
      <c r="C111" s="13"/>
      <c r="D111" s="1">
        <f>SUM(OSRRefD22_20x_0)</f>
        <v>631.17999999999995</v>
      </c>
      <c r="E111" s="1"/>
      <c r="F111" s="5">
        <f t="shared" ref="F111:F123" si="68">IF(D$12=0,0,D111/D$12)</f>
        <v>1.3254557774084357E-3</v>
      </c>
      <c r="G111" s="1"/>
      <c r="H111" s="1">
        <f>SUM(OSRRefH22_20x_0)</f>
        <v>574</v>
      </c>
      <c r="I111" s="1"/>
      <c r="J111" s="5">
        <f t="shared" ref="J111:J123" si="69">IF(H$12=0,0,H111/H$12)</f>
        <v>9.7203617871240774E-4</v>
      </c>
      <c r="K111" s="1"/>
      <c r="L111" s="1">
        <f t="shared" ref="L111:L123" si="70">+D111-H111</f>
        <v>57.17999999999995</v>
      </c>
      <c r="M111" s="1"/>
      <c r="N111" s="5">
        <f t="shared" ref="N111:N123" si="71">IF(H111=0,0,L111/H111)</f>
        <v>9.9616724738675874E-2</v>
      </c>
      <c r="O111" s="13"/>
      <c r="P111" s="1">
        <f>SUM(OSRRefP22_20x_0)</f>
        <v>1201</v>
      </c>
      <c r="Q111" s="1"/>
      <c r="R111" s="5">
        <f t="shared" ref="R111:R123" si="72">IF(P$12=0,0,P111/P$12)</f>
        <v>1.6809210686072901E-3</v>
      </c>
      <c r="S111" s="1"/>
      <c r="T111" s="1">
        <f>SUM(OSRRefT22_20x_0)</f>
        <v>1148</v>
      </c>
      <c r="U111" s="1"/>
      <c r="V111" s="5">
        <f t="shared" ref="V111:V123" si="73">IF(T$12=0,0,T111/T$12)</f>
        <v>1.2752407127929082E-3</v>
      </c>
      <c r="W111" s="1"/>
      <c r="X111" s="1">
        <f t="shared" ref="X111:X123" si="74">+P111-T111</f>
        <v>53</v>
      </c>
      <c r="Y111" s="1"/>
      <c r="Z111" s="5">
        <f t="shared" ref="Z111:Z123" si="75">IF(T111=0,0,X111/T111)</f>
        <v>4.6167247386759584E-2</v>
      </c>
    </row>
    <row r="112" spans="1:26" s="24" customFormat="1" hidden="1" outlineLevel="2" x14ac:dyDescent="0.25">
      <c r="A112" s="27"/>
      <c r="B112" s="11" t="str">
        <f>CONCATENATE("          ", "6275", " - ", "SUBSCRIPTIONS")</f>
        <v xml:space="preserve">          6275 - SUBSCRIPTIONS</v>
      </c>
      <c r="C112" s="11"/>
      <c r="D112" s="6">
        <v>631.17999999999995</v>
      </c>
      <c r="E112" s="2"/>
      <c r="F112" s="7">
        <f t="shared" si="68"/>
        <v>1.3254557774084357E-3</v>
      </c>
      <c r="G112" s="2"/>
      <c r="H112" s="6">
        <v>574</v>
      </c>
      <c r="I112" s="2"/>
      <c r="J112" s="7">
        <f t="shared" si="69"/>
        <v>9.7203617871240774E-4</v>
      </c>
      <c r="K112" s="2"/>
      <c r="L112" s="6">
        <f t="shared" si="70"/>
        <v>57.17999999999995</v>
      </c>
      <c r="M112" s="2"/>
      <c r="N112" s="7">
        <f t="shared" si="71"/>
        <v>9.9616724738675874E-2</v>
      </c>
      <c r="O112" s="11"/>
      <c r="P112" s="6">
        <v>1201</v>
      </c>
      <c r="Q112" s="2"/>
      <c r="R112" s="7">
        <f t="shared" si="72"/>
        <v>1.6809210686072901E-3</v>
      </c>
      <c r="S112" s="2"/>
      <c r="T112" s="6">
        <v>1148</v>
      </c>
      <c r="U112" s="2"/>
      <c r="V112" s="7">
        <f t="shared" si="73"/>
        <v>1.2752407127929082E-3</v>
      </c>
      <c r="W112" s="2"/>
      <c r="X112" s="6">
        <f t="shared" si="74"/>
        <v>53</v>
      </c>
      <c r="Y112" s="2"/>
      <c r="Z112" s="7">
        <f t="shared" si="75"/>
        <v>4.6167247386759584E-2</v>
      </c>
    </row>
    <row r="113" spans="1:26" s="26" customFormat="1" outlineLevel="1" collapsed="1" x14ac:dyDescent="0.25">
      <c r="A113" s="25"/>
      <c r="B113" s="13" t="str">
        <f>CONCATENATE("     ","Supplies                                          ")</f>
        <v xml:space="preserve">     Supplies                                          </v>
      </c>
      <c r="C113" s="13"/>
      <c r="D113" s="1">
        <f>SUM(OSRRefD22_21x_0)</f>
        <v>28547.719999999998</v>
      </c>
      <c r="E113" s="1"/>
      <c r="F113" s="5">
        <f t="shared" si="68"/>
        <v>5.9949206891597238E-2</v>
      </c>
      <c r="G113" s="1"/>
      <c r="H113" s="1">
        <f>SUM(OSRRefH22_21x_0)</f>
        <v>17846.43</v>
      </c>
      <c r="I113" s="1"/>
      <c r="J113" s="5">
        <f t="shared" si="69"/>
        <v>3.0221908747140199E-2</v>
      </c>
      <c r="K113" s="1"/>
      <c r="L113" s="1">
        <f t="shared" si="70"/>
        <v>10701.289999999997</v>
      </c>
      <c r="M113" s="1"/>
      <c r="N113" s="5">
        <f t="shared" si="71"/>
        <v>0.59963197121216949</v>
      </c>
      <c r="O113" s="13"/>
      <c r="P113" s="1">
        <f>SUM(OSRRefP22_21x_0)</f>
        <v>52754.670000000006</v>
      </c>
      <c r="Q113" s="1"/>
      <c r="R113" s="5">
        <f t="shared" si="72"/>
        <v>7.3835500641486224E-2</v>
      </c>
      <c r="S113" s="1"/>
      <c r="T113" s="1">
        <f>SUM(OSRRefT22_21x_0)</f>
        <v>48486.33</v>
      </c>
      <c r="U113" s="1"/>
      <c r="V113" s="5">
        <f t="shared" si="73"/>
        <v>5.3860402465080295E-2</v>
      </c>
      <c r="W113" s="1"/>
      <c r="X113" s="1">
        <f t="shared" si="74"/>
        <v>4268.3400000000038</v>
      </c>
      <c r="Y113" s="1"/>
      <c r="Z113" s="5">
        <f t="shared" si="75"/>
        <v>8.8031822577621432E-2</v>
      </c>
    </row>
    <row r="114" spans="1:26" s="24" customFormat="1" hidden="1" outlineLevel="2" x14ac:dyDescent="0.25">
      <c r="A114" s="27"/>
      <c r="B114" s="11" t="str">
        <f>CONCATENATE("          ", "6234", " - ", "EXPENDABLE SUPPLIES &amp; EQUIPMEN")</f>
        <v xml:space="preserve">          6234 - EXPENDABLE SUPPLIES &amp; EQUIPMEN</v>
      </c>
      <c r="C114" s="11"/>
      <c r="D114" s="6">
        <v>1064.24</v>
      </c>
      <c r="E114" s="2"/>
      <c r="F114" s="7">
        <f t="shared" si="68"/>
        <v>2.2348665302277539E-3</v>
      </c>
      <c r="G114" s="2"/>
      <c r="H114" s="6">
        <v>1200</v>
      </c>
      <c r="I114" s="2"/>
      <c r="J114" s="7">
        <f t="shared" si="69"/>
        <v>2.0321313840677511E-3</v>
      </c>
      <c r="K114" s="2"/>
      <c r="L114" s="6">
        <f t="shared" si="70"/>
        <v>-135.76</v>
      </c>
      <c r="M114" s="2"/>
      <c r="N114" s="7">
        <f t="shared" si="71"/>
        <v>-0.11313333333333332</v>
      </c>
      <c r="O114" s="11"/>
      <c r="P114" s="6">
        <v>1064.24</v>
      </c>
      <c r="Q114" s="2"/>
      <c r="R114" s="7">
        <f t="shared" si="72"/>
        <v>1.4895116053743732E-3</v>
      </c>
      <c r="S114" s="2"/>
      <c r="T114" s="6">
        <v>4900</v>
      </c>
      <c r="U114" s="2"/>
      <c r="V114" s="7">
        <f t="shared" si="73"/>
        <v>5.4431006033843644E-3</v>
      </c>
      <c r="W114" s="2"/>
      <c r="X114" s="6">
        <f t="shared" si="74"/>
        <v>-3835.76</v>
      </c>
      <c r="Y114" s="2"/>
      <c r="Z114" s="7">
        <f t="shared" si="75"/>
        <v>-0.78280816326530611</v>
      </c>
    </row>
    <row r="115" spans="1:26" s="24" customFormat="1" hidden="1" outlineLevel="2" x14ac:dyDescent="0.25">
      <c r="A115" s="27"/>
      <c r="B115" s="11" t="str">
        <f>CONCATENATE("          ", "6237", " - ", "JANITORIAL SUPPLIES")</f>
        <v xml:space="preserve">          6237 - JANITORIAL SUPPLIES</v>
      </c>
      <c r="C115" s="11"/>
      <c r="D115" s="6">
        <v>4102.8</v>
      </c>
      <c r="E115" s="2"/>
      <c r="F115" s="7">
        <f t="shared" si="68"/>
        <v>8.6157355485777919E-3</v>
      </c>
      <c r="G115" s="2"/>
      <c r="H115" s="6">
        <v>4611</v>
      </c>
      <c r="I115" s="2"/>
      <c r="J115" s="7">
        <f t="shared" si="69"/>
        <v>7.8084648432803338E-3</v>
      </c>
      <c r="K115" s="2"/>
      <c r="L115" s="6">
        <f t="shared" si="70"/>
        <v>-508.19999999999982</v>
      </c>
      <c r="M115" s="2"/>
      <c r="N115" s="7">
        <f t="shared" si="71"/>
        <v>-0.1102147039687703</v>
      </c>
      <c r="O115" s="11"/>
      <c r="P115" s="6">
        <v>8354.44</v>
      </c>
      <c r="Q115" s="2"/>
      <c r="R115" s="7">
        <f t="shared" si="72"/>
        <v>1.1692884439979592E-2</v>
      </c>
      <c r="S115" s="2"/>
      <c r="T115" s="6">
        <v>10122</v>
      </c>
      <c r="U115" s="2"/>
      <c r="V115" s="7">
        <f t="shared" si="73"/>
        <v>1.124389067499113E-2</v>
      </c>
      <c r="W115" s="2"/>
      <c r="X115" s="6">
        <f t="shared" si="74"/>
        <v>-1767.5599999999995</v>
      </c>
      <c r="Y115" s="2"/>
      <c r="Z115" s="7">
        <f t="shared" si="75"/>
        <v>-0.17462556806955143</v>
      </c>
    </row>
    <row r="116" spans="1:26" s="24" customFormat="1" hidden="1" outlineLevel="2" x14ac:dyDescent="0.25">
      <c r="A116" s="27"/>
      <c r="B116" s="11" t="str">
        <f>CONCATENATE("          ", "6239", " - ", "KITCHEN SUPPLIES")</f>
        <v xml:space="preserve">          6239 - KITCHEN SUPPLIES</v>
      </c>
      <c r="C116" s="11"/>
      <c r="D116" s="6">
        <v>4005.05</v>
      </c>
      <c r="E116" s="2"/>
      <c r="F116" s="7">
        <f t="shared" si="68"/>
        <v>8.4104639901607398E-3</v>
      </c>
      <c r="G116" s="2"/>
      <c r="H116" s="6">
        <v>900</v>
      </c>
      <c r="I116" s="2"/>
      <c r="J116" s="7">
        <f t="shared" si="69"/>
        <v>1.5240985380508135E-3</v>
      </c>
      <c r="K116" s="2"/>
      <c r="L116" s="6">
        <f t="shared" si="70"/>
        <v>3105.05</v>
      </c>
      <c r="M116" s="2"/>
      <c r="N116" s="7">
        <f t="shared" si="71"/>
        <v>3.4500555555555557</v>
      </c>
      <c r="O116" s="11"/>
      <c r="P116" s="6">
        <v>10424.58</v>
      </c>
      <c r="Q116" s="2"/>
      <c r="R116" s="7">
        <f t="shared" si="72"/>
        <v>1.4590254915388996E-2</v>
      </c>
      <c r="S116" s="2"/>
      <c r="T116" s="6">
        <v>11966</v>
      </c>
      <c r="U116" s="2"/>
      <c r="V116" s="7">
        <f t="shared" si="73"/>
        <v>1.3292273840836186E-2</v>
      </c>
      <c r="W116" s="2"/>
      <c r="X116" s="6">
        <f t="shared" si="74"/>
        <v>-1541.42</v>
      </c>
      <c r="Y116" s="2"/>
      <c r="Z116" s="7">
        <f t="shared" si="75"/>
        <v>-0.12881664716697311</v>
      </c>
    </row>
    <row r="117" spans="1:26" s="24" customFormat="1" hidden="1" outlineLevel="2" x14ac:dyDescent="0.25">
      <c r="A117" s="27"/>
      <c r="B117" s="11" t="str">
        <f>CONCATENATE("          ", "6241", " - ", "OFFICE EXPENSE")</f>
        <v xml:space="preserve">          6241 - OFFICE EXPENSE</v>
      </c>
      <c r="C117" s="11"/>
      <c r="D117" s="6">
        <v>4640.21</v>
      </c>
      <c r="E117" s="2"/>
      <c r="F117" s="7">
        <f t="shared" si="68"/>
        <v>9.7442776274412959E-3</v>
      </c>
      <c r="G117" s="2"/>
      <c r="H117" s="6">
        <v>1140</v>
      </c>
      <c r="I117" s="2"/>
      <c r="J117" s="7">
        <f t="shared" si="69"/>
        <v>1.9305248148643638E-3</v>
      </c>
      <c r="K117" s="2"/>
      <c r="L117" s="6">
        <f t="shared" si="70"/>
        <v>3500.21</v>
      </c>
      <c r="M117" s="2"/>
      <c r="N117" s="7">
        <f t="shared" si="71"/>
        <v>3.0703596491228069</v>
      </c>
      <c r="O117" s="11"/>
      <c r="P117" s="6">
        <v>7658.85</v>
      </c>
      <c r="Q117" s="2"/>
      <c r="R117" s="7">
        <f t="shared" si="72"/>
        <v>1.0719335825397955E-2</v>
      </c>
      <c r="S117" s="2"/>
      <c r="T117" s="6">
        <v>2341.25</v>
      </c>
      <c r="U117" s="2"/>
      <c r="V117" s="7">
        <f t="shared" si="73"/>
        <v>2.6007467934027846E-3</v>
      </c>
      <c r="W117" s="2"/>
      <c r="X117" s="6">
        <f t="shared" si="74"/>
        <v>5317.6</v>
      </c>
      <c r="Y117" s="2"/>
      <c r="Z117" s="7">
        <f t="shared" si="75"/>
        <v>2.2712653497063537</v>
      </c>
    </row>
    <row r="118" spans="1:26" s="24" customFormat="1" hidden="1" outlineLevel="2" x14ac:dyDescent="0.25">
      <c r="A118" s="27"/>
      <c r="B118" s="11" t="str">
        <f>CONCATENATE("          ", "6243", " - ", "PAPER SUPPLIES")</f>
        <v xml:space="preserve">          6243 - PAPER SUPPLIES</v>
      </c>
      <c r="C118" s="11"/>
      <c r="D118" s="6">
        <v>4315.1499999999996</v>
      </c>
      <c r="E118" s="2"/>
      <c r="F118" s="7">
        <f t="shared" si="68"/>
        <v>9.0616630721569308E-3</v>
      </c>
      <c r="G118" s="2"/>
      <c r="H118" s="6">
        <v>4015</v>
      </c>
      <c r="I118" s="2"/>
      <c r="J118" s="7">
        <f t="shared" si="69"/>
        <v>6.7991729225266844E-3</v>
      </c>
      <c r="K118" s="2"/>
      <c r="L118" s="6">
        <f t="shared" si="70"/>
        <v>300.14999999999964</v>
      </c>
      <c r="M118" s="2"/>
      <c r="N118" s="7">
        <f t="shared" si="71"/>
        <v>7.4757160647571513E-2</v>
      </c>
      <c r="O118" s="11"/>
      <c r="P118" s="6">
        <v>7153.46</v>
      </c>
      <c r="Q118" s="2"/>
      <c r="R118" s="7">
        <f t="shared" si="72"/>
        <v>1.0011991363396757E-2</v>
      </c>
      <c r="S118" s="2"/>
      <c r="T118" s="6">
        <v>6295</v>
      </c>
      <c r="U118" s="2"/>
      <c r="V118" s="7">
        <f t="shared" si="73"/>
        <v>6.9927180200621587E-3</v>
      </c>
      <c r="W118" s="2"/>
      <c r="X118" s="6">
        <f t="shared" si="74"/>
        <v>858.46</v>
      </c>
      <c r="Y118" s="2"/>
      <c r="Z118" s="7">
        <f t="shared" si="75"/>
        <v>0.13637172359015093</v>
      </c>
    </row>
    <row r="119" spans="1:26" s="24" customFormat="1" hidden="1" outlineLevel="2" x14ac:dyDescent="0.25">
      <c r="A119" s="27"/>
      <c r="B119" s="11" t="str">
        <f>CONCATENATE("          ", "6244", " - ", "SAFETY SUPPLY EXPENSE")</f>
        <v xml:space="preserve">          6244 - SAFETY SUPPLY EXPENSE</v>
      </c>
      <c r="C119" s="11"/>
      <c r="D119" s="6"/>
      <c r="E119" s="2"/>
      <c r="F119" s="7">
        <f t="shared" si="68"/>
        <v>0</v>
      </c>
      <c r="G119" s="2"/>
      <c r="H119" s="6">
        <v>110</v>
      </c>
      <c r="I119" s="2"/>
      <c r="J119" s="7">
        <f t="shared" si="69"/>
        <v>1.8627871020621053E-4</v>
      </c>
      <c r="K119" s="2"/>
      <c r="L119" s="6">
        <f t="shared" si="70"/>
        <v>-110</v>
      </c>
      <c r="M119" s="2"/>
      <c r="N119" s="7">
        <f t="shared" si="71"/>
        <v>-1</v>
      </c>
      <c r="O119" s="11"/>
      <c r="P119" s="6"/>
      <c r="Q119" s="2"/>
      <c r="R119" s="7">
        <f t="shared" si="72"/>
        <v>0</v>
      </c>
      <c r="S119" s="2"/>
      <c r="T119" s="6">
        <v>250</v>
      </c>
      <c r="U119" s="2"/>
      <c r="V119" s="7">
        <f t="shared" si="73"/>
        <v>2.7770921445838595E-4</v>
      </c>
      <c r="W119" s="2"/>
      <c r="X119" s="6">
        <f t="shared" si="74"/>
        <v>-250</v>
      </c>
      <c r="Y119" s="2"/>
      <c r="Z119" s="7">
        <f t="shared" si="75"/>
        <v>-1</v>
      </c>
    </row>
    <row r="120" spans="1:26" s="24" customFormat="1" hidden="1" outlineLevel="2" x14ac:dyDescent="0.25">
      <c r="A120" s="27"/>
      <c r="B120" s="11" t="str">
        <f>CONCATENATE("          ", "6245", " - ", "PRINTING")</f>
        <v xml:space="preserve">          6245 - PRINTING</v>
      </c>
      <c r="C120" s="11"/>
      <c r="D120" s="6">
        <v>33.159999999999997</v>
      </c>
      <c r="E120" s="2"/>
      <c r="F120" s="7">
        <f t="shared" si="68"/>
        <v>6.963483250239824E-5</v>
      </c>
      <c r="G120" s="2"/>
      <c r="H120" s="6">
        <v>600</v>
      </c>
      <c r="I120" s="2"/>
      <c r="J120" s="7">
        <f t="shared" si="69"/>
        <v>1.0160656920338755E-3</v>
      </c>
      <c r="K120" s="2"/>
      <c r="L120" s="6">
        <f t="shared" si="70"/>
        <v>-566.84</v>
      </c>
      <c r="M120" s="2"/>
      <c r="N120" s="7">
        <f t="shared" si="71"/>
        <v>-0.94473333333333342</v>
      </c>
      <c r="O120" s="11"/>
      <c r="P120" s="6">
        <v>170.92</v>
      </c>
      <c r="Q120" s="2"/>
      <c r="R120" s="7">
        <f t="shared" si="72"/>
        <v>2.3921984100446126E-4</v>
      </c>
      <c r="S120" s="2"/>
      <c r="T120" s="6">
        <v>650</v>
      </c>
      <c r="U120" s="2"/>
      <c r="V120" s="7">
        <f t="shared" si="73"/>
        <v>7.220439575918035E-4</v>
      </c>
      <c r="W120" s="2"/>
      <c r="X120" s="6">
        <f t="shared" si="74"/>
        <v>-479.08000000000004</v>
      </c>
      <c r="Y120" s="2"/>
      <c r="Z120" s="7">
        <f t="shared" si="75"/>
        <v>-0.73704615384615391</v>
      </c>
    </row>
    <row r="121" spans="1:26" s="24" customFormat="1" hidden="1" outlineLevel="2" x14ac:dyDescent="0.25">
      <c r="A121" s="27"/>
      <c r="B121" s="11" t="str">
        <f>CONCATENATE("          ", "6246", " - ", "REPLACEMENTS")</f>
        <v xml:space="preserve">          6246 - REPLACEMENTS</v>
      </c>
      <c r="C121" s="11"/>
      <c r="D121" s="6"/>
      <c r="E121" s="2"/>
      <c r="F121" s="7">
        <f t="shared" si="68"/>
        <v>0</v>
      </c>
      <c r="G121" s="2"/>
      <c r="H121" s="6"/>
      <c r="I121" s="2"/>
      <c r="J121" s="7">
        <f t="shared" si="69"/>
        <v>0</v>
      </c>
      <c r="K121" s="2"/>
      <c r="L121" s="6">
        <f t="shared" si="70"/>
        <v>0</v>
      </c>
      <c r="M121" s="2"/>
      <c r="N121" s="7">
        <f t="shared" si="71"/>
        <v>0</v>
      </c>
      <c r="O121" s="11"/>
      <c r="P121" s="6"/>
      <c r="Q121" s="2"/>
      <c r="R121" s="7">
        <f t="shared" si="72"/>
        <v>0</v>
      </c>
      <c r="S121" s="2"/>
      <c r="T121" s="6">
        <v>2400</v>
      </c>
      <c r="U121" s="2"/>
      <c r="V121" s="7">
        <f t="shared" si="73"/>
        <v>2.6660084588005051E-3</v>
      </c>
      <c r="W121" s="2"/>
      <c r="X121" s="6">
        <f t="shared" si="74"/>
        <v>-2400</v>
      </c>
      <c r="Y121" s="2"/>
      <c r="Z121" s="7">
        <f t="shared" si="75"/>
        <v>-1</v>
      </c>
    </row>
    <row r="122" spans="1:26" s="24" customFormat="1" hidden="1" outlineLevel="2" x14ac:dyDescent="0.25">
      <c r="A122" s="27"/>
      <c r="B122" s="11" t="str">
        <f>CONCATENATE("          ", "6247", " - ", "STORE SUPPLIES")</f>
        <v xml:space="preserve">          6247 - STORE SUPPLIES</v>
      </c>
      <c r="C122" s="11"/>
      <c r="D122" s="6">
        <v>8292.07</v>
      </c>
      <c r="E122" s="2"/>
      <c r="F122" s="7">
        <f t="shared" si="68"/>
        <v>1.7413055052718982E-2</v>
      </c>
      <c r="G122" s="2"/>
      <c r="H122" s="6">
        <v>3470.43</v>
      </c>
      <c r="I122" s="2"/>
      <c r="J122" s="7">
        <f t="shared" si="69"/>
        <v>5.8769747660085379E-3</v>
      </c>
      <c r="K122" s="2"/>
      <c r="L122" s="6">
        <f t="shared" si="70"/>
        <v>4821.6399999999994</v>
      </c>
      <c r="M122" s="2"/>
      <c r="N122" s="7">
        <f t="shared" si="71"/>
        <v>1.3893494466103622</v>
      </c>
      <c r="O122" s="11"/>
      <c r="P122" s="6">
        <v>15253.7</v>
      </c>
      <c r="Q122" s="2"/>
      <c r="R122" s="7">
        <f t="shared" si="72"/>
        <v>2.1349097172535404E-2</v>
      </c>
      <c r="S122" s="2"/>
      <c r="T122" s="6">
        <v>4362.08</v>
      </c>
      <c r="U122" s="2"/>
      <c r="V122" s="7">
        <f t="shared" si="73"/>
        <v>4.8455592408185449E-3</v>
      </c>
      <c r="W122" s="2"/>
      <c r="X122" s="6">
        <f t="shared" si="74"/>
        <v>10891.62</v>
      </c>
      <c r="Y122" s="2"/>
      <c r="Z122" s="7">
        <f t="shared" si="75"/>
        <v>2.4968868062942451</v>
      </c>
    </row>
    <row r="123" spans="1:26" s="24" customFormat="1" hidden="1" outlineLevel="2" x14ac:dyDescent="0.25">
      <c r="A123" s="27"/>
      <c r="B123" s="11" t="str">
        <f>CONCATENATE("          ", "6248", " - ", "UNIFORMS")</f>
        <v xml:space="preserve">          6248 - UNIFORMS</v>
      </c>
      <c r="C123" s="11"/>
      <c r="D123" s="6">
        <v>2095.04</v>
      </c>
      <c r="E123" s="2"/>
      <c r="F123" s="7">
        <f t="shared" si="68"/>
        <v>4.3995102378113519E-3</v>
      </c>
      <c r="G123" s="2"/>
      <c r="H123" s="6">
        <v>1800</v>
      </c>
      <c r="I123" s="2"/>
      <c r="J123" s="7">
        <f t="shared" si="69"/>
        <v>3.0481970761016271E-3</v>
      </c>
      <c r="K123" s="2"/>
      <c r="L123" s="6">
        <f t="shared" si="70"/>
        <v>295.03999999999996</v>
      </c>
      <c r="M123" s="2"/>
      <c r="N123" s="7">
        <f t="shared" si="71"/>
        <v>0.16391111111111109</v>
      </c>
      <c r="O123" s="11"/>
      <c r="P123" s="6">
        <v>2674.48</v>
      </c>
      <c r="Q123" s="2"/>
      <c r="R123" s="7">
        <f t="shared" si="72"/>
        <v>3.7432054784086802E-3</v>
      </c>
      <c r="S123" s="2"/>
      <c r="T123" s="6">
        <v>5200</v>
      </c>
      <c r="U123" s="2"/>
      <c r="V123" s="7">
        <f t="shared" si="73"/>
        <v>5.776351660734428E-3</v>
      </c>
      <c r="W123" s="2"/>
      <c r="X123" s="6">
        <f t="shared" si="74"/>
        <v>-2525.52</v>
      </c>
      <c r="Y123" s="2"/>
      <c r="Z123" s="7">
        <f t="shared" si="75"/>
        <v>-0.48567692307692306</v>
      </c>
    </row>
    <row r="124" spans="1:26" s="26" customFormat="1" outlineLevel="1" collapsed="1" x14ac:dyDescent="0.25">
      <c r="A124" s="25"/>
      <c r="B124" s="13" t="str">
        <f>CONCATENATE("     ","Telephone/Data Lines                              ")</f>
        <v xml:space="preserve">     Telephone/Data Lines                              </v>
      </c>
      <c r="C124" s="13"/>
      <c r="D124" s="1">
        <f>SUM(OSRRefD22_22x_0)</f>
        <v>1694.1</v>
      </c>
      <c r="E124" s="1"/>
      <c r="F124" s="5">
        <f t="shared" ref="F124:F126" si="76">IF(D$12=0,0,D124/D$12)</f>
        <v>3.557550354110762E-3</v>
      </c>
      <c r="G124" s="1"/>
      <c r="H124" s="1">
        <f>SUM(OSRRefH22_22x_0)</f>
        <v>1863</v>
      </c>
      <c r="I124" s="1"/>
      <c r="J124" s="5">
        <f t="shared" ref="J124:J126" si="77">IF(H$12=0,0,H124/H$12)</f>
        <v>3.1548839737651838E-3</v>
      </c>
      <c r="K124" s="1"/>
      <c r="L124" s="1">
        <f t="shared" ref="L124:L126" si="78">+D124-H124</f>
        <v>-168.90000000000009</v>
      </c>
      <c r="M124" s="1"/>
      <c r="N124" s="5">
        <f t="shared" ref="N124:N126" si="79">IF(H124=0,0,L124/H124)</f>
        <v>-9.0660225442834183E-2</v>
      </c>
      <c r="O124" s="13"/>
      <c r="P124" s="1">
        <f>SUM(OSRRefP22_22x_0)</f>
        <v>2879.25</v>
      </c>
      <c r="Q124" s="1"/>
      <c r="R124" s="5">
        <f t="shared" ref="R124:R126" si="80">IF(P$12=0,0,P124/P$12)</f>
        <v>4.0298018208056122E-3</v>
      </c>
      <c r="S124" s="1"/>
      <c r="T124" s="1">
        <f>SUM(OSRRefT22_22x_0)</f>
        <v>3826</v>
      </c>
      <c r="U124" s="1"/>
      <c r="V124" s="5">
        <f t="shared" ref="V124:V126" si="81">IF(T$12=0,0,T124/T$12)</f>
        <v>4.2500618180711389E-3</v>
      </c>
      <c r="W124" s="1"/>
      <c r="X124" s="1">
        <f t="shared" ref="X124:X126" si="82">+P124-T124</f>
        <v>-946.75</v>
      </c>
      <c r="Y124" s="1"/>
      <c r="Z124" s="5">
        <f t="shared" ref="Z124:Z126" si="83">IF(T124=0,0,X124/T124)</f>
        <v>-0.24745164662833247</v>
      </c>
    </row>
    <row r="125" spans="1:26" s="24" customFormat="1" hidden="1" outlineLevel="2" x14ac:dyDescent="0.25">
      <c r="A125" s="27"/>
      <c r="B125" s="11" t="str">
        <f>CONCATENATE("          ", "6303", " - ", "DATA PHONE LINES")</f>
        <v xml:space="preserve">          6303 - DATA PHONE LINES</v>
      </c>
      <c r="C125" s="11"/>
      <c r="D125" s="6"/>
      <c r="E125" s="2"/>
      <c r="F125" s="7">
        <f t="shared" si="76"/>
        <v>0</v>
      </c>
      <c r="G125" s="2"/>
      <c r="H125" s="6">
        <v>448</v>
      </c>
      <c r="I125" s="2"/>
      <c r="J125" s="7">
        <f t="shared" si="77"/>
        <v>7.5866238338529379E-4</v>
      </c>
      <c r="K125" s="2"/>
      <c r="L125" s="6">
        <f t="shared" si="78"/>
        <v>-448</v>
      </c>
      <c r="M125" s="2"/>
      <c r="N125" s="7">
        <f t="shared" si="79"/>
        <v>-1</v>
      </c>
      <c r="O125" s="11"/>
      <c r="P125" s="6"/>
      <c r="Q125" s="2"/>
      <c r="R125" s="7">
        <f t="shared" si="80"/>
        <v>0</v>
      </c>
      <c r="S125" s="2"/>
      <c r="T125" s="6">
        <v>846</v>
      </c>
      <c r="U125" s="2"/>
      <c r="V125" s="7">
        <f t="shared" si="81"/>
        <v>9.3976798172717806E-4</v>
      </c>
      <c r="W125" s="2"/>
      <c r="X125" s="6">
        <f t="shared" si="82"/>
        <v>-846</v>
      </c>
      <c r="Y125" s="2"/>
      <c r="Z125" s="7">
        <f t="shared" si="83"/>
        <v>-1</v>
      </c>
    </row>
    <row r="126" spans="1:26" s="24" customFormat="1" hidden="1" outlineLevel="2" x14ac:dyDescent="0.25">
      <c r="A126" s="27"/>
      <c r="B126" s="11" t="str">
        <f>CONCATENATE("          ", "6309", " - ", "TELEPHONE")</f>
        <v xml:space="preserve">          6309 - TELEPHONE</v>
      </c>
      <c r="C126" s="11"/>
      <c r="D126" s="6">
        <v>1694.1</v>
      </c>
      <c r="E126" s="2"/>
      <c r="F126" s="7">
        <f t="shared" si="76"/>
        <v>3.557550354110762E-3</v>
      </c>
      <c r="G126" s="2"/>
      <c r="H126" s="6">
        <v>1415</v>
      </c>
      <c r="I126" s="2"/>
      <c r="J126" s="7">
        <f t="shared" si="77"/>
        <v>2.39622159037989E-3</v>
      </c>
      <c r="K126" s="2"/>
      <c r="L126" s="6">
        <f t="shared" si="78"/>
        <v>279.09999999999991</v>
      </c>
      <c r="M126" s="2"/>
      <c r="N126" s="7">
        <f t="shared" si="79"/>
        <v>0.19724381625441689</v>
      </c>
      <c r="O126" s="11"/>
      <c r="P126" s="6">
        <v>2879.25</v>
      </c>
      <c r="Q126" s="2"/>
      <c r="R126" s="7">
        <f t="shared" si="80"/>
        <v>4.0298018208056122E-3</v>
      </c>
      <c r="S126" s="2"/>
      <c r="T126" s="6">
        <v>2980</v>
      </c>
      <c r="U126" s="2"/>
      <c r="V126" s="7">
        <f t="shared" si="81"/>
        <v>3.3102938363439604E-3</v>
      </c>
      <c r="W126" s="2"/>
      <c r="X126" s="6">
        <f t="shared" si="82"/>
        <v>-100.75</v>
      </c>
      <c r="Y126" s="2"/>
      <c r="Z126" s="7">
        <f t="shared" si="83"/>
        <v>-3.3808724832214768E-2</v>
      </c>
    </row>
    <row r="127" spans="1:26" s="26" customFormat="1" outlineLevel="1" collapsed="1" x14ac:dyDescent="0.25">
      <c r="A127" s="25"/>
      <c r="B127" s="13" t="str">
        <f>CONCATENATE("     ","Training                                          ")</f>
        <v xml:space="preserve">     Training                                          </v>
      </c>
      <c r="C127" s="13"/>
      <c r="D127" s="1">
        <f>SUM(OSRRefD22_23x_0)</f>
        <v>175</v>
      </c>
      <c r="E127" s="1"/>
      <c r="F127" s="5">
        <f t="shared" ref="F127:F132" si="84">IF(D$12=0,0,D127/D$12)</f>
        <v>3.6749383859830201E-4</v>
      </c>
      <c r="G127" s="1"/>
      <c r="H127" s="1">
        <f>SUM(OSRRefH22_23x_0)</f>
        <v>5340</v>
      </c>
      <c r="I127" s="1"/>
      <c r="J127" s="5">
        <f t="shared" ref="J127:J132" si="85">IF(H$12=0,0,H127/H$12)</f>
        <v>9.0429846591014926E-3</v>
      </c>
      <c r="K127" s="1"/>
      <c r="L127" s="1">
        <f t="shared" ref="L127:L132" si="86">+D127-H127</f>
        <v>-5165</v>
      </c>
      <c r="M127" s="1"/>
      <c r="N127" s="5">
        <f t="shared" ref="N127:N132" si="87">IF(H127=0,0,L127/H127)</f>
        <v>-0.96722846441947563</v>
      </c>
      <c r="O127" s="13"/>
      <c r="P127" s="1">
        <f>SUM(OSRRefP22_23x_0)</f>
        <v>1043.8499999999999</v>
      </c>
      <c r="Q127" s="1"/>
      <c r="R127" s="5">
        <f t="shared" ref="R127:R132" si="88">IF(P$12=0,0,P127/P$12)</f>
        <v>1.4609737364410654E-3</v>
      </c>
      <c r="S127" s="1"/>
      <c r="T127" s="1">
        <f>SUM(OSRRefT22_23x_0)</f>
        <v>5880</v>
      </c>
      <c r="U127" s="1"/>
      <c r="V127" s="5">
        <f t="shared" ref="V127:V132" si="89">IF(T$12=0,0,T127/T$12)</f>
        <v>6.5317207240612376E-3</v>
      </c>
      <c r="W127" s="1"/>
      <c r="X127" s="1">
        <f t="shared" ref="X127:X132" si="90">+P127-T127</f>
        <v>-4836.1499999999996</v>
      </c>
      <c r="Y127" s="1"/>
      <c r="Z127" s="5">
        <f t="shared" ref="Z127:Z132" si="91">IF(T127=0,0,X127/T127)</f>
        <v>-0.82247448979591831</v>
      </c>
    </row>
    <row r="128" spans="1:26" s="24" customFormat="1" hidden="1" outlineLevel="2" x14ac:dyDescent="0.25">
      <c r="A128" s="27"/>
      <c r="B128" s="11" t="str">
        <f>CONCATENATE("          ", "6376", " - ", "TRAINING")</f>
        <v xml:space="preserve">          6376 - TRAINING</v>
      </c>
      <c r="C128" s="11"/>
      <c r="D128" s="6">
        <v>175</v>
      </c>
      <c r="E128" s="2"/>
      <c r="F128" s="7">
        <f t="shared" si="84"/>
        <v>3.6749383859830201E-4</v>
      </c>
      <c r="G128" s="2"/>
      <c r="H128" s="6">
        <v>5340</v>
      </c>
      <c r="I128" s="2"/>
      <c r="J128" s="7">
        <f t="shared" si="85"/>
        <v>9.0429846591014926E-3</v>
      </c>
      <c r="K128" s="2"/>
      <c r="L128" s="6">
        <f t="shared" si="86"/>
        <v>-5165</v>
      </c>
      <c r="M128" s="2"/>
      <c r="N128" s="7">
        <f t="shared" si="87"/>
        <v>-0.96722846441947563</v>
      </c>
      <c r="O128" s="11"/>
      <c r="P128" s="6">
        <v>1043.8499999999999</v>
      </c>
      <c r="Q128" s="2"/>
      <c r="R128" s="7">
        <f t="shared" si="88"/>
        <v>1.4609737364410654E-3</v>
      </c>
      <c r="S128" s="2"/>
      <c r="T128" s="6">
        <v>5880</v>
      </c>
      <c r="U128" s="2"/>
      <c r="V128" s="7">
        <f t="shared" si="89"/>
        <v>6.5317207240612376E-3</v>
      </c>
      <c r="W128" s="2"/>
      <c r="X128" s="6">
        <f t="shared" si="90"/>
        <v>-4836.1499999999996</v>
      </c>
      <c r="Y128" s="2"/>
      <c r="Z128" s="7">
        <f t="shared" si="91"/>
        <v>-0.82247448979591831</v>
      </c>
    </row>
    <row r="129" spans="1:26" s="26" customFormat="1" outlineLevel="1" collapsed="1" x14ac:dyDescent="0.25">
      <c r="A129" s="25"/>
      <c r="B129" s="13" t="str">
        <f>CONCATENATE("     ","Travel                                            ")</f>
        <v xml:space="preserve">     Travel                                            </v>
      </c>
      <c r="C129" s="13"/>
      <c r="D129" s="1">
        <f>SUM(OSRRefD22_24x_0)</f>
        <v>87.039999999999992</v>
      </c>
      <c r="E129" s="1"/>
      <c r="F129" s="5">
        <f t="shared" si="84"/>
        <v>1.8278093549483544E-4</v>
      </c>
      <c r="G129" s="1"/>
      <c r="H129" s="1">
        <f>SUM(OSRRefH22_24x_0)</f>
        <v>0</v>
      </c>
      <c r="I129" s="1"/>
      <c r="J129" s="5">
        <f t="shared" si="85"/>
        <v>0</v>
      </c>
      <c r="K129" s="1"/>
      <c r="L129" s="1">
        <f t="shared" si="86"/>
        <v>87.039999999999992</v>
      </c>
      <c r="M129" s="1"/>
      <c r="N129" s="5">
        <f t="shared" si="87"/>
        <v>0</v>
      </c>
      <c r="O129" s="13"/>
      <c r="P129" s="1">
        <f>SUM(OSRRefP22_24x_0)</f>
        <v>851.36000000000013</v>
      </c>
      <c r="Q129" s="1"/>
      <c r="R129" s="5">
        <f t="shared" si="88"/>
        <v>1.1915644970603686E-3</v>
      </c>
      <c r="S129" s="1"/>
      <c r="T129" s="1">
        <f>SUM(OSRRefT22_24x_0)</f>
        <v>5200</v>
      </c>
      <c r="U129" s="1"/>
      <c r="V129" s="5">
        <f t="shared" si="89"/>
        <v>5.776351660734428E-3</v>
      </c>
      <c r="W129" s="1"/>
      <c r="X129" s="1">
        <f t="shared" si="90"/>
        <v>-4348.6399999999994</v>
      </c>
      <c r="Y129" s="1"/>
      <c r="Z129" s="5">
        <f t="shared" si="91"/>
        <v>-0.83627692307692292</v>
      </c>
    </row>
    <row r="130" spans="1:26" s="24" customFormat="1" hidden="1" outlineLevel="2" x14ac:dyDescent="0.25">
      <c r="A130" s="27"/>
      <c r="B130" s="11" t="str">
        <f>CONCATENATE("          ", "6292", " - ", "TRAVEL/CONFERENCE")</f>
        <v xml:space="preserve">          6292 - TRAVEL/CONFERENCE</v>
      </c>
      <c r="C130" s="11"/>
      <c r="D130" s="6">
        <v>40.46</v>
      </c>
      <c r="E130" s="2"/>
      <c r="F130" s="7">
        <f t="shared" si="84"/>
        <v>8.496457548392742E-5</v>
      </c>
      <c r="G130" s="2"/>
      <c r="H130" s="6"/>
      <c r="I130" s="2"/>
      <c r="J130" s="7">
        <f t="shared" si="85"/>
        <v>0</v>
      </c>
      <c r="K130" s="2"/>
      <c r="L130" s="6">
        <f t="shared" si="86"/>
        <v>40.46</v>
      </c>
      <c r="M130" s="2"/>
      <c r="N130" s="7">
        <f t="shared" si="87"/>
        <v>0</v>
      </c>
      <c r="O130" s="11"/>
      <c r="P130" s="6">
        <v>545.69000000000005</v>
      </c>
      <c r="Q130" s="2"/>
      <c r="R130" s="7">
        <f t="shared" si="88"/>
        <v>7.6374839128085946E-4</v>
      </c>
      <c r="S130" s="2"/>
      <c r="T130" s="6">
        <v>5200</v>
      </c>
      <c r="U130" s="2"/>
      <c r="V130" s="7">
        <f t="shared" si="89"/>
        <v>5.776351660734428E-3</v>
      </c>
      <c r="W130" s="2"/>
      <c r="X130" s="6">
        <f t="shared" si="90"/>
        <v>-4654.3099999999995</v>
      </c>
      <c r="Y130" s="2"/>
      <c r="Z130" s="7">
        <f t="shared" si="91"/>
        <v>-0.89505961538461531</v>
      </c>
    </row>
    <row r="131" spans="1:26" s="24" customFormat="1" hidden="1" outlineLevel="2" x14ac:dyDescent="0.25">
      <c r="A131" s="27"/>
      <c r="B131" s="11" t="str">
        <f>CONCATENATE("          ", "6294", " - ", "TRAVEL OPERATIONAL")</f>
        <v xml:space="preserve">          6294 - TRAVEL OPERATIONAL</v>
      </c>
      <c r="C131" s="11"/>
      <c r="D131" s="6"/>
      <c r="E131" s="2"/>
      <c r="F131" s="7">
        <f t="shared" si="84"/>
        <v>0</v>
      </c>
      <c r="G131" s="2"/>
      <c r="H131" s="6"/>
      <c r="I131" s="2"/>
      <c r="J131" s="7">
        <f t="shared" si="85"/>
        <v>0</v>
      </c>
      <c r="K131" s="2"/>
      <c r="L131" s="6">
        <f t="shared" si="86"/>
        <v>0</v>
      </c>
      <c r="M131" s="2"/>
      <c r="N131" s="7">
        <f t="shared" si="87"/>
        <v>0</v>
      </c>
      <c r="O131" s="11"/>
      <c r="P131" s="6">
        <v>45.49</v>
      </c>
      <c r="Q131" s="2"/>
      <c r="R131" s="7">
        <f t="shared" si="88"/>
        <v>6.3667859626099604E-5</v>
      </c>
      <c r="S131" s="2"/>
      <c r="T131" s="6"/>
      <c r="U131" s="2"/>
      <c r="V131" s="7">
        <f t="shared" si="89"/>
        <v>0</v>
      </c>
      <c r="W131" s="2"/>
      <c r="X131" s="6">
        <f t="shared" si="90"/>
        <v>45.49</v>
      </c>
      <c r="Y131" s="2"/>
      <c r="Z131" s="7">
        <f t="shared" si="91"/>
        <v>0</v>
      </c>
    </row>
    <row r="132" spans="1:26" s="24" customFormat="1" hidden="1" outlineLevel="2" x14ac:dyDescent="0.25">
      <c r="A132" s="27"/>
      <c r="B132" s="11" t="str">
        <f>CONCATENATE("          ", "6298", " - ", "VEHICLE MILEAGE")</f>
        <v xml:space="preserve">          6298 - VEHICLE MILEAGE</v>
      </c>
      <c r="C132" s="11"/>
      <c r="D132" s="6">
        <v>46.58</v>
      </c>
      <c r="E132" s="2"/>
      <c r="F132" s="7">
        <f t="shared" si="84"/>
        <v>9.7816360010908034E-5</v>
      </c>
      <c r="G132" s="2"/>
      <c r="H132" s="6"/>
      <c r="I132" s="2"/>
      <c r="J132" s="7">
        <f t="shared" si="85"/>
        <v>0</v>
      </c>
      <c r="K132" s="2"/>
      <c r="L132" s="6">
        <f t="shared" si="86"/>
        <v>46.58</v>
      </c>
      <c r="M132" s="2"/>
      <c r="N132" s="7">
        <f t="shared" si="87"/>
        <v>0</v>
      </c>
      <c r="O132" s="11"/>
      <c r="P132" s="6">
        <v>260.18</v>
      </c>
      <c r="Q132" s="2"/>
      <c r="R132" s="7">
        <f t="shared" si="88"/>
        <v>3.6414824615340946E-4</v>
      </c>
      <c r="S132" s="2"/>
      <c r="T132" s="6">
        <v>0</v>
      </c>
      <c r="U132" s="2"/>
      <c r="V132" s="7">
        <f t="shared" si="89"/>
        <v>0</v>
      </c>
      <c r="W132" s="2"/>
      <c r="X132" s="6">
        <f t="shared" si="90"/>
        <v>260.18</v>
      </c>
      <c r="Y132" s="2"/>
      <c r="Z132" s="7">
        <f t="shared" si="91"/>
        <v>0</v>
      </c>
    </row>
    <row r="133" spans="1:26" s="26" customFormat="1" outlineLevel="1" collapsed="1" x14ac:dyDescent="0.25">
      <c r="A133" s="25"/>
      <c r="B133" s="13" t="str">
        <f>CONCATENATE("     ","Utilities                                         ")</f>
        <v xml:space="preserve">     Utilities                                         </v>
      </c>
      <c r="C133" s="13"/>
      <c r="D133" s="1">
        <f>SUM(OSRRefD22_25x_0)</f>
        <v>-902.88</v>
      </c>
      <c r="E133" s="1"/>
      <c r="F133" s="5">
        <f t="shared" ref="F133:F134" si="92">IF(D$12=0,0,D133/D$12)</f>
        <v>-1.8960162113921995E-3</v>
      </c>
      <c r="G133" s="1"/>
      <c r="H133" s="1">
        <f>SUM(OSRRefH22_25x_0)</f>
        <v>23567</v>
      </c>
      <c r="I133" s="1"/>
      <c r="J133" s="5">
        <f t="shared" ref="J133:J134" si="93">IF(H$12=0,0,H133/H$12)</f>
        <v>3.9909366940270578E-2</v>
      </c>
      <c r="K133" s="1"/>
      <c r="L133" s="1">
        <f t="shared" ref="L133:L134" si="94">+D133-H133</f>
        <v>-24469.88</v>
      </c>
      <c r="M133" s="1"/>
      <c r="N133" s="5">
        <f t="shared" ref="N133:N134" si="95">IF(H133=0,0,L133/H133)</f>
        <v>-1.0383111978614163</v>
      </c>
      <c r="O133" s="13"/>
      <c r="P133" s="1">
        <f>SUM(OSRRefP22_25x_0)</f>
        <v>13747.12</v>
      </c>
      <c r="Q133" s="1"/>
      <c r="R133" s="5">
        <f t="shared" ref="R133:R134" si="96">IF(P$12=0,0,P133/P$12)</f>
        <v>1.924048596225866E-2</v>
      </c>
      <c r="S133" s="1"/>
      <c r="T133" s="1">
        <f>SUM(OSRRefT22_25x_0)</f>
        <v>42123</v>
      </c>
      <c r="U133" s="1"/>
      <c r="V133" s="5">
        <f t="shared" ref="V133:V134" si="97">IF(T$12=0,0,T133/T$12)</f>
        <v>4.6791780962522365E-2</v>
      </c>
      <c r="W133" s="1"/>
      <c r="X133" s="1">
        <f t="shared" ref="X133:X134" si="98">+P133-T133</f>
        <v>-28375.879999999997</v>
      </c>
      <c r="Y133" s="1"/>
      <c r="Z133" s="5">
        <f t="shared" ref="Z133:Z134" si="99">IF(T133=0,0,X133/T133)</f>
        <v>-0.67364337772713234</v>
      </c>
    </row>
    <row r="134" spans="1:26" s="24" customFormat="1" hidden="1" outlineLevel="2" x14ac:dyDescent="0.25">
      <c r="A134" s="27"/>
      <c r="B134" s="11" t="str">
        <f>CONCATENATE("          ", "6274", " - ", "UTILITIES")</f>
        <v xml:space="preserve">          6274 - UTILITIES</v>
      </c>
      <c r="C134" s="11"/>
      <c r="D134" s="6">
        <v>-902.88</v>
      </c>
      <c r="E134" s="2"/>
      <c r="F134" s="7">
        <f t="shared" si="92"/>
        <v>-1.8960162113921995E-3</v>
      </c>
      <c r="G134" s="2"/>
      <c r="H134" s="6">
        <v>23567</v>
      </c>
      <c r="I134" s="2"/>
      <c r="J134" s="7">
        <f t="shared" si="93"/>
        <v>3.9909366940270578E-2</v>
      </c>
      <c r="K134" s="2"/>
      <c r="L134" s="6">
        <f t="shared" si="94"/>
        <v>-24469.88</v>
      </c>
      <c r="M134" s="2"/>
      <c r="N134" s="7">
        <f t="shared" si="95"/>
        <v>-1.0383111978614163</v>
      </c>
      <c r="O134" s="11"/>
      <c r="P134" s="6">
        <v>13747.12</v>
      </c>
      <c r="Q134" s="2"/>
      <c r="R134" s="7">
        <f t="shared" si="96"/>
        <v>1.924048596225866E-2</v>
      </c>
      <c r="S134" s="2"/>
      <c r="T134" s="6">
        <v>42123</v>
      </c>
      <c r="U134" s="2"/>
      <c r="V134" s="7">
        <f t="shared" si="97"/>
        <v>4.6791780962522365E-2</v>
      </c>
      <c r="W134" s="2"/>
      <c r="X134" s="6">
        <f t="shared" si="98"/>
        <v>-28375.879999999997</v>
      </c>
      <c r="Y134" s="2"/>
      <c r="Z134" s="7">
        <f t="shared" si="99"/>
        <v>-0.67364337772713234</v>
      </c>
    </row>
    <row r="135" spans="1:26" s="63" customFormat="1" x14ac:dyDescent="0.25">
      <c r="A135" s="36"/>
      <c r="B135" s="36"/>
      <c r="C135" s="36"/>
      <c r="D135" s="1"/>
      <c r="E135" s="1"/>
      <c r="F135" s="5"/>
      <c r="G135" s="1"/>
      <c r="H135" s="1"/>
      <c r="I135" s="1"/>
      <c r="J135" s="5"/>
      <c r="K135" s="1"/>
      <c r="L135" s="1"/>
      <c r="M135" s="1"/>
      <c r="N135" s="5"/>
      <c r="O135" s="36"/>
      <c r="P135" s="1"/>
      <c r="Q135" s="1"/>
      <c r="R135" s="5"/>
      <c r="S135" s="1"/>
      <c r="T135" s="1"/>
      <c r="U135" s="1"/>
      <c r="V135" s="5"/>
      <c r="W135" s="1"/>
      <c r="X135" s="1"/>
      <c r="Y135" s="1"/>
      <c r="Z135" s="5"/>
    </row>
    <row r="136" spans="1:26" s="23" customFormat="1" collapsed="1" x14ac:dyDescent="0.25">
      <c r="A136" s="10"/>
      <c r="B136" s="28" t="s">
        <v>0</v>
      </c>
      <c r="C136" s="10"/>
      <c r="D136" s="4">
        <f>SUM(OSRRefD25x_0)</f>
        <v>14461.25</v>
      </c>
      <c r="E136" s="4"/>
      <c r="F136" s="12">
        <f t="shared" ref="F136:F140" si="100">IF(D$12=0,0,D136/D$12)</f>
        <v>3.0368115848169685E-2</v>
      </c>
      <c r="G136" s="4"/>
      <c r="H136" s="4">
        <f>SUM(OSRRefH25x_0)</f>
        <v>19710</v>
      </c>
      <c r="I136" s="4"/>
      <c r="J136" s="12">
        <f t="shared" ref="J136:J140" si="101">IF(H$12=0,0,H136/H$12)</f>
        <v>3.3377757983312814E-2</v>
      </c>
      <c r="K136" s="4"/>
      <c r="L136" s="4">
        <f t="shared" ref="L136:L140" si="102">+D136-H136</f>
        <v>-5248.75</v>
      </c>
      <c r="M136" s="4"/>
      <c r="N136" s="12">
        <f t="shared" ref="N136:N140" si="103">IF(H136=0,0,L136/H136)</f>
        <v>-0.26629883307965502</v>
      </c>
      <c r="O136" s="10"/>
      <c r="P136" s="4">
        <f>SUM(OSRRefP25x_0)</f>
        <v>65394.66</v>
      </c>
      <c r="Q136" s="4"/>
      <c r="R136" s="12">
        <f t="shared" ref="R136:R140" si="104">IF(P$12=0,0,P136/P$12)</f>
        <v>9.1526446101923745E-2</v>
      </c>
      <c r="S136" s="4"/>
      <c r="T136" s="4">
        <f>SUM(OSRRefT25x_0)</f>
        <v>49213</v>
      </c>
      <c r="U136" s="4"/>
      <c r="V136" s="12">
        <f t="shared" ref="V136:V140" si="105">IF(T$12=0,0,T136/T$12)</f>
        <v>5.466761428456219E-2</v>
      </c>
      <c r="W136" s="4"/>
      <c r="X136" s="4">
        <f t="shared" ref="X136:X140" si="106">+P136-T136</f>
        <v>16181.660000000003</v>
      </c>
      <c r="Y136" s="4"/>
      <c r="Z136" s="12">
        <f t="shared" ref="Z136:Z140" si="107">IF(T136=0,0,X136/T136)</f>
        <v>0.3288086481214314</v>
      </c>
    </row>
    <row r="137" spans="1:26" s="24" customFormat="1" hidden="1" outlineLevel="1" x14ac:dyDescent="0.25">
      <c r="A137" s="46"/>
      <c r="B137" s="11" t="str">
        <f>CONCATENATE("          ", "9150", " - ", "MISC. INCOME")</f>
        <v xml:space="preserve">          9150 - MISC. INCOME</v>
      </c>
      <c r="C137" s="11"/>
      <c r="D137" s="2">
        <f>--6527.69</f>
        <v>6527.69</v>
      </c>
      <c r="E137" s="2"/>
      <c r="F137" s="21">
        <f t="shared" si="100"/>
        <v>1.3707919173027142E-2</v>
      </c>
      <c r="G137" s="2"/>
      <c r="H137" s="2">
        <v>12947</v>
      </c>
      <c r="I137" s="2"/>
      <c r="J137" s="21">
        <f t="shared" si="101"/>
        <v>2.192500419127098E-2</v>
      </c>
      <c r="K137" s="2"/>
      <c r="L137" s="2">
        <f t="shared" si="102"/>
        <v>-6419.31</v>
      </c>
      <c r="M137" s="2"/>
      <c r="N137" s="21">
        <f t="shared" si="103"/>
        <v>-0.49581447439561294</v>
      </c>
      <c r="O137" s="11"/>
      <c r="P137" s="2">
        <f>--47787.95</f>
        <v>47787.95</v>
      </c>
      <c r="Q137" s="2"/>
      <c r="R137" s="21">
        <f t="shared" si="104"/>
        <v>6.6884073256079715E-2</v>
      </c>
      <c r="S137" s="2"/>
      <c r="T137" s="2">
        <v>30369</v>
      </c>
      <c r="U137" s="2"/>
      <c r="V137" s="21">
        <f t="shared" si="105"/>
        <v>3.3735004535546891E-2</v>
      </c>
      <c r="W137" s="2"/>
      <c r="X137" s="2">
        <f t="shared" si="106"/>
        <v>17418.949999999997</v>
      </c>
      <c r="Y137" s="2"/>
      <c r="Z137" s="21">
        <f t="shared" si="107"/>
        <v>0.57357667358161268</v>
      </c>
    </row>
    <row r="138" spans="1:26" s="24" customFormat="1" hidden="1" outlineLevel="1" x14ac:dyDescent="0.25">
      <c r="A138" s="46"/>
      <c r="B138" s="11" t="str">
        <f>CONCATENATE("          ", "9151", " - ", "MISC. INCOME")</f>
        <v xml:space="preserve">          9151 - MISC. INCOME</v>
      </c>
      <c r="C138" s="11"/>
      <c r="D138" s="2">
        <f>0</f>
        <v>0</v>
      </c>
      <c r="E138" s="2"/>
      <c r="F138" s="21">
        <f t="shared" si="100"/>
        <v>0</v>
      </c>
      <c r="G138" s="2"/>
      <c r="H138" s="2">
        <v>6763</v>
      </c>
      <c r="I138" s="2"/>
      <c r="J138" s="21">
        <f t="shared" si="101"/>
        <v>1.1452753792041834E-2</v>
      </c>
      <c r="K138" s="2"/>
      <c r="L138" s="2">
        <f t="shared" si="102"/>
        <v>-6763</v>
      </c>
      <c r="M138" s="2"/>
      <c r="N138" s="21">
        <f t="shared" si="103"/>
        <v>-1</v>
      </c>
      <c r="O138" s="11"/>
      <c r="P138" s="2">
        <f>0</f>
        <v>0</v>
      </c>
      <c r="Q138" s="2"/>
      <c r="R138" s="21">
        <f t="shared" si="104"/>
        <v>0</v>
      </c>
      <c r="S138" s="2"/>
      <c r="T138" s="2">
        <v>18844</v>
      </c>
      <c r="U138" s="2"/>
      <c r="V138" s="21">
        <f t="shared" si="105"/>
        <v>2.0932609749015299E-2</v>
      </c>
      <c r="W138" s="2"/>
      <c r="X138" s="2">
        <f t="shared" si="106"/>
        <v>-18844</v>
      </c>
      <c r="Y138" s="2"/>
      <c r="Z138" s="21">
        <f t="shared" si="107"/>
        <v>-1</v>
      </c>
    </row>
    <row r="139" spans="1:26" s="24" customFormat="1" hidden="1" outlineLevel="1" x14ac:dyDescent="0.25">
      <c r="A139" s="46"/>
      <c r="B139" s="11" t="str">
        <f>CONCATENATE("          ", "9160", " - ", "MISC. INCOME")</f>
        <v xml:space="preserve">          9160 - MISC. INCOME</v>
      </c>
      <c r="C139" s="11"/>
      <c r="D139" s="2">
        <f>--4981.17</f>
        <v>4981.17</v>
      </c>
      <c r="E139" s="2"/>
      <c r="F139" s="21">
        <f t="shared" si="100"/>
        <v>1.0460281622918309E-2</v>
      </c>
      <c r="G139" s="2"/>
      <c r="H139" s="2"/>
      <c r="I139" s="2"/>
      <c r="J139" s="21">
        <f t="shared" si="101"/>
        <v>0</v>
      </c>
      <c r="K139" s="2"/>
      <c r="L139" s="2">
        <f t="shared" si="102"/>
        <v>4981.17</v>
      </c>
      <c r="M139" s="2"/>
      <c r="N139" s="21">
        <f t="shared" si="103"/>
        <v>0</v>
      </c>
      <c r="O139" s="11"/>
      <c r="P139" s="2">
        <f>--10973.27</f>
        <v>10973.27</v>
      </c>
      <c r="Q139" s="2"/>
      <c r="R139" s="21">
        <f t="shared" si="104"/>
        <v>1.5358202110338316E-2</v>
      </c>
      <c r="S139" s="2"/>
      <c r="T139" s="2"/>
      <c r="U139" s="2"/>
      <c r="V139" s="21">
        <f t="shared" si="105"/>
        <v>0</v>
      </c>
      <c r="W139" s="2"/>
      <c r="X139" s="2">
        <f t="shared" si="106"/>
        <v>10973.27</v>
      </c>
      <c r="Y139" s="2"/>
      <c r="Z139" s="21">
        <f t="shared" si="107"/>
        <v>0</v>
      </c>
    </row>
    <row r="140" spans="1:26" s="24" customFormat="1" hidden="1" outlineLevel="1" x14ac:dyDescent="0.25">
      <c r="A140" s="46"/>
      <c r="B140" s="11" t="str">
        <f>CONCATENATE("          ", "9165", " - ", "OTHER INCOME")</f>
        <v xml:space="preserve">          9165 - OTHER INCOME</v>
      </c>
      <c r="C140" s="11"/>
      <c r="D140" s="2">
        <f>--2952.39</f>
        <v>2952.39</v>
      </c>
      <c r="E140" s="2"/>
      <c r="F140" s="21">
        <f t="shared" si="100"/>
        <v>6.199915052224233E-3</v>
      </c>
      <c r="G140" s="2"/>
      <c r="H140" s="2"/>
      <c r="I140" s="2"/>
      <c r="J140" s="21">
        <f t="shared" si="101"/>
        <v>0</v>
      </c>
      <c r="K140" s="2"/>
      <c r="L140" s="2">
        <f t="shared" si="102"/>
        <v>2952.39</v>
      </c>
      <c r="M140" s="2"/>
      <c r="N140" s="21">
        <f t="shared" si="103"/>
        <v>0</v>
      </c>
      <c r="O140" s="11"/>
      <c r="P140" s="2">
        <f>--6633.44</f>
        <v>6633.44</v>
      </c>
      <c r="Q140" s="2"/>
      <c r="R140" s="21">
        <f t="shared" si="104"/>
        <v>9.2841707355056959E-3</v>
      </c>
      <c r="S140" s="2"/>
      <c r="T140" s="2"/>
      <c r="U140" s="2"/>
      <c r="V140" s="21">
        <f t="shared" si="105"/>
        <v>0</v>
      </c>
      <c r="W140" s="2"/>
      <c r="X140" s="2">
        <f t="shared" si="106"/>
        <v>6633.44</v>
      </c>
      <c r="Y140" s="2"/>
      <c r="Z140" s="21">
        <f t="shared" si="107"/>
        <v>0</v>
      </c>
    </row>
    <row r="141" spans="1:26" x14ac:dyDescent="0.25">
      <c r="A141" s="9"/>
      <c r="B141" s="10"/>
      <c r="C141" s="10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0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10"/>
      <c r="B142" s="29" t="s">
        <v>3</v>
      </c>
      <c r="C142" s="29"/>
      <c r="D142" s="22">
        <f>+D36-D38+D136</f>
        <v>-163030.66999999993</v>
      </c>
      <c r="E142" s="14"/>
      <c r="F142" s="20">
        <f>IF(D$12=0,0,D142/D$12)</f>
        <v>-0.34235866701458861</v>
      </c>
      <c r="G142" s="14"/>
      <c r="H142" s="22">
        <f>+H36-H38+H136</f>
        <v>-135467.94871186046</v>
      </c>
      <c r="I142" s="14"/>
      <c r="J142" s="20">
        <f>IF(H$12=0,0,H142/H$12)</f>
        <v>-0.22940722509387679</v>
      </c>
      <c r="K142" s="15"/>
      <c r="L142" s="22">
        <f>+D142-H142</f>
        <v>-27562.721288139466</v>
      </c>
      <c r="M142" s="15"/>
      <c r="N142" s="20">
        <f>IF(H142=0,0,L142/H142)</f>
        <v>0.20346304458160222</v>
      </c>
      <c r="O142" s="28"/>
      <c r="P142" s="22">
        <f>+P36-P38+P136</f>
        <v>-457177.6799999997</v>
      </c>
      <c r="Q142" s="14"/>
      <c r="R142" s="20">
        <f>IF(P$12=0,0,P142/P$12)</f>
        <v>-0.63986643997418913</v>
      </c>
      <c r="S142" s="14"/>
      <c r="T142" s="22">
        <f>+T36-T38+T136</f>
        <v>-384595.35750746622</v>
      </c>
      <c r="U142" s="14"/>
      <c r="V142" s="20">
        <f>IF(T$12=0,0,T142/T$12)</f>
        <v>-0.42722269847096223</v>
      </c>
      <c r="W142" s="15"/>
      <c r="X142" s="22">
        <f>+P142-T142</f>
        <v>-72582.32249253348</v>
      </c>
      <c r="Y142" s="15"/>
      <c r="Z142" s="20">
        <f>IF(T142=0,0,X142/T142)</f>
        <v>0.18872386542295802</v>
      </c>
    </row>
    <row r="143" spans="1:26" x14ac:dyDescent="0.25">
      <c r="A143" s="9"/>
      <c r="B143" s="10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x14ac:dyDescent="0.25">
      <c r="A144" s="52"/>
      <c r="B144" s="10" t="s">
        <v>14</v>
      </c>
      <c r="C144" s="10"/>
      <c r="D144" s="4">
        <v>39536.120000000003</v>
      </c>
      <c r="E144" s="4"/>
      <c r="F144" s="12">
        <f>IF(D$12=0,0,D144/D$12)</f>
        <v>8.3024460011903431E-2</v>
      </c>
      <c r="G144" s="4"/>
      <c r="H144" s="4">
        <v>70719</v>
      </c>
      <c r="I144" s="4"/>
      <c r="J144" s="12">
        <f>IF(H$12=0,0,H144/H$12)</f>
        <v>0.11975858279157275</v>
      </c>
      <c r="K144" s="4"/>
      <c r="L144" s="4">
        <f>+D144-H144</f>
        <v>-31182.879999999997</v>
      </c>
      <c r="M144" s="4"/>
      <c r="N144" s="12">
        <f>IF(H144=0,0,L144/H144)</f>
        <v>-0.44094062416040947</v>
      </c>
      <c r="O144" s="10"/>
      <c r="P144" s="4">
        <v>89083.78</v>
      </c>
      <c r="Q144" s="4"/>
      <c r="R144" s="12">
        <f>IF(P$12=0,0,P144/P$12)</f>
        <v>0.12468176742146272</v>
      </c>
      <c r="S144" s="4"/>
      <c r="T144" s="4">
        <v>146198</v>
      </c>
      <c r="U144" s="4"/>
      <c r="V144" s="12">
        <f>IF(T$12=0,0,T144/T$12)</f>
        <v>0.16240212694154843</v>
      </c>
      <c r="W144" s="4"/>
      <c r="X144" s="4">
        <f>+P144-T144</f>
        <v>-57114.22</v>
      </c>
      <c r="Y144" s="4"/>
      <c r="Z144" s="12">
        <f>IF(T144=0,0,X144/T144)</f>
        <v>-0.39066348376858784</v>
      </c>
    </row>
    <row r="145" spans="1:26" x14ac:dyDescent="0.25">
      <c r="A145" s="9"/>
      <c r="B145" s="10"/>
      <c r="C145" s="10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O145" s="10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.75" thickBot="1" x14ac:dyDescent="0.3">
      <c r="A146" s="10"/>
      <c r="B146" s="29" t="s">
        <v>4</v>
      </c>
      <c r="C146" s="29"/>
      <c r="D146" s="31">
        <f>+D142-D144</f>
        <v>-202566.78999999992</v>
      </c>
      <c r="E146" s="14"/>
      <c r="F146" s="32">
        <f>IF(D$12=0,0,D146/D$12)</f>
        <v>-0.42538312702649206</v>
      </c>
      <c r="G146" s="14"/>
      <c r="H146" s="31">
        <f>+H142-H144</f>
        <v>-206186.94871186046</v>
      </c>
      <c r="I146" s="14"/>
      <c r="J146" s="32">
        <f>IF(H$12=0,0,H146/H$12)</f>
        <v>-0.34916580788544954</v>
      </c>
      <c r="K146" s="15"/>
      <c r="L146" s="31">
        <f>D146-H146</f>
        <v>3620.1587118605385</v>
      </c>
      <c r="M146" s="15"/>
      <c r="N146" s="32">
        <f>IF(H146=0,0,L146/H146)</f>
        <v>-1.7557652094263212E-2</v>
      </c>
      <c r="O146" s="28"/>
      <c r="P146" s="31">
        <f>+P142-P144</f>
        <v>-546261.45999999973</v>
      </c>
      <c r="Q146" s="14"/>
      <c r="R146" s="32">
        <f>IF(P$12=0,0,P146/P$12)</f>
        <v>-0.76454820739565188</v>
      </c>
      <c r="S146" s="14"/>
      <c r="T146" s="31">
        <f>+T142-T144</f>
        <v>-530793.35750746622</v>
      </c>
      <c r="U146" s="14"/>
      <c r="V146" s="32">
        <f>IF(T$12=0,0,T146/T$12)</f>
        <v>-0.5896248254125106</v>
      </c>
      <c r="W146" s="15"/>
      <c r="X146" s="31">
        <f>P146-T146</f>
        <v>-15468.102492533508</v>
      </c>
      <c r="Y146" s="15"/>
      <c r="Z146" s="32">
        <f>IF(T146=0,0,X146/T146)</f>
        <v>2.9141477137486466E-2</v>
      </c>
    </row>
    <row r="147" spans="1:26" ht="15.75" thickTop="1" x14ac:dyDescent="0.25">
      <c r="A147" s="9"/>
      <c r="B147" s="9"/>
      <c r="C147" s="9"/>
      <c r="D147" s="3"/>
      <c r="E147" s="3"/>
      <c r="F147" s="8"/>
      <c r="G147" s="3"/>
      <c r="H147" s="3"/>
      <c r="I147" s="3"/>
      <c r="J147" s="8"/>
      <c r="K147" s="3"/>
      <c r="L147" s="3"/>
      <c r="M147" s="3"/>
      <c r="N147" s="8"/>
      <c r="P147" s="3"/>
      <c r="Q147" s="3"/>
      <c r="R147" s="8"/>
      <c r="S147" s="3"/>
      <c r="T147" s="3"/>
      <c r="U147" s="3"/>
      <c r="V147" s="8"/>
      <c r="W147" s="3"/>
      <c r="X147" s="3"/>
      <c r="Y147" s="3"/>
      <c r="Z147" s="8"/>
    </row>
    <row r="148" spans="1:26" x14ac:dyDescent="0.25">
      <c r="A148" s="9"/>
      <c r="B148" s="9"/>
      <c r="C148" s="9"/>
      <c r="D148" s="3"/>
      <c r="E148" s="3"/>
      <c r="F148" s="8"/>
      <c r="G148" s="3"/>
      <c r="H148" s="3"/>
      <c r="I148" s="3"/>
      <c r="J148" s="8"/>
      <c r="K148" s="3"/>
      <c r="L148" s="3"/>
      <c r="M148" s="3"/>
      <c r="N148" s="8"/>
      <c r="P148" s="3"/>
      <c r="Q148" s="3"/>
      <c r="R148" s="8"/>
      <c r="S148" s="3"/>
      <c r="T148" s="3"/>
      <c r="U148" s="3"/>
      <c r="V148" s="8"/>
      <c r="W148" s="3"/>
      <c r="X148" s="3"/>
      <c r="Y148" s="3"/>
      <c r="Z148" s="8"/>
    </row>
    <row r="149" spans="1:26" s="23" customFormat="1" ht="15.75" thickBot="1" x14ac:dyDescent="0.3">
      <c r="A149" s="10"/>
      <c r="B149" s="29" t="s">
        <v>5</v>
      </c>
      <c r="C149" s="29"/>
      <c r="D149" s="33">
        <f>SUM(D146:D148)</f>
        <v>-202566.78999999992</v>
      </c>
      <c r="E149" s="14"/>
      <c r="F149" s="35">
        <f>IF(D$12=0,0,D149/D$12)</f>
        <v>-0.42538312702649206</v>
      </c>
      <c r="G149" s="14"/>
      <c r="H149" s="33">
        <f>SUM(H146:H148)</f>
        <v>-206186.94871186046</v>
      </c>
      <c r="I149" s="14"/>
      <c r="J149" s="35">
        <f>IF(H$12=0,0,H149/H$12)</f>
        <v>-0.34916580788544954</v>
      </c>
      <c r="K149" s="15"/>
      <c r="L149" s="33">
        <f>+D149-H149</f>
        <v>3620.1587118605385</v>
      </c>
      <c r="M149" s="15"/>
      <c r="N149" s="35">
        <f>IF(H149=0,0,L149/H149)</f>
        <v>-1.7557652094263212E-2</v>
      </c>
      <c r="O149" s="28"/>
      <c r="P149" s="33">
        <f>SUM(P146:P148)</f>
        <v>-546261.45999999973</v>
      </c>
      <c r="Q149" s="14"/>
      <c r="R149" s="35">
        <f>IF(P$12=0,0,P149/P$12)</f>
        <v>-0.76454820739565188</v>
      </c>
      <c r="S149" s="14"/>
      <c r="T149" s="33">
        <f>SUM(T146:T148)</f>
        <v>-530793.35750746622</v>
      </c>
      <c r="U149" s="14"/>
      <c r="V149" s="35">
        <f>IF(T$12=0,0,T149/T$12)</f>
        <v>-0.5896248254125106</v>
      </c>
      <c r="W149" s="15"/>
      <c r="X149" s="33">
        <f>+P149-T149</f>
        <v>-15468.102492533508</v>
      </c>
      <c r="Y149" s="15"/>
      <c r="Z149" s="35">
        <f>IF(T149=0,0,X149/T149)</f>
        <v>2.9141477137486466E-2</v>
      </c>
    </row>
    <row r="150" spans="1:26" ht="15.75" thickTop="1" x14ac:dyDescent="0.25">
      <c r="A150" s="9"/>
      <c r="C150" s="9"/>
      <c r="D150" s="17"/>
      <c r="E150" s="17"/>
      <c r="G150" s="17"/>
      <c r="H150" s="17"/>
      <c r="I150" s="17"/>
      <c r="J150" s="42"/>
      <c r="K150" s="17"/>
      <c r="L150" s="17"/>
      <c r="M150" s="17"/>
      <c r="P150" s="17"/>
      <c r="Q150" s="17"/>
      <c r="R150" s="42"/>
      <c r="S150" s="17"/>
      <c r="T150" s="17"/>
      <c r="U150" s="17"/>
      <c r="V150" s="42"/>
      <c r="W150" s="17"/>
      <c r="X150" s="17"/>
    </row>
    <row r="151" spans="1:26" x14ac:dyDescent="0.25">
      <c r="A151" s="9"/>
      <c r="B151" s="61">
        <v>43732.705592326391</v>
      </c>
      <c r="D151" s="17"/>
      <c r="E151" s="17"/>
      <c r="G151" s="17"/>
      <c r="H151" s="17"/>
      <c r="I151" s="17"/>
      <c r="J151" s="42"/>
      <c r="K151" s="17"/>
      <c r="L151" s="17"/>
      <c r="M151" s="17"/>
      <c r="P151" s="17"/>
      <c r="Q151" s="17"/>
      <c r="R151" s="42"/>
      <c r="S151" s="17"/>
      <c r="T151" s="17"/>
      <c r="U151" s="17"/>
      <c r="V151" s="42"/>
      <c r="W151" s="17"/>
      <c r="X151" s="17"/>
    </row>
    <row r="152" spans="1:26" x14ac:dyDescent="0.25">
      <c r="A152" s="9"/>
      <c r="B152" s="62" t="s">
        <v>314</v>
      </c>
      <c r="D152" s="17"/>
      <c r="E152" s="17"/>
      <c r="G152" s="17"/>
      <c r="H152" s="17"/>
      <c r="I152" s="17"/>
      <c r="J152" s="42"/>
      <c r="K152" s="17"/>
      <c r="L152" s="17"/>
      <c r="M152" s="17"/>
      <c r="P152" s="17"/>
      <c r="Q152" s="17"/>
      <c r="R152" s="42"/>
      <c r="S152" s="17"/>
      <c r="T152" s="17"/>
      <c r="U152" s="17"/>
      <c r="V152" s="42"/>
      <c r="W152" s="17"/>
      <c r="X152" s="17"/>
    </row>
    <row r="153" spans="1:26" x14ac:dyDescent="0.25">
      <c r="A153" s="9"/>
      <c r="B153" s="58"/>
      <c r="D153" s="17"/>
      <c r="E153" s="17"/>
      <c r="G153" s="17"/>
      <c r="H153" s="17"/>
      <c r="I153" s="17"/>
      <c r="J153" s="42"/>
      <c r="K153" s="17"/>
      <c r="L153" s="17"/>
      <c r="M153" s="17"/>
      <c r="P153" s="17"/>
      <c r="Q153" s="17"/>
      <c r="R153" s="42"/>
      <c r="S153" s="17"/>
      <c r="T153" s="17"/>
      <c r="U153" s="17"/>
      <c r="V153" s="42"/>
      <c r="W153" s="17"/>
      <c r="X153" s="17"/>
    </row>
    <row r="154" spans="1:26" x14ac:dyDescent="0.25">
      <c r="D154" s="17"/>
      <c r="E154" s="17"/>
      <c r="G154" s="17"/>
      <c r="H154" s="17"/>
      <c r="I154" s="17"/>
      <c r="J154" s="42"/>
      <c r="K154" s="17"/>
      <c r="L154" s="17"/>
      <c r="M154" s="17"/>
      <c r="P154" s="17"/>
      <c r="Q154" s="17"/>
      <c r="R154" s="42"/>
      <c r="S154" s="17"/>
      <c r="T154" s="17"/>
      <c r="U154" s="17"/>
      <c r="V154" s="42"/>
      <c r="W154" s="17"/>
      <c r="X154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301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347480.10000000009</v>
      </c>
      <c r="E12" s="4"/>
      <c r="F12" s="12"/>
      <c r="G12" s="4"/>
      <c r="H12" s="4">
        <f>SUM(OSRRefH13x_0)</f>
        <v>451404</v>
      </c>
      <c r="I12" s="4"/>
      <c r="J12" s="12"/>
      <c r="K12" s="4"/>
      <c r="L12" s="4">
        <f t="shared" ref="L12:L23" si="0">+D12-H12</f>
        <v>-103923.89999999991</v>
      </c>
      <c r="M12" s="4"/>
      <c r="N12" s="12">
        <f t="shared" ref="N12:N23" si="1">IF(H12=0,0,L12/H12)</f>
        <v>-0.23022370204960502</v>
      </c>
      <c r="O12" s="10"/>
      <c r="P12" s="4">
        <f>SUM(OSRRefP13x_0)</f>
        <v>526945.93000000005</v>
      </c>
      <c r="Q12" s="4"/>
      <c r="R12" s="12"/>
      <c r="S12" s="4"/>
      <c r="T12" s="4">
        <f>SUM(OSRRefT13x_0)</f>
        <v>701279</v>
      </c>
      <c r="U12" s="4"/>
      <c r="V12" s="12"/>
      <c r="W12" s="4"/>
      <c r="X12" s="4">
        <f t="shared" ref="X12:X23" si="2">+P12-T12</f>
        <v>-174333.06999999995</v>
      </c>
      <c r="Y12" s="4"/>
      <c r="Z12" s="12">
        <f t="shared" ref="Z12:Z23" si="3">IF(T12=0,0,X12/T12)</f>
        <v>-0.24859302788191284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254274</v>
      </c>
      <c r="I13" s="2"/>
      <c r="J13" s="21"/>
      <c r="K13" s="2"/>
      <c r="L13" s="2">
        <f t="shared" si="0"/>
        <v>-254274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414709</v>
      </c>
      <c r="U13" s="2"/>
      <c r="V13" s="21"/>
      <c r="W13" s="2"/>
      <c r="X13" s="2">
        <f t="shared" si="2"/>
        <v>-414709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"4051", " - ", "TAXABLE SALES-FOOD")</f>
        <v xml:space="preserve">          4051 - TAXABLE SALES-FOOD</v>
      </c>
      <c r="C14" s="11"/>
      <c r="D14" s="2">
        <f>--34317.05</f>
        <v>34317.050000000003</v>
      </c>
      <c r="E14" s="2"/>
      <c r="F14" s="21"/>
      <c r="G14" s="2"/>
      <c r="H14" s="2"/>
      <c r="I14" s="2"/>
      <c r="J14" s="21"/>
      <c r="K14" s="2"/>
      <c r="L14" s="2">
        <f t="shared" si="0"/>
        <v>34317.050000000003</v>
      </c>
      <c r="M14" s="2"/>
      <c r="N14" s="21">
        <f t="shared" si="1"/>
        <v>0</v>
      </c>
      <c r="O14" s="11"/>
      <c r="P14" s="2">
        <f>--53195.75</f>
        <v>53195.75</v>
      </c>
      <c r="Q14" s="2"/>
      <c r="R14" s="21"/>
      <c r="S14" s="2"/>
      <c r="T14" s="2"/>
      <c r="U14" s="2"/>
      <c r="V14" s="21"/>
      <c r="W14" s="2"/>
      <c r="X14" s="2">
        <f t="shared" si="2"/>
        <v>53195.75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"4052", " - ", "TAXABLE SALES-FOOD")</f>
        <v xml:space="preserve">          4052 - TAXABLE SALES-FOOD</v>
      </c>
      <c r="C15" s="11"/>
      <c r="D15" s="2">
        <f>--95751.36</f>
        <v>95751.360000000001</v>
      </c>
      <c r="E15" s="2"/>
      <c r="F15" s="21"/>
      <c r="G15" s="2"/>
      <c r="H15" s="2"/>
      <c r="I15" s="2"/>
      <c r="J15" s="21"/>
      <c r="K15" s="2"/>
      <c r="L15" s="2">
        <f t="shared" si="0"/>
        <v>95751.360000000001</v>
      </c>
      <c r="M15" s="2"/>
      <c r="N15" s="21">
        <f t="shared" si="1"/>
        <v>0</v>
      </c>
      <c r="O15" s="11"/>
      <c r="P15" s="2">
        <f>--139530.2</f>
        <v>139530.20000000001</v>
      </c>
      <c r="Q15" s="2"/>
      <c r="R15" s="21"/>
      <c r="S15" s="2"/>
      <c r="T15" s="2"/>
      <c r="U15" s="2"/>
      <c r="V15" s="21"/>
      <c r="W15" s="2"/>
      <c r="X15" s="2">
        <f t="shared" si="2"/>
        <v>139530.20000000001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"4053", " - ", "TAXABLE SALES-FOOD")</f>
        <v xml:space="preserve">          4053 - TAXABLE SALES-FOOD</v>
      </c>
      <c r="C16" s="11"/>
      <c r="D16" s="2">
        <f>--19917.63</f>
        <v>19917.63</v>
      </c>
      <c r="E16" s="2"/>
      <c r="F16" s="21"/>
      <c r="G16" s="2"/>
      <c r="H16" s="2"/>
      <c r="I16" s="2"/>
      <c r="J16" s="21"/>
      <c r="K16" s="2"/>
      <c r="L16" s="2">
        <f t="shared" si="0"/>
        <v>19917.63</v>
      </c>
      <c r="M16" s="2"/>
      <c r="N16" s="21">
        <f t="shared" si="1"/>
        <v>0</v>
      </c>
      <c r="O16" s="11"/>
      <c r="P16" s="2">
        <f>--44848.74</f>
        <v>44848.74</v>
      </c>
      <c r="Q16" s="2"/>
      <c r="R16" s="21"/>
      <c r="S16" s="2"/>
      <c r="T16" s="2"/>
      <c r="U16" s="2"/>
      <c r="V16" s="21"/>
      <c r="W16" s="2"/>
      <c r="X16" s="2">
        <f t="shared" si="2"/>
        <v>44848.74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"4055", " - ", "TAXABLE SALES-FOOD")</f>
        <v xml:space="preserve">          4055 - TAXABLE SALES-FOOD</v>
      </c>
      <c r="C17" s="11"/>
      <c r="D17" s="2">
        <f>--29693.44</f>
        <v>29693.439999999999</v>
      </c>
      <c r="E17" s="2"/>
      <c r="F17" s="21"/>
      <c r="G17" s="2"/>
      <c r="H17" s="2"/>
      <c r="I17" s="2"/>
      <c r="J17" s="21"/>
      <c r="K17" s="2"/>
      <c r="L17" s="2">
        <f t="shared" si="0"/>
        <v>29693.439999999999</v>
      </c>
      <c r="M17" s="2"/>
      <c r="N17" s="21">
        <f t="shared" si="1"/>
        <v>0</v>
      </c>
      <c r="O17" s="11"/>
      <c r="P17" s="2">
        <f>--43937.07</f>
        <v>43937.07</v>
      </c>
      <c r="Q17" s="2"/>
      <c r="R17" s="21"/>
      <c r="S17" s="2"/>
      <c r="T17" s="2"/>
      <c r="U17" s="2"/>
      <c r="V17" s="21"/>
      <c r="W17" s="2"/>
      <c r="X17" s="2">
        <f t="shared" si="2"/>
        <v>43937.07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"4058", " - ", "TAXABLE SALES-FOOD")</f>
        <v xml:space="preserve">          4058 - TAXABLE SALES-FOOD</v>
      </c>
      <c r="C18" s="11"/>
      <c r="D18" s="2">
        <f>--9436.48</f>
        <v>9436.48</v>
      </c>
      <c r="E18" s="2"/>
      <c r="F18" s="21"/>
      <c r="G18" s="2"/>
      <c r="H18" s="2"/>
      <c r="I18" s="2"/>
      <c r="J18" s="21"/>
      <c r="K18" s="2"/>
      <c r="L18" s="2">
        <f t="shared" si="0"/>
        <v>9436.48</v>
      </c>
      <c r="M18" s="2"/>
      <c r="N18" s="21">
        <f t="shared" si="1"/>
        <v>0</v>
      </c>
      <c r="O18" s="11"/>
      <c r="P18" s="2">
        <f>--17838.14</f>
        <v>17838.14</v>
      </c>
      <c r="Q18" s="2"/>
      <c r="R18" s="21"/>
      <c r="S18" s="2"/>
      <c r="T18" s="2"/>
      <c r="U18" s="2"/>
      <c r="V18" s="21"/>
      <c r="W18" s="2"/>
      <c r="X18" s="2">
        <f t="shared" si="2"/>
        <v>17838.14</v>
      </c>
      <c r="Y18" s="2"/>
      <c r="Z18" s="21">
        <f t="shared" si="3"/>
        <v>0</v>
      </c>
    </row>
    <row r="19" spans="1:26" s="24" customFormat="1" hidden="1" outlineLevel="1" x14ac:dyDescent="0.25">
      <c r="A19" s="46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1"/>
      <c r="G19" s="2"/>
      <c r="H19" s="2">
        <v>197130</v>
      </c>
      <c r="I19" s="2"/>
      <c r="J19" s="21"/>
      <c r="K19" s="2"/>
      <c r="L19" s="2">
        <f t="shared" si="0"/>
        <v>-197130</v>
      </c>
      <c r="M19" s="2"/>
      <c r="N19" s="21">
        <f t="shared" si="1"/>
        <v>-1</v>
      </c>
      <c r="O19" s="11"/>
      <c r="P19" s="2">
        <f>0</f>
        <v>0</v>
      </c>
      <c r="Q19" s="2"/>
      <c r="R19" s="21"/>
      <c r="S19" s="2"/>
      <c r="T19" s="2">
        <v>286570</v>
      </c>
      <c r="U19" s="2"/>
      <c r="V19" s="21"/>
      <c r="W19" s="2"/>
      <c r="X19" s="2">
        <f t="shared" si="2"/>
        <v>-286570</v>
      </c>
      <c r="Y19" s="2"/>
      <c r="Z19" s="21">
        <f t="shared" si="3"/>
        <v>-1</v>
      </c>
    </row>
    <row r="20" spans="1:26" s="24" customFormat="1" hidden="1" outlineLevel="1" x14ac:dyDescent="0.25">
      <c r="A20" s="46"/>
      <c r="B20" s="11" t="str">
        <f>CONCATENATE("          ", "4151", " - ", "NON-TAXABLE SALES-FOOD")</f>
        <v xml:space="preserve">          4151 - NON-TAXABLE SALES-FOOD</v>
      </c>
      <c r="C20" s="11"/>
      <c r="D20" s="2">
        <f>--78475.1</f>
        <v>78475.100000000006</v>
      </c>
      <c r="E20" s="2"/>
      <c r="F20" s="21"/>
      <c r="G20" s="2"/>
      <c r="H20" s="2"/>
      <c r="I20" s="2"/>
      <c r="J20" s="21"/>
      <c r="K20" s="2"/>
      <c r="L20" s="2">
        <f t="shared" si="0"/>
        <v>78475.100000000006</v>
      </c>
      <c r="M20" s="2"/>
      <c r="N20" s="21">
        <f t="shared" si="1"/>
        <v>0</v>
      </c>
      <c r="O20" s="11"/>
      <c r="P20" s="2">
        <f>--108843.55</f>
        <v>108843.55</v>
      </c>
      <c r="Q20" s="2"/>
      <c r="R20" s="21"/>
      <c r="S20" s="2"/>
      <c r="T20" s="2"/>
      <c r="U20" s="2"/>
      <c r="V20" s="21"/>
      <c r="W20" s="2"/>
      <c r="X20" s="2">
        <f t="shared" si="2"/>
        <v>108843.55</v>
      </c>
      <c r="Y20" s="2"/>
      <c r="Z20" s="21">
        <f t="shared" si="3"/>
        <v>0</v>
      </c>
    </row>
    <row r="21" spans="1:26" s="24" customFormat="1" hidden="1" outlineLevel="1" x14ac:dyDescent="0.25">
      <c r="A21" s="46"/>
      <c r="B21" s="11" t="str">
        <f>CONCATENATE("          ", "4152", " - ", "NON-TAXABLE SALES-FOOD")</f>
        <v xml:space="preserve">          4152 - NON-TAXABLE SALES-FOOD</v>
      </c>
      <c r="C21" s="11"/>
      <c r="D21" s="2">
        <f>--3990.43</f>
        <v>3990.43</v>
      </c>
      <c r="E21" s="2"/>
      <c r="F21" s="21"/>
      <c r="G21" s="2"/>
      <c r="H21" s="2"/>
      <c r="I21" s="2"/>
      <c r="J21" s="21"/>
      <c r="K21" s="2"/>
      <c r="L21" s="2">
        <f t="shared" si="0"/>
        <v>3990.43</v>
      </c>
      <c r="M21" s="2"/>
      <c r="N21" s="21">
        <f t="shared" si="1"/>
        <v>0</v>
      </c>
      <c r="O21" s="11"/>
      <c r="P21" s="2">
        <f>--7657.52</f>
        <v>7657.52</v>
      </c>
      <c r="Q21" s="2"/>
      <c r="R21" s="21"/>
      <c r="S21" s="2"/>
      <c r="T21" s="2"/>
      <c r="U21" s="2"/>
      <c r="V21" s="21"/>
      <c r="W21" s="2"/>
      <c r="X21" s="2">
        <f t="shared" si="2"/>
        <v>7657.52</v>
      </c>
      <c r="Y21" s="2"/>
      <c r="Z21" s="21">
        <f t="shared" si="3"/>
        <v>0</v>
      </c>
    </row>
    <row r="22" spans="1:26" s="24" customFormat="1" hidden="1" outlineLevel="1" x14ac:dyDescent="0.25">
      <c r="A22" s="46"/>
      <c r="B22" s="11" t="str">
        <f>CONCATENATE("          ", "4155", " - ", "NON-TAXABLE SALES-FOOD")</f>
        <v xml:space="preserve">          4155 - NON-TAXABLE SALES-FOOD</v>
      </c>
      <c r="C22" s="11"/>
      <c r="D22" s="2">
        <f>--45088.39</f>
        <v>45088.39</v>
      </c>
      <c r="E22" s="2"/>
      <c r="F22" s="21"/>
      <c r="G22" s="2"/>
      <c r="H22" s="2"/>
      <c r="I22" s="2"/>
      <c r="J22" s="21"/>
      <c r="K22" s="2"/>
      <c r="L22" s="2">
        <f t="shared" si="0"/>
        <v>45088.39</v>
      </c>
      <c r="M22" s="2"/>
      <c r="N22" s="21">
        <f t="shared" si="1"/>
        <v>0</v>
      </c>
      <c r="O22" s="11"/>
      <c r="P22" s="2">
        <f>--70725.05</f>
        <v>70725.05</v>
      </c>
      <c r="Q22" s="2"/>
      <c r="R22" s="21"/>
      <c r="S22" s="2"/>
      <c r="T22" s="2"/>
      <c r="U22" s="2"/>
      <c r="V22" s="21"/>
      <c r="W22" s="2"/>
      <c r="X22" s="2">
        <f t="shared" si="2"/>
        <v>70725.05</v>
      </c>
      <c r="Y22" s="2"/>
      <c r="Z22" s="21">
        <f t="shared" si="3"/>
        <v>0</v>
      </c>
    </row>
    <row r="23" spans="1:26" s="24" customFormat="1" hidden="1" outlineLevel="1" x14ac:dyDescent="0.25">
      <c r="A23" s="46"/>
      <c r="B23" s="11" t="str">
        <f>CONCATENATE("          ", "4158", " - ", "NON-TAXABLE SALES-FOOD")</f>
        <v xml:space="preserve">          4158 - NON-TAXABLE SALES-FOOD</v>
      </c>
      <c r="C23" s="11"/>
      <c r="D23" s="2">
        <f>--30810.22</f>
        <v>30810.22</v>
      </c>
      <c r="E23" s="2"/>
      <c r="F23" s="21"/>
      <c r="G23" s="2"/>
      <c r="H23" s="2"/>
      <c r="I23" s="2"/>
      <c r="J23" s="21"/>
      <c r="K23" s="2"/>
      <c r="L23" s="2">
        <f t="shared" si="0"/>
        <v>30810.22</v>
      </c>
      <c r="M23" s="2"/>
      <c r="N23" s="21">
        <f t="shared" si="1"/>
        <v>0</v>
      </c>
      <c r="O23" s="11"/>
      <c r="P23" s="2">
        <f>--40369.91</f>
        <v>40369.910000000003</v>
      </c>
      <c r="Q23" s="2"/>
      <c r="R23" s="21"/>
      <c r="S23" s="2"/>
      <c r="T23" s="2"/>
      <c r="U23" s="2"/>
      <c r="V23" s="21"/>
      <c r="W23" s="2"/>
      <c r="X23" s="2">
        <f t="shared" si="2"/>
        <v>40369.910000000003</v>
      </c>
      <c r="Y23" s="2"/>
      <c r="Z23" s="21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8" t="s">
        <v>8</v>
      </c>
      <c r="C25" s="10"/>
      <c r="D25" s="4">
        <f>SUM(OSRRefD16x_0)</f>
        <v>108837.59</v>
      </c>
      <c r="E25" s="4"/>
      <c r="F25" s="12">
        <f t="shared" ref="F25:F28" si="4">IF(D$12=0,0,D25/D$12)</f>
        <v>0.31321963473591713</v>
      </c>
      <c r="G25" s="4"/>
      <c r="H25" s="4">
        <f>SUM(OSRRefH16x_0)</f>
        <v>142663</v>
      </c>
      <c r="I25" s="4"/>
      <c r="J25" s="12">
        <f t="shared" ref="J25:J28" si="5">IF(H$12=0,0,H25/H$12)</f>
        <v>0.31604283524293092</v>
      </c>
      <c r="K25" s="4"/>
      <c r="L25" s="4">
        <f t="shared" ref="L25:L28" si="6">+D25-H25</f>
        <v>-33825.410000000003</v>
      </c>
      <c r="M25" s="4"/>
      <c r="N25" s="12">
        <f t="shared" ref="N25:N28" si="7">IF(H25=0,0,L25/H25)</f>
        <v>-0.23710008902097954</v>
      </c>
      <c r="O25" s="10"/>
      <c r="P25" s="4">
        <f>SUM(OSRRefP16x_0)</f>
        <v>178458.82</v>
      </c>
      <c r="Q25" s="4"/>
      <c r="R25" s="12">
        <f t="shared" ref="R25:R28" si="8">IF(P$12=0,0,P25/P$12)</f>
        <v>0.33866628403411331</v>
      </c>
      <c r="S25" s="4"/>
      <c r="T25" s="4">
        <f>SUM(OSRRefT16x_0)</f>
        <v>221370</v>
      </c>
      <c r="U25" s="4"/>
      <c r="V25" s="12">
        <f t="shared" ref="V25:V28" si="9">IF(T$12=0,0,T25/T$12)</f>
        <v>0.3156660901010867</v>
      </c>
      <c r="W25" s="4"/>
      <c r="X25" s="4">
        <f t="shared" ref="X25:X28" si="10">+P25-T25</f>
        <v>-42911.179999999993</v>
      </c>
      <c r="Y25" s="4"/>
      <c r="Z25" s="12">
        <f t="shared" ref="Z25:Z28" si="11">IF(T25=0,0,X25/T25)</f>
        <v>-0.19384370059176939</v>
      </c>
    </row>
    <row r="26" spans="1:26" s="24" customFormat="1" hidden="1" outlineLevel="1" x14ac:dyDescent="0.25">
      <c r="A26" s="46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1">
        <f t="shared" si="4"/>
        <v>0</v>
      </c>
      <c r="G26" s="2"/>
      <c r="H26" s="2">
        <v>142663</v>
      </c>
      <c r="I26" s="2"/>
      <c r="J26" s="21">
        <f t="shared" si="5"/>
        <v>0.31604283524293092</v>
      </c>
      <c r="K26" s="2"/>
      <c r="L26" s="2">
        <f t="shared" si="6"/>
        <v>-142663</v>
      </c>
      <c r="M26" s="2"/>
      <c r="N26" s="21">
        <f t="shared" si="7"/>
        <v>-1</v>
      </c>
      <c r="O26" s="11"/>
      <c r="P26" s="2"/>
      <c r="Q26" s="2"/>
      <c r="R26" s="21">
        <f t="shared" si="8"/>
        <v>0</v>
      </c>
      <c r="S26" s="2"/>
      <c r="T26" s="2">
        <v>221370</v>
      </c>
      <c r="U26" s="2"/>
      <c r="V26" s="21">
        <f t="shared" si="9"/>
        <v>0.3156660901010867</v>
      </c>
      <c r="W26" s="2"/>
      <c r="X26" s="2">
        <f t="shared" si="10"/>
        <v>-221370</v>
      </c>
      <c r="Y26" s="2"/>
      <c r="Z26" s="21">
        <f t="shared" si="11"/>
        <v>-1</v>
      </c>
    </row>
    <row r="27" spans="1:26" s="24" customFormat="1" hidden="1" outlineLevel="1" x14ac:dyDescent="0.25">
      <c r="A27" s="46"/>
      <c r="B27" s="11" t="str">
        <f>CONCATENATE("          ", "5053", " - ", "PURCHASES @ COST-FOOD")</f>
        <v xml:space="preserve">          5053 - PURCHASES @ COST-FOOD</v>
      </c>
      <c r="C27" s="11"/>
      <c r="D27" s="2">
        <v>125619.93</v>
      </c>
      <c r="E27" s="2"/>
      <c r="F27" s="21">
        <f t="shared" si="4"/>
        <v>0.36151690413350279</v>
      </c>
      <c r="G27" s="2"/>
      <c r="H27" s="2"/>
      <c r="I27" s="2"/>
      <c r="J27" s="21">
        <f t="shared" si="5"/>
        <v>0</v>
      </c>
      <c r="K27" s="2"/>
      <c r="L27" s="2">
        <f t="shared" si="6"/>
        <v>125619.93</v>
      </c>
      <c r="M27" s="2"/>
      <c r="N27" s="21">
        <f t="shared" si="7"/>
        <v>0</v>
      </c>
      <c r="O27" s="11"/>
      <c r="P27" s="2">
        <v>203483.16</v>
      </c>
      <c r="Q27" s="2"/>
      <c r="R27" s="21">
        <f t="shared" si="8"/>
        <v>0.38615567255638539</v>
      </c>
      <c r="S27" s="2"/>
      <c r="T27" s="2"/>
      <c r="U27" s="2"/>
      <c r="V27" s="21">
        <f t="shared" si="9"/>
        <v>0</v>
      </c>
      <c r="W27" s="2"/>
      <c r="X27" s="2">
        <f t="shared" si="10"/>
        <v>203483.16</v>
      </c>
      <c r="Y27" s="2"/>
      <c r="Z27" s="21">
        <f t="shared" si="11"/>
        <v>0</v>
      </c>
    </row>
    <row r="28" spans="1:26" s="24" customFormat="1" hidden="1" outlineLevel="1" x14ac:dyDescent="0.25">
      <c r="A28" s="46"/>
      <c r="B28" s="11" t="str">
        <f>CONCATENATE("          ", "5059", " - ", "PURCHASES @ COST-FOOD")</f>
        <v xml:space="preserve">          5059 - PURCHASES @ COST-FOOD</v>
      </c>
      <c r="C28" s="11"/>
      <c r="D28" s="2">
        <v>-16782.34</v>
      </c>
      <c r="E28" s="2"/>
      <c r="F28" s="21">
        <f t="shared" si="4"/>
        <v>-4.8297269397585635E-2</v>
      </c>
      <c r="G28" s="2"/>
      <c r="H28" s="2"/>
      <c r="I28" s="2"/>
      <c r="J28" s="21">
        <f t="shared" si="5"/>
        <v>0</v>
      </c>
      <c r="K28" s="2"/>
      <c r="L28" s="2">
        <f t="shared" si="6"/>
        <v>-16782.34</v>
      </c>
      <c r="M28" s="2"/>
      <c r="N28" s="21">
        <f t="shared" si="7"/>
        <v>0</v>
      </c>
      <c r="O28" s="11"/>
      <c r="P28" s="2">
        <v>-25024.34</v>
      </c>
      <c r="Q28" s="2"/>
      <c r="R28" s="21">
        <f t="shared" si="8"/>
        <v>-4.7489388522272101E-2</v>
      </c>
      <c r="S28" s="2"/>
      <c r="T28" s="2"/>
      <c r="U28" s="2"/>
      <c r="V28" s="21">
        <f t="shared" si="9"/>
        <v>0</v>
      </c>
      <c r="W28" s="2"/>
      <c r="X28" s="2">
        <f t="shared" si="10"/>
        <v>-25024.34</v>
      </c>
      <c r="Y28" s="2"/>
      <c r="Z28" s="21">
        <f t="shared" si="11"/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9" t="s">
        <v>6</v>
      </c>
      <c r="C30" s="29"/>
      <c r="D30" s="22">
        <f>D12-D25</f>
        <v>238642.5100000001</v>
      </c>
      <c r="E30" s="14"/>
      <c r="F30" s="20">
        <f>IF(D$12=0,0,D30/D$12)</f>
        <v>0.68678036526408281</v>
      </c>
      <c r="G30" s="14"/>
      <c r="H30" s="22">
        <f>H12-H25</f>
        <v>308741</v>
      </c>
      <c r="I30" s="14"/>
      <c r="J30" s="20">
        <f>IF(H$12=0,0,H30/H$12)</f>
        <v>0.68395716475706902</v>
      </c>
      <c r="K30" s="15"/>
      <c r="L30" s="22">
        <f>+D30-H30</f>
        <v>-70098.489999999903</v>
      </c>
      <c r="M30" s="15"/>
      <c r="N30" s="20">
        <f>IF(H30=0,0,L30/H30)</f>
        <v>-0.22704626207727482</v>
      </c>
      <c r="O30" s="28"/>
      <c r="P30" s="22">
        <f>P12-P25</f>
        <v>348487.11000000004</v>
      </c>
      <c r="Q30" s="14"/>
      <c r="R30" s="20">
        <f>IF(P$12=0,0,P30/P$12)</f>
        <v>0.66133371596588664</v>
      </c>
      <c r="S30" s="14"/>
      <c r="T30" s="22">
        <f>T12-T25</f>
        <v>479909</v>
      </c>
      <c r="U30" s="14"/>
      <c r="V30" s="20">
        <f>IF(T$12=0,0,T30/T$12)</f>
        <v>0.6843339098989133</v>
      </c>
      <c r="W30" s="15"/>
      <c r="X30" s="22">
        <f>+P30-T30</f>
        <v>-131421.88999999996</v>
      </c>
      <c r="Y30" s="15"/>
      <c r="Z30" s="20">
        <f>IF(T30=0,0,X30/T30)</f>
        <v>-0.27384752109254035</v>
      </c>
    </row>
    <row r="31" spans="1:26" x14ac:dyDescent="0.25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6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25">
      <c r="A32" s="10"/>
      <c r="B32" s="28" t="s">
        <v>9</v>
      </c>
      <c r="C32" s="10"/>
      <c r="D32" s="19">
        <f>SUM(OSRRefD22x_0)</f>
        <v>390908.52000000014</v>
      </c>
      <c r="E32" s="19"/>
      <c r="F32" s="34">
        <f t="shared" ref="F32:F43" si="12">IF(D$12=0,0,D32/D$12)</f>
        <v>1.1249810276905068</v>
      </c>
      <c r="G32" s="19"/>
      <c r="H32" s="19">
        <f>SUM(OSRRefH22x_0)</f>
        <v>457528.46402347198</v>
      </c>
      <c r="I32" s="19"/>
      <c r="J32" s="34">
        <f t="shared" ref="J32:J43" si="13">IF(H$12=0,0,H32/H$12)</f>
        <v>1.0135675891739373</v>
      </c>
      <c r="K32" s="4"/>
      <c r="L32" s="19">
        <f t="shared" ref="L32:L43" si="14">+D32-H32</f>
        <v>-66619.94402347185</v>
      </c>
      <c r="M32" s="4"/>
      <c r="N32" s="34">
        <f t="shared" ref="N32:N43" si="15">IF(H32=0,0,L32/H32)</f>
        <v>-0.14560830475468328</v>
      </c>
      <c r="O32" s="10"/>
      <c r="P32" s="19">
        <f>SUM(OSRRefP22x_0)</f>
        <v>794668.4800000001</v>
      </c>
      <c r="Q32" s="19"/>
      <c r="R32" s="34">
        <f t="shared" ref="R32:R43" si="16">IF(P$12=0,0,P32/P$12)</f>
        <v>1.508064556073144</v>
      </c>
      <c r="S32" s="19"/>
      <c r="T32" s="19">
        <f>SUM(OSRRefT22x_0)</f>
        <v>863742.80252765468</v>
      </c>
      <c r="U32" s="19"/>
      <c r="V32" s="34">
        <f t="shared" ref="V32:V43" si="17">IF(T$12=0,0,T32/T$12)</f>
        <v>1.2316678561993939</v>
      </c>
      <c r="W32" s="4"/>
      <c r="X32" s="19">
        <f t="shared" ref="X32:X43" si="18">+P32-T32</f>
        <v>-69074.322527654585</v>
      </c>
      <c r="Y32" s="4"/>
      <c r="Z32" s="34">
        <f t="shared" ref="Z32:Z43" si="19">IF(T32=0,0,X32/T32)</f>
        <v>-7.9970938484830986E-2</v>
      </c>
    </row>
    <row r="33" spans="1:26" s="26" customFormat="1" outlineLevel="1" collapsed="1" x14ac:dyDescent="0.25">
      <c r="A33" s="25"/>
      <c r="B33" s="13" t="str">
        <f>CONCATENATE("     ","*Benefits                                         ")</f>
        <v xml:space="preserve">     *Benefits                                         </v>
      </c>
      <c r="C33" s="13"/>
      <c r="D33" s="1">
        <f>SUM(OSRRefD22_0x_0)</f>
        <v>58225.58</v>
      </c>
      <c r="E33" s="1"/>
      <c r="F33" s="5">
        <f t="shared" si="12"/>
        <v>0.16756522172061072</v>
      </c>
      <c r="G33" s="1"/>
      <c r="H33" s="1">
        <f>SUM(OSRRefH22_0x_0)</f>
        <v>71723.529400395084</v>
      </c>
      <c r="I33" s="1"/>
      <c r="J33" s="5">
        <f t="shared" si="13"/>
        <v>0.15888988445028196</v>
      </c>
      <c r="K33" s="1"/>
      <c r="L33" s="1">
        <f t="shared" si="14"/>
        <v>-13497.949400395082</v>
      </c>
      <c r="M33" s="1"/>
      <c r="N33" s="5">
        <f t="shared" si="15"/>
        <v>-0.18819416045525403</v>
      </c>
      <c r="O33" s="13"/>
      <c r="P33" s="1">
        <f>SUM(OSRRefP22_0x_0)</f>
        <v>124407.06</v>
      </c>
      <c r="Q33" s="1"/>
      <c r="R33" s="5">
        <f t="shared" si="16"/>
        <v>0.23609075033561791</v>
      </c>
      <c r="S33" s="1"/>
      <c r="T33" s="1">
        <f>SUM(OSRRefT22_0x_0)</f>
        <v>134982.66450073163</v>
      </c>
      <c r="U33" s="1"/>
      <c r="V33" s="5">
        <f t="shared" si="17"/>
        <v>0.19248068814370831</v>
      </c>
      <c r="W33" s="1"/>
      <c r="X33" s="1">
        <f t="shared" si="18"/>
        <v>-10575.604500731628</v>
      </c>
      <c r="Y33" s="1"/>
      <c r="Z33" s="5">
        <f t="shared" si="19"/>
        <v>-7.8347871853383863E-2</v>
      </c>
    </row>
    <row r="34" spans="1:26" s="24" customFormat="1" hidden="1" outlineLevel="2" x14ac:dyDescent="0.25">
      <c r="A34" s="27"/>
      <c r="B34" s="11" t="str">
        <f>CONCATENATE("          ", "6111", " - ", "F.I.C.A.")</f>
        <v xml:space="preserve">          6111 - F.I.C.A.</v>
      </c>
      <c r="C34" s="11"/>
      <c r="D34" s="6">
        <v>12778.57</v>
      </c>
      <c r="E34" s="2"/>
      <c r="F34" s="7">
        <f t="shared" si="12"/>
        <v>3.6774969271621584E-2</v>
      </c>
      <c r="G34" s="2"/>
      <c r="H34" s="6">
        <v>12866.548765373536</v>
      </c>
      <c r="I34" s="2"/>
      <c r="J34" s="7">
        <f t="shared" si="13"/>
        <v>2.8503399981775829E-2</v>
      </c>
      <c r="K34" s="2"/>
      <c r="L34" s="6">
        <f t="shared" si="14"/>
        <v>-87.978765373536589</v>
      </c>
      <c r="M34" s="2"/>
      <c r="N34" s="7">
        <f t="shared" si="15"/>
        <v>-6.8377905355867527E-3</v>
      </c>
      <c r="O34" s="11"/>
      <c r="P34" s="6">
        <v>23234.76</v>
      </c>
      <c r="Q34" s="2"/>
      <c r="R34" s="7">
        <f t="shared" si="16"/>
        <v>4.4093252603734874E-2</v>
      </c>
      <c r="S34" s="2"/>
      <c r="T34" s="6">
        <v>25225.367795325466</v>
      </c>
      <c r="U34" s="2"/>
      <c r="V34" s="7">
        <f t="shared" si="17"/>
        <v>3.5970516435435064E-2</v>
      </c>
      <c r="W34" s="2"/>
      <c r="X34" s="6">
        <f t="shared" si="18"/>
        <v>-1990.607795325468</v>
      </c>
      <c r="Y34" s="2"/>
      <c r="Z34" s="7">
        <f t="shared" si="19"/>
        <v>-7.8912934450626693E-2</v>
      </c>
    </row>
    <row r="35" spans="1:26" s="24" customFormat="1" hidden="1" outlineLevel="2" x14ac:dyDescent="0.25">
      <c r="A35" s="27"/>
      <c r="B35" s="11" t="str">
        <f>CONCATENATE("          ", "6112", " - ", "COMPENSATION INSURANCE")</f>
        <v xml:space="preserve">          6112 - COMPENSATION INSURANCE</v>
      </c>
      <c r="C35" s="11"/>
      <c r="D35" s="6">
        <v>6238.95</v>
      </c>
      <c r="E35" s="2"/>
      <c r="F35" s="7">
        <f t="shared" si="12"/>
        <v>1.795484115493232E-2</v>
      </c>
      <c r="G35" s="2"/>
      <c r="H35" s="6">
        <v>7833.9910636738432</v>
      </c>
      <c r="I35" s="2"/>
      <c r="J35" s="7">
        <f t="shared" si="13"/>
        <v>1.7354722296820238E-2</v>
      </c>
      <c r="K35" s="2"/>
      <c r="L35" s="6">
        <f t="shared" si="14"/>
        <v>-1595.0410636738434</v>
      </c>
      <c r="M35" s="2"/>
      <c r="N35" s="7">
        <f t="shared" si="15"/>
        <v>-0.20360516762267405</v>
      </c>
      <c r="O35" s="11"/>
      <c r="P35" s="6">
        <v>11187.75</v>
      </c>
      <c r="Q35" s="2"/>
      <c r="R35" s="7">
        <f t="shared" si="16"/>
        <v>2.1231305458607488E-2</v>
      </c>
      <c r="S35" s="2"/>
      <c r="T35" s="6">
        <v>14288.255913866153</v>
      </c>
      <c r="U35" s="2"/>
      <c r="V35" s="7">
        <f t="shared" si="17"/>
        <v>2.0374566918253866E-2</v>
      </c>
      <c r="W35" s="2"/>
      <c r="X35" s="6">
        <f t="shared" si="18"/>
        <v>-3100.5059138661527</v>
      </c>
      <c r="Y35" s="2"/>
      <c r="Z35" s="7">
        <f t="shared" si="19"/>
        <v>-0.21699680720704631</v>
      </c>
    </row>
    <row r="36" spans="1:26" s="24" customFormat="1" hidden="1" outlineLevel="2" x14ac:dyDescent="0.25">
      <c r="A36" s="27"/>
      <c r="B36" s="11" t="str">
        <f>CONCATENATE("          ", "6113", " - ", "GROUP INSURANCE")</f>
        <v xml:space="preserve">          6113 - GROUP INSURANCE</v>
      </c>
      <c r="C36" s="11"/>
      <c r="D36" s="6">
        <v>20602.48</v>
      </c>
      <c r="E36" s="2"/>
      <c r="F36" s="7">
        <f t="shared" si="12"/>
        <v>5.9291107605874388E-2</v>
      </c>
      <c r="G36" s="2"/>
      <c r="H36" s="6">
        <v>21842.153846153851</v>
      </c>
      <c r="I36" s="2"/>
      <c r="J36" s="7">
        <f t="shared" si="13"/>
        <v>4.8387151744676282E-2</v>
      </c>
      <c r="K36" s="2"/>
      <c r="L36" s="6">
        <f t="shared" si="14"/>
        <v>-1239.6738461538516</v>
      </c>
      <c r="M36" s="2"/>
      <c r="N36" s="7">
        <f t="shared" si="15"/>
        <v>-5.6756025751194115E-2</v>
      </c>
      <c r="O36" s="11"/>
      <c r="P36" s="6">
        <v>41205.040000000001</v>
      </c>
      <c r="Q36" s="2"/>
      <c r="R36" s="7">
        <f t="shared" si="16"/>
        <v>7.8195954564066944E-2</v>
      </c>
      <c r="S36" s="2"/>
      <c r="T36" s="6">
        <v>43318.653846153858</v>
      </c>
      <c r="U36" s="2"/>
      <c r="V36" s="7">
        <f t="shared" si="17"/>
        <v>6.1770926900925109E-2</v>
      </c>
      <c r="W36" s="2"/>
      <c r="X36" s="6">
        <f t="shared" si="18"/>
        <v>-2113.6138461538576</v>
      </c>
      <c r="Y36" s="2"/>
      <c r="Z36" s="7">
        <f t="shared" si="19"/>
        <v>-4.8792232871786696E-2</v>
      </c>
    </row>
    <row r="37" spans="1:26" s="24" customFormat="1" hidden="1" outlineLevel="2" x14ac:dyDescent="0.25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6">
        <v>435.89</v>
      </c>
      <c r="E37" s="2"/>
      <c r="F37" s="7">
        <f t="shared" si="12"/>
        <v>1.2544315487419276E-3</v>
      </c>
      <c r="G37" s="2"/>
      <c r="H37" s="6">
        <v>562.09724703999996</v>
      </c>
      <c r="I37" s="2"/>
      <c r="J37" s="7">
        <f t="shared" si="13"/>
        <v>1.2452199073114106E-3</v>
      </c>
      <c r="K37" s="2"/>
      <c r="L37" s="6">
        <f t="shared" si="14"/>
        <v>-126.20724703999997</v>
      </c>
      <c r="M37" s="2"/>
      <c r="N37" s="7">
        <f t="shared" si="15"/>
        <v>-0.22452920327328843</v>
      </c>
      <c r="O37" s="11"/>
      <c r="P37" s="6">
        <v>785.34</v>
      </c>
      <c r="Q37" s="2"/>
      <c r="R37" s="7">
        <f t="shared" si="16"/>
        <v>1.4903616391913302E-3</v>
      </c>
      <c r="S37" s="2"/>
      <c r="T37" s="6">
        <v>1046.5158845400001</v>
      </c>
      <c r="U37" s="2"/>
      <c r="V37" s="7">
        <f t="shared" si="17"/>
        <v>1.492296054123965E-3</v>
      </c>
      <c r="W37" s="2"/>
      <c r="X37" s="6">
        <f t="shared" si="18"/>
        <v>-261.17588454000008</v>
      </c>
      <c r="Y37" s="2"/>
      <c r="Z37" s="7">
        <f t="shared" si="19"/>
        <v>-0.2495670523479927</v>
      </c>
    </row>
    <row r="38" spans="1:26" s="24" customFormat="1" hidden="1" outlineLevel="2" x14ac:dyDescent="0.25">
      <c r="A38" s="27"/>
      <c r="B38" s="11" t="str">
        <f>CONCATENATE("          ", "6115", " - ", "P.E.R.S.")</f>
        <v xml:space="preserve">          6115 - P.E.R.S.</v>
      </c>
      <c r="C38" s="11"/>
      <c r="D38" s="6">
        <v>5779.58</v>
      </c>
      <c r="E38" s="2"/>
      <c r="F38" s="7">
        <f t="shared" si="12"/>
        <v>1.6632837391263554E-2</v>
      </c>
      <c r="G38" s="2"/>
      <c r="H38" s="6">
        <v>6790.4317276923139</v>
      </c>
      <c r="I38" s="2"/>
      <c r="J38" s="7">
        <f t="shared" si="13"/>
        <v>1.5042914390861211E-2</v>
      </c>
      <c r="K38" s="2"/>
      <c r="L38" s="6">
        <f t="shared" si="14"/>
        <v>-1010.8517276923139</v>
      </c>
      <c r="M38" s="2"/>
      <c r="N38" s="7">
        <f t="shared" si="15"/>
        <v>-0.14886413238939164</v>
      </c>
      <c r="O38" s="11"/>
      <c r="P38" s="6">
        <v>11559.16</v>
      </c>
      <c r="Q38" s="2"/>
      <c r="R38" s="7">
        <f t="shared" si="16"/>
        <v>2.1936140582772882E-2</v>
      </c>
      <c r="S38" s="2"/>
      <c r="T38" s="6">
        <v>15278.471387307702</v>
      </c>
      <c r="U38" s="2"/>
      <c r="V38" s="7">
        <f t="shared" si="17"/>
        <v>2.1786580501209508E-2</v>
      </c>
      <c r="W38" s="2"/>
      <c r="X38" s="6">
        <f t="shared" si="18"/>
        <v>-3719.3113873077018</v>
      </c>
      <c r="Y38" s="2"/>
      <c r="Z38" s="7">
        <f t="shared" si="19"/>
        <v>-0.24343478434612567</v>
      </c>
    </row>
    <row r="39" spans="1:26" s="24" customFormat="1" hidden="1" outlineLevel="2" x14ac:dyDescent="0.25">
      <c r="A39" s="27"/>
      <c r="B39" s="11" t="str">
        <f>CONCATENATE("          ", "6116", " - ", "EDUCATIONAL BENEFITS")</f>
        <v xml:space="preserve">          6116 - EDUCATIONAL BENEFITS</v>
      </c>
      <c r="C39" s="11"/>
      <c r="D39" s="6"/>
      <c r="E39" s="2"/>
      <c r="F39" s="7">
        <f t="shared" si="12"/>
        <v>0</v>
      </c>
      <c r="G39" s="2"/>
      <c r="H39" s="6">
        <v>8000</v>
      </c>
      <c r="I39" s="2"/>
      <c r="J39" s="7">
        <f t="shared" si="13"/>
        <v>1.7722483628855749E-2</v>
      </c>
      <c r="K39" s="2"/>
      <c r="L39" s="6">
        <f t="shared" si="14"/>
        <v>-8000</v>
      </c>
      <c r="M39" s="2"/>
      <c r="N39" s="7">
        <f t="shared" si="15"/>
        <v>-1</v>
      </c>
      <c r="O39" s="11"/>
      <c r="P39" s="6"/>
      <c r="Q39" s="2"/>
      <c r="R39" s="7">
        <f t="shared" si="16"/>
        <v>0</v>
      </c>
      <c r="S39" s="2"/>
      <c r="T39" s="6">
        <v>8000</v>
      </c>
      <c r="U39" s="2"/>
      <c r="V39" s="7">
        <f t="shared" si="17"/>
        <v>1.1407727880059148E-2</v>
      </c>
      <c r="W39" s="2"/>
      <c r="X39" s="6">
        <f t="shared" si="18"/>
        <v>-8000</v>
      </c>
      <c r="Y39" s="2"/>
      <c r="Z39" s="7">
        <f t="shared" si="19"/>
        <v>-1</v>
      </c>
    </row>
    <row r="40" spans="1:26" s="24" customFormat="1" hidden="1" outlineLevel="2" x14ac:dyDescent="0.25">
      <c r="A40" s="27"/>
      <c r="B40" s="11" t="str">
        <f>CONCATENATE("          ", "6117", " - ", "RETIREMENT STAFF HOURLY")</f>
        <v xml:space="preserve">          6117 - RETIREMENT STAFF HOURLY</v>
      </c>
      <c r="C40" s="11"/>
      <c r="D40" s="6">
        <v>56</v>
      </c>
      <c r="E40" s="2"/>
      <c r="F40" s="7">
        <f t="shared" si="12"/>
        <v>1.6116030817304354E-4</v>
      </c>
      <c r="G40" s="2"/>
      <c r="H40" s="6"/>
      <c r="I40" s="2"/>
      <c r="J40" s="7">
        <f t="shared" si="13"/>
        <v>0</v>
      </c>
      <c r="K40" s="2"/>
      <c r="L40" s="6">
        <f t="shared" si="14"/>
        <v>56</v>
      </c>
      <c r="M40" s="2"/>
      <c r="N40" s="7">
        <f t="shared" si="15"/>
        <v>0</v>
      </c>
      <c r="O40" s="11"/>
      <c r="P40" s="6">
        <v>112</v>
      </c>
      <c r="Q40" s="2"/>
      <c r="R40" s="7">
        <f t="shared" si="16"/>
        <v>2.1254552625541673E-4</v>
      </c>
      <c r="S40" s="2"/>
      <c r="T40" s="6"/>
      <c r="U40" s="2"/>
      <c r="V40" s="7">
        <f t="shared" si="17"/>
        <v>0</v>
      </c>
      <c r="W40" s="2"/>
      <c r="X40" s="6">
        <f t="shared" si="18"/>
        <v>112</v>
      </c>
      <c r="Y40" s="2"/>
      <c r="Z40" s="7">
        <f t="shared" si="19"/>
        <v>0</v>
      </c>
    </row>
    <row r="41" spans="1:26" s="24" customFormat="1" hidden="1" outlineLevel="2" x14ac:dyDescent="0.25">
      <c r="A41" s="27"/>
      <c r="B41" s="11" t="str">
        <f>CONCATENATE("          ", "6118", " - ", "VACATION")</f>
        <v xml:space="preserve">          6118 - VACATION</v>
      </c>
      <c r="C41" s="11"/>
      <c r="D41" s="6">
        <v>5591.88</v>
      </c>
      <c r="E41" s="2"/>
      <c r="F41" s="7">
        <f t="shared" si="12"/>
        <v>1.6092662572619262E-2</v>
      </c>
      <c r="G41" s="2"/>
      <c r="H41" s="6">
        <v>5235.7852076923054</v>
      </c>
      <c r="I41" s="2"/>
      <c r="J41" s="7">
        <f t="shared" si="13"/>
        <v>1.1598889703441497E-2</v>
      </c>
      <c r="K41" s="2"/>
      <c r="L41" s="6">
        <f t="shared" si="14"/>
        <v>356.09479230769466</v>
      </c>
      <c r="M41" s="2"/>
      <c r="N41" s="7">
        <f t="shared" si="15"/>
        <v>6.8011726643126547E-2</v>
      </c>
      <c r="O41" s="11"/>
      <c r="P41" s="6">
        <v>14109.58</v>
      </c>
      <c r="Q41" s="2"/>
      <c r="R41" s="7">
        <f t="shared" si="16"/>
        <v>2.6776143806633061E-2</v>
      </c>
      <c r="S41" s="2"/>
      <c r="T41" s="6">
        <v>11622.690217307687</v>
      </c>
      <c r="U41" s="2"/>
      <c r="V41" s="7">
        <f t="shared" si="17"/>
        <v>1.6573560904158954E-2</v>
      </c>
      <c r="W41" s="2"/>
      <c r="X41" s="6">
        <f t="shared" si="18"/>
        <v>2486.889782692313</v>
      </c>
      <c r="Y41" s="2"/>
      <c r="Z41" s="7">
        <f t="shared" si="19"/>
        <v>0.21396851642737694</v>
      </c>
    </row>
    <row r="42" spans="1:26" s="24" customFormat="1" hidden="1" outlineLevel="2" x14ac:dyDescent="0.25">
      <c r="A42" s="27"/>
      <c r="B42" s="11" t="str">
        <f>CONCATENATE("          ", "6119", " - ", "SICK LEAVE")</f>
        <v xml:space="preserve">          6119 - SICK LEAVE</v>
      </c>
      <c r="C42" s="11"/>
      <c r="D42" s="6">
        <v>4044.8</v>
      </c>
      <c r="E42" s="2"/>
      <c r="F42" s="7">
        <f t="shared" si="12"/>
        <v>1.164037883032726E-2</v>
      </c>
      <c r="G42" s="2"/>
      <c r="H42" s="6">
        <v>6867.5215427692328</v>
      </c>
      <c r="I42" s="2"/>
      <c r="J42" s="7">
        <f t="shared" si="13"/>
        <v>1.5213692264067737E-2</v>
      </c>
      <c r="K42" s="2"/>
      <c r="L42" s="6">
        <f t="shared" si="14"/>
        <v>-2822.7215427692327</v>
      </c>
      <c r="M42" s="2"/>
      <c r="N42" s="7">
        <f t="shared" si="15"/>
        <v>-0.41102478167560424</v>
      </c>
      <c r="O42" s="11"/>
      <c r="P42" s="6">
        <v>17435.68</v>
      </c>
      <c r="Q42" s="2"/>
      <c r="R42" s="7">
        <f t="shared" si="16"/>
        <v>3.3088176618045043E-2</v>
      </c>
      <c r="S42" s="2"/>
      <c r="T42" s="6">
        <v>12752.709456230768</v>
      </c>
      <c r="U42" s="2"/>
      <c r="V42" s="7">
        <f t="shared" si="17"/>
        <v>1.8184929901267213E-2</v>
      </c>
      <c r="W42" s="2"/>
      <c r="X42" s="6">
        <f t="shared" si="18"/>
        <v>4682.9705437692319</v>
      </c>
      <c r="Y42" s="2"/>
      <c r="Z42" s="7">
        <f t="shared" si="19"/>
        <v>0.36721377208834693</v>
      </c>
    </row>
    <row r="43" spans="1:26" s="24" customFormat="1" hidden="1" outlineLevel="2" x14ac:dyDescent="0.25">
      <c r="A43" s="27"/>
      <c r="B43" s="11" t="str">
        <f>CONCATENATE("          ", "6156", " - ", "EMPLOYEE MEALS")</f>
        <v xml:space="preserve">          6156 - EMPLOYEE MEALS</v>
      </c>
      <c r="C43" s="11"/>
      <c r="D43" s="6">
        <v>2697.43</v>
      </c>
      <c r="E43" s="2"/>
      <c r="F43" s="7">
        <f t="shared" si="12"/>
        <v>7.7628330370573713E-3</v>
      </c>
      <c r="G43" s="2"/>
      <c r="H43" s="6">
        <v>1725</v>
      </c>
      <c r="I43" s="2"/>
      <c r="J43" s="7">
        <f t="shared" si="13"/>
        <v>3.8214105324720208E-3</v>
      </c>
      <c r="K43" s="2"/>
      <c r="L43" s="6">
        <f t="shared" si="14"/>
        <v>972.42999999999984</v>
      </c>
      <c r="M43" s="2"/>
      <c r="N43" s="7">
        <f t="shared" si="15"/>
        <v>0.56372753623188399</v>
      </c>
      <c r="O43" s="11"/>
      <c r="P43" s="6">
        <v>4777.75</v>
      </c>
      <c r="Q43" s="2"/>
      <c r="R43" s="7">
        <f t="shared" si="16"/>
        <v>9.0668695363108689E-3</v>
      </c>
      <c r="S43" s="2"/>
      <c r="T43" s="6">
        <v>3450</v>
      </c>
      <c r="U43" s="2"/>
      <c r="V43" s="7">
        <f t="shared" si="17"/>
        <v>4.9195826482755084E-3</v>
      </c>
      <c r="W43" s="2"/>
      <c r="X43" s="6">
        <f t="shared" si="18"/>
        <v>1327.75</v>
      </c>
      <c r="Y43" s="2"/>
      <c r="Z43" s="7">
        <f t="shared" si="19"/>
        <v>0.3848550724637681</v>
      </c>
    </row>
    <row r="44" spans="1:26" s="26" customFormat="1" outlineLevel="1" collapsed="1" x14ac:dyDescent="0.25">
      <c r="A44" s="25"/>
      <c r="B44" s="13" t="str">
        <f>CONCATENATE("     ","*Payroll                                          ")</f>
        <v xml:space="preserve">     *Payroll                                          </v>
      </c>
      <c r="C44" s="13"/>
      <c r="D44" s="1">
        <f>SUM(OSRRefD22_1x_0)</f>
        <v>183875.58000000002</v>
      </c>
      <c r="E44" s="1"/>
      <c r="F44" s="5">
        <f t="shared" ref="F44:F54" si="20">IF(D$12=0,0,D44/D$12)</f>
        <v>0.52916866318387723</v>
      </c>
      <c r="G44" s="1"/>
      <c r="H44" s="1">
        <f>SUM(OSRRefH22_1x_0)</f>
        <v>201667.50462307694</v>
      </c>
      <c r="I44" s="1"/>
      <c r="J44" s="5">
        <f t="shared" ref="J44:J54" si="21">IF(H$12=0,0,H44/H$12)</f>
        <v>0.44675613114433399</v>
      </c>
      <c r="K44" s="1"/>
      <c r="L44" s="1">
        <f t="shared" ref="L44:L54" si="22">+D44-H44</f>
        <v>-17791.92462307692</v>
      </c>
      <c r="M44" s="1"/>
      <c r="N44" s="5">
        <f t="shared" ref="N44:N54" si="23">IF(H44=0,0,L44/H44)</f>
        <v>-8.8224053033881686E-2</v>
      </c>
      <c r="O44" s="13"/>
      <c r="P44" s="1">
        <f>SUM(OSRRefP22_1x_0)</f>
        <v>344230.86999999994</v>
      </c>
      <c r="Q44" s="1"/>
      <c r="R44" s="5">
        <f t="shared" ref="R44:R54" si="24">IF(P$12=0,0,P44/P$12)</f>
        <v>0.65325653051348154</v>
      </c>
      <c r="S44" s="1"/>
      <c r="T44" s="1">
        <f>SUM(OSRRefT22_1x_0)</f>
        <v>370935.8080269231</v>
      </c>
      <c r="U44" s="1"/>
      <c r="V44" s="5">
        <f t="shared" ref="V44:V54" si="25">IF(T$12=0,0,T44/T$12)</f>
        <v>0.52894184486762486</v>
      </c>
      <c r="W44" s="1"/>
      <c r="X44" s="1">
        <f t="shared" ref="X44:X54" si="26">+P44-T44</f>
        <v>-26704.938026923162</v>
      </c>
      <c r="Y44" s="1"/>
      <c r="Z44" s="5">
        <f t="shared" ref="Z44:Z54" si="27">IF(T44=0,0,X44/T44)</f>
        <v>-7.1993421635327473E-2</v>
      </c>
    </row>
    <row r="45" spans="1:26" s="24" customFormat="1" hidden="1" outlineLevel="2" x14ac:dyDescent="0.25">
      <c r="A45" s="27"/>
      <c r="B45" s="11" t="str">
        <f>CONCATENATE("          ", "6001", " - ", "ADMINISTRATIVE SALARIES")</f>
        <v xml:space="preserve">          6001 - ADMINISTRATIVE SALARIES</v>
      </c>
      <c r="C45" s="11"/>
      <c r="D45" s="6">
        <v>15056.230000000001</v>
      </c>
      <c r="E45" s="2"/>
      <c r="F45" s="7">
        <f t="shared" si="20"/>
        <v>4.3329761905789708E-2</v>
      </c>
      <c r="G45" s="2"/>
      <c r="H45" s="6">
        <v>20213.021076923069</v>
      </c>
      <c r="I45" s="2"/>
      <c r="J45" s="7">
        <f t="shared" si="21"/>
        <v>4.4778116890685657E-2</v>
      </c>
      <c r="K45" s="2"/>
      <c r="L45" s="6">
        <f t="shared" si="22"/>
        <v>-5156.7910769230675</v>
      </c>
      <c r="M45" s="2"/>
      <c r="N45" s="7">
        <f t="shared" si="23"/>
        <v>-0.25512223320295774</v>
      </c>
      <c r="O45" s="11"/>
      <c r="P45" s="6">
        <v>35482.899999999994</v>
      </c>
      <c r="Q45" s="2"/>
      <c r="R45" s="7">
        <f t="shared" si="24"/>
        <v>6.73368897640029E-2</v>
      </c>
      <c r="S45" s="2"/>
      <c r="T45" s="6">
        <v>45479.297423076918</v>
      </c>
      <c r="U45" s="2"/>
      <c r="V45" s="7">
        <f t="shared" si="25"/>
        <v>6.4851931147342098E-2</v>
      </c>
      <c r="W45" s="2"/>
      <c r="X45" s="6">
        <f t="shared" si="26"/>
        <v>-9996.3974230769236</v>
      </c>
      <c r="Y45" s="2"/>
      <c r="Z45" s="7">
        <f t="shared" si="27"/>
        <v>-0.219801052115739</v>
      </c>
    </row>
    <row r="46" spans="1:26" s="24" customFormat="1" hidden="1" outlineLevel="2" x14ac:dyDescent="0.25">
      <c r="A46" s="27"/>
      <c r="B46" s="11" t="str">
        <f>CONCATENATE("          ", "6002", " - ", "STAFF SALARIES")</f>
        <v xml:space="preserve">          6002 - STAFF SALARIES</v>
      </c>
      <c r="C46" s="11"/>
      <c r="D46" s="6">
        <v>49996.060000000005</v>
      </c>
      <c r="E46" s="2"/>
      <c r="F46" s="7">
        <f t="shared" si="20"/>
        <v>0.14388179351853528</v>
      </c>
      <c r="G46" s="2"/>
      <c r="H46" s="6">
        <v>51367.801646153872</v>
      </c>
      <c r="I46" s="2"/>
      <c r="J46" s="7">
        <f t="shared" si="21"/>
        <v>0.11379562796553391</v>
      </c>
      <c r="K46" s="2"/>
      <c r="L46" s="6">
        <f t="shared" si="22"/>
        <v>-1371.7416461538669</v>
      </c>
      <c r="M46" s="2"/>
      <c r="N46" s="7">
        <f t="shared" si="23"/>
        <v>-2.6704308967767071E-2</v>
      </c>
      <c r="O46" s="11"/>
      <c r="P46" s="6">
        <v>108022.37000000001</v>
      </c>
      <c r="Q46" s="2"/>
      <c r="R46" s="7">
        <f t="shared" si="24"/>
        <v>0.20499706677685128</v>
      </c>
      <c r="S46" s="2"/>
      <c r="T46" s="6">
        <v>115577.55370384618</v>
      </c>
      <c r="U46" s="2"/>
      <c r="V46" s="7">
        <f t="shared" si="25"/>
        <v>0.16480966021204996</v>
      </c>
      <c r="W46" s="2"/>
      <c r="X46" s="6">
        <f t="shared" si="26"/>
        <v>-7555.1837038461672</v>
      </c>
      <c r="Y46" s="2"/>
      <c r="Z46" s="7">
        <f t="shared" si="27"/>
        <v>-6.5368953241608074E-2</v>
      </c>
    </row>
    <row r="47" spans="1:26" s="24" customFormat="1" hidden="1" outlineLevel="2" x14ac:dyDescent="0.25">
      <c r="A47" s="27"/>
      <c r="B47" s="11" t="str">
        <f>CONCATENATE("          ", "6003", " - ", "STAFF HOURLY-9 MONTH")</f>
        <v xml:space="preserve">          6003 - STAFF HOURLY-9 MONTH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25">
      <c r="A48" s="27"/>
      <c r="B48" s="11" t="str">
        <f>CONCATENATE("          ", "6004", " - ", "STAFF HOURLY")</f>
        <v xml:space="preserve">          6004 - STAFF HOURLY</v>
      </c>
      <c r="C48" s="11"/>
      <c r="D48" s="6">
        <v>17600.66</v>
      </c>
      <c r="E48" s="2"/>
      <c r="F48" s="7">
        <f t="shared" si="20"/>
        <v>5.0652281958017152E-2</v>
      </c>
      <c r="G48" s="2"/>
      <c r="H48" s="6">
        <v>54341.3819</v>
      </c>
      <c r="I48" s="2"/>
      <c r="J48" s="7">
        <f t="shared" si="21"/>
        <v>0.12038303138651851</v>
      </c>
      <c r="K48" s="2"/>
      <c r="L48" s="6">
        <f t="shared" si="22"/>
        <v>-36740.721900000004</v>
      </c>
      <c r="M48" s="2"/>
      <c r="N48" s="7">
        <f t="shared" si="23"/>
        <v>-0.67610945131301503</v>
      </c>
      <c r="O48" s="11"/>
      <c r="P48" s="6">
        <v>32910.67</v>
      </c>
      <c r="Q48" s="2"/>
      <c r="R48" s="7">
        <f t="shared" si="24"/>
        <v>6.2455497094360317E-2</v>
      </c>
      <c r="S48" s="2"/>
      <c r="T48" s="6">
        <v>96556.481899999999</v>
      </c>
      <c r="U48" s="2"/>
      <c r="V48" s="7">
        <f t="shared" si="25"/>
        <v>0.13768625882138208</v>
      </c>
      <c r="W48" s="2"/>
      <c r="X48" s="6">
        <f t="shared" si="26"/>
        <v>-63645.811900000001</v>
      </c>
      <c r="Y48" s="2"/>
      <c r="Z48" s="7">
        <f t="shared" si="27"/>
        <v>-0.65915628498059431</v>
      </c>
    </row>
    <row r="49" spans="1:26" s="24" customFormat="1" hidden="1" outlineLevel="2" x14ac:dyDescent="0.25">
      <c r="A49" s="27"/>
      <c r="B49" s="11" t="str">
        <f>CONCATENATE("          ", "6005", " - ", "TEMPORARY WAGES-HOURLY")</f>
        <v xml:space="preserve">          6005 - TEMPORARY WAGES-HOURLY</v>
      </c>
      <c r="C49" s="11"/>
      <c r="D49" s="6">
        <v>36041.340000000004</v>
      </c>
      <c r="E49" s="2"/>
      <c r="F49" s="7">
        <f t="shared" si="20"/>
        <v>0.10372202609588288</v>
      </c>
      <c r="G49" s="2"/>
      <c r="H49" s="6">
        <v>22139.05</v>
      </c>
      <c r="I49" s="2"/>
      <c r="J49" s="7">
        <f t="shared" si="21"/>
        <v>4.9044868897927356E-2</v>
      </c>
      <c r="K49" s="2"/>
      <c r="L49" s="6">
        <f t="shared" si="22"/>
        <v>13902.290000000005</v>
      </c>
      <c r="M49" s="2"/>
      <c r="N49" s="7">
        <f t="shared" si="23"/>
        <v>0.62795332229702738</v>
      </c>
      <c r="O49" s="11"/>
      <c r="P49" s="6">
        <v>63364.18</v>
      </c>
      <c r="Q49" s="2"/>
      <c r="R49" s="7">
        <f t="shared" si="24"/>
        <v>0.12024797307002635</v>
      </c>
      <c r="S49" s="2"/>
      <c r="T49" s="6">
        <v>42046.675000000003</v>
      </c>
      <c r="U49" s="2"/>
      <c r="V49" s="7">
        <f t="shared" si="25"/>
        <v>5.9957128332660758E-2</v>
      </c>
      <c r="W49" s="2"/>
      <c r="X49" s="6">
        <f t="shared" si="26"/>
        <v>21317.504999999997</v>
      </c>
      <c r="Y49" s="2"/>
      <c r="Z49" s="7">
        <f t="shared" si="27"/>
        <v>0.50699621313694831</v>
      </c>
    </row>
    <row r="50" spans="1:26" s="24" customFormat="1" hidden="1" outlineLevel="2" x14ac:dyDescent="0.25">
      <c r="A50" s="27"/>
      <c r="B50" s="11" t="str">
        <f>CONCATENATE("          ", "6006", " - ", "TEMPORARY PART TIME")</f>
        <v xml:space="preserve">          6006 - TEMPORARY PART TIME</v>
      </c>
      <c r="C50" s="11"/>
      <c r="D50" s="6">
        <v>2152.38</v>
      </c>
      <c r="E50" s="2"/>
      <c r="F50" s="7">
        <f t="shared" si="20"/>
        <v>6.1942540018838478E-3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2152.38</v>
      </c>
      <c r="M50" s="2"/>
      <c r="N50" s="7">
        <f t="shared" si="23"/>
        <v>0</v>
      </c>
      <c r="O50" s="11"/>
      <c r="P50" s="6">
        <v>4403.0200000000004</v>
      </c>
      <c r="Q50" s="2"/>
      <c r="R50" s="7">
        <f t="shared" si="24"/>
        <v>8.3557339554743305E-3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4403.0200000000004</v>
      </c>
      <c r="Y50" s="2"/>
      <c r="Z50" s="7">
        <f t="shared" si="27"/>
        <v>0</v>
      </c>
    </row>
    <row r="51" spans="1:26" s="24" customFormat="1" hidden="1" outlineLevel="2" x14ac:dyDescent="0.25">
      <c r="A51" s="27"/>
      <c r="B51" s="11" t="str">
        <f>CONCATENATE("          ", "6007", " - ", "STUDENT HOURLY")</f>
        <v xml:space="preserve">          6007 - STUDENT HOURLY</v>
      </c>
      <c r="C51" s="11"/>
      <c r="D51" s="6">
        <v>59916.17</v>
      </c>
      <c r="E51" s="2"/>
      <c r="F51" s="7">
        <f t="shared" si="20"/>
        <v>0.1724305075312226</v>
      </c>
      <c r="G51" s="2"/>
      <c r="H51" s="6">
        <v>31609.25</v>
      </c>
      <c r="I51" s="2"/>
      <c r="J51" s="7">
        <f t="shared" si="21"/>
        <v>7.0024301955676063E-2</v>
      </c>
      <c r="K51" s="2"/>
      <c r="L51" s="6">
        <f t="shared" si="22"/>
        <v>28306.92</v>
      </c>
      <c r="M51" s="2"/>
      <c r="N51" s="7">
        <f t="shared" si="23"/>
        <v>0.89552646772701028</v>
      </c>
      <c r="O51" s="11"/>
      <c r="P51" s="6">
        <v>96201.57</v>
      </c>
      <c r="Q51" s="2"/>
      <c r="R51" s="7">
        <f t="shared" si="24"/>
        <v>0.18256440466292242</v>
      </c>
      <c r="S51" s="2"/>
      <c r="T51" s="6">
        <v>44546.3</v>
      </c>
      <c r="U51" s="2"/>
      <c r="V51" s="7">
        <f t="shared" si="25"/>
        <v>6.3521508557934869E-2</v>
      </c>
      <c r="W51" s="2"/>
      <c r="X51" s="6">
        <f t="shared" si="26"/>
        <v>51655.270000000004</v>
      </c>
      <c r="Y51" s="2"/>
      <c r="Z51" s="7">
        <f t="shared" si="27"/>
        <v>1.1595860935700608</v>
      </c>
    </row>
    <row r="52" spans="1:26" s="24" customFormat="1" hidden="1" outlineLevel="2" x14ac:dyDescent="0.25">
      <c r="A52" s="27"/>
      <c r="B52" s="11" t="str">
        <f>CONCATENATE("          ", "6008", " - ", "STUDENT HOURLY-FICA EXEMPT")</f>
        <v xml:space="preserve">          6008 - STUDENT HOURLY-FICA EXEMPT</v>
      </c>
      <c r="C52" s="11"/>
      <c r="D52" s="6">
        <v>3112.74</v>
      </c>
      <c r="E52" s="2"/>
      <c r="F52" s="7">
        <f t="shared" si="20"/>
        <v>8.9580381725457049E-3</v>
      </c>
      <c r="G52" s="2"/>
      <c r="H52" s="6">
        <v>21997</v>
      </c>
      <c r="I52" s="2"/>
      <c r="J52" s="7">
        <f t="shared" si="21"/>
        <v>4.8730184047992488E-2</v>
      </c>
      <c r="K52" s="2"/>
      <c r="L52" s="6">
        <f t="shared" si="22"/>
        <v>-18884.260000000002</v>
      </c>
      <c r="M52" s="2"/>
      <c r="N52" s="7">
        <f t="shared" si="23"/>
        <v>-0.85849252170750567</v>
      </c>
      <c r="O52" s="11"/>
      <c r="P52" s="6">
        <v>3846.16</v>
      </c>
      <c r="Q52" s="2"/>
      <c r="R52" s="7">
        <f t="shared" si="24"/>
        <v>7.2989651898440503E-3</v>
      </c>
      <c r="S52" s="2"/>
      <c r="T52" s="6">
        <v>26729.5</v>
      </c>
      <c r="U52" s="2"/>
      <c r="V52" s="7">
        <f t="shared" si="25"/>
        <v>3.8115357796255127E-2</v>
      </c>
      <c r="W52" s="2"/>
      <c r="X52" s="6">
        <f t="shared" si="26"/>
        <v>-22883.34</v>
      </c>
      <c r="Y52" s="2"/>
      <c r="Z52" s="7">
        <f t="shared" si="27"/>
        <v>-0.85610804541798391</v>
      </c>
    </row>
    <row r="53" spans="1:26" s="24" customFormat="1" hidden="1" outlineLevel="2" x14ac:dyDescent="0.25">
      <c r="A53" s="27"/>
      <c r="B53" s="11" t="str">
        <f>CONCATENATE("          ", "6009", " - ", "TEMPORARY-SEASONAL")</f>
        <v xml:space="preserve">          6009 - TEMPORARY-SEASONAL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25">
      <c r="A54" s="27"/>
      <c r="B54" s="11" t="str">
        <f>CONCATENATE("          ", "6010", " - ", "GRATUITY")</f>
        <v xml:space="preserve">          6010 - GRATUITY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6" customFormat="1" outlineLevel="1" collapsed="1" x14ac:dyDescent="0.25">
      <c r="A55" s="25"/>
      <c r="B55" s="13" t="str">
        <f>CONCATENATE("     ","Advertising/Promo                                 ")</f>
        <v xml:space="preserve">     Advertising/Promo                                 </v>
      </c>
      <c r="C55" s="13"/>
      <c r="D55" s="1">
        <f>SUM(OSRRefD22_2x_0)</f>
        <v>2532.71</v>
      </c>
      <c r="E55" s="1"/>
      <c r="F55" s="5">
        <f t="shared" ref="F55:F65" si="28">IF(D$12=0,0,D55/D$12)</f>
        <v>7.2887915020169482E-3</v>
      </c>
      <c r="G55" s="1"/>
      <c r="H55" s="1">
        <f>SUM(OSRRefH22_2x_0)</f>
        <v>3400</v>
      </c>
      <c r="I55" s="1"/>
      <c r="J55" s="5">
        <f t="shared" ref="J55:J65" si="29">IF(H$12=0,0,H55/H$12)</f>
        <v>7.5320555422636925E-3</v>
      </c>
      <c r="K55" s="1"/>
      <c r="L55" s="1">
        <f t="shared" ref="L55:L65" si="30">+D55-H55</f>
        <v>-867.29</v>
      </c>
      <c r="M55" s="1"/>
      <c r="N55" s="5">
        <f t="shared" ref="N55:N65" si="31">IF(H55=0,0,L55/H55)</f>
        <v>-0.25508529411764702</v>
      </c>
      <c r="O55" s="13"/>
      <c r="P55" s="1">
        <f>SUM(OSRRefP22_2x_0)</f>
        <v>5181.54</v>
      </c>
      <c r="Q55" s="1"/>
      <c r="R55" s="5">
        <f t="shared" ref="R55:R65" si="32">IF(P$12=0,0,P55/P$12)</f>
        <v>9.8331530902990363E-3</v>
      </c>
      <c r="S55" s="1"/>
      <c r="T55" s="1">
        <f>SUM(OSRRefT22_2x_0)</f>
        <v>5600</v>
      </c>
      <c r="U55" s="1"/>
      <c r="V55" s="5">
        <f t="shared" ref="V55:V65" si="33">IF(T$12=0,0,T55/T$12)</f>
        <v>7.9854095160414047E-3</v>
      </c>
      <c r="W55" s="1"/>
      <c r="X55" s="1">
        <f t="shared" ref="X55:X65" si="34">+P55-T55</f>
        <v>-418.46000000000004</v>
      </c>
      <c r="Y55" s="1"/>
      <c r="Z55" s="5">
        <f t="shared" ref="Z55:Z65" si="35">IF(T55=0,0,X55/T55)</f>
        <v>-7.4725E-2</v>
      </c>
    </row>
    <row r="56" spans="1:26" s="24" customFormat="1" hidden="1" outlineLevel="2" x14ac:dyDescent="0.25">
      <c r="A56" s="27"/>
      <c r="B56" s="11" t="str">
        <f>CONCATENATE("          ", "6362", " - ", "ADVERTISING EXPENSE")</f>
        <v xml:space="preserve">          6362 - ADVERTISING EXPENSE</v>
      </c>
      <c r="C56" s="11"/>
      <c r="D56" s="6">
        <v>2532.71</v>
      </c>
      <c r="E56" s="2"/>
      <c r="F56" s="7">
        <f t="shared" si="28"/>
        <v>7.2887915020169482E-3</v>
      </c>
      <c r="G56" s="2"/>
      <c r="H56" s="6">
        <v>3400</v>
      </c>
      <c r="I56" s="2"/>
      <c r="J56" s="7">
        <f t="shared" si="29"/>
        <v>7.5320555422636925E-3</v>
      </c>
      <c r="K56" s="2"/>
      <c r="L56" s="6">
        <f t="shared" si="30"/>
        <v>-867.29</v>
      </c>
      <c r="M56" s="2"/>
      <c r="N56" s="7">
        <f t="shared" si="31"/>
        <v>-0.25508529411764702</v>
      </c>
      <c r="O56" s="11"/>
      <c r="P56" s="6">
        <v>5181.54</v>
      </c>
      <c r="Q56" s="2"/>
      <c r="R56" s="7">
        <f t="shared" si="32"/>
        <v>9.8331530902990363E-3</v>
      </c>
      <c r="S56" s="2"/>
      <c r="T56" s="6">
        <v>5600</v>
      </c>
      <c r="U56" s="2"/>
      <c r="V56" s="7">
        <f t="shared" si="33"/>
        <v>7.9854095160414047E-3</v>
      </c>
      <c r="W56" s="2"/>
      <c r="X56" s="6">
        <f t="shared" si="34"/>
        <v>-418.46000000000004</v>
      </c>
      <c r="Y56" s="2"/>
      <c r="Z56" s="7">
        <f t="shared" si="35"/>
        <v>-7.4725E-2</v>
      </c>
    </row>
    <row r="57" spans="1:26" s="26" customFormat="1" outlineLevel="1" collapsed="1" x14ac:dyDescent="0.25">
      <c r="A57" s="25"/>
      <c r="B57" s="13" t="str">
        <f>CONCATENATE("     ","Bad Debts/Over/Short                              ")</f>
        <v xml:space="preserve">     Bad Debts/Over/Short                              </v>
      </c>
      <c r="C57" s="13"/>
      <c r="D57" s="1">
        <f>SUM(OSRRefD22_3x_0)</f>
        <v>5.84</v>
      </c>
      <c r="E57" s="1"/>
      <c r="F57" s="5">
        <f t="shared" si="28"/>
        <v>1.6806717852331683E-5</v>
      </c>
      <c r="G57" s="1"/>
      <c r="H57" s="1">
        <f>SUM(OSRRefH22_3x_0)</f>
        <v>159</v>
      </c>
      <c r="I57" s="1"/>
      <c r="J57" s="5">
        <f t="shared" si="29"/>
        <v>3.5223436212350798E-4</v>
      </c>
      <c r="K57" s="1"/>
      <c r="L57" s="1">
        <f t="shared" si="30"/>
        <v>-153.16</v>
      </c>
      <c r="M57" s="1"/>
      <c r="N57" s="5">
        <f t="shared" si="31"/>
        <v>-0.96327044025157227</v>
      </c>
      <c r="O57" s="13"/>
      <c r="P57" s="1">
        <f>SUM(OSRRefP22_3x_0)</f>
        <v>-12.74</v>
      </c>
      <c r="Q57" s="1"/>
      <c r="R57" s="5">
        <f t="shared" si="32"/>
        <v>-2.4177053611553655E-5</v>
      </c>
      <c r="S57" s="1"/>
      <c r="T57" s="1">
        <f>SUM(OSRRefT22_3x_0)</f>
        <v>268</v>
      </c>
      <c r="U57" s="1"/>
      <c r="V57" s="5">
        <f t="shared" si="33"/>
        <v>3.8215888398198148E-4</v>
      </c>
      <c r="W57" s="1"/>
      <c r="X57" s="1">
        <f t="shared" si="34"/>
        <v>-280.74</v>
      </c>
      <c r="Y57" s="1"/>
      <c r="Z57" s="5">
        <f t="shared" si="35"/>
        <v>-1.0475373134328358</v>
      </c>
    </row>
    <row r="58" spans="1:26" s="24" customFormat="1" hidden="1" outlineLevel="2" x14ac:dyDescent="0.25">
      <c r="A58" s="27"/>
      <c r="B58" s="11" t="str">
        <f>CONCATENATE("          ", "6272", " - ", "CASH (OVER/SHORT)")</f>
        <v xml:space="preserve">          6272 - CASH (OVER/SHORT)</v>
      </c>
      <c r="C58" s="11"/>
      <c r="D58" s="6">
        <v>5.84</v>
      </c>
      <c r="E58" s="2"/>
      <c r="F58" s="7">
        <f t="shared" si="28"/>
        <v>1.6806717852331683E-5</v>
      </c>
      <c r="G58" s="2"/>
      <c r="H58" s="6">
        <v>159</v>
      </c>
      <c r="I58" s="2"/>
      <c r="J58" s="7">
        <f t="shared" si="29"/>
        <v>3.5223436212350798E-4</v>
      </c>
      <c r="K58" s="2"/>
      <c r="L58" s="6">
        <f t="shared" si="30"/>
        <v>-153.16</v>
      </c>
      <c r="M58" s="2"/>
      <c r="N58" s="7">
        <f t="shared" si="31"/>
        <v>-0.96327044025157227</v>
      </c>
      <c r="O58" s="11"/>
      <c r="P58" s="6">
        <v>-12.74</v>
      </c>
      <c r="Q58" s="2"/>
      <c r="R58" s="7">
        <f t="shared" si="32"/>
        <v>-2.4177053611553655E-5</v>
      </c>
      <c r="S58" s="2"/>
      <c r="T58" s="6">
        <v>268</v>
      </c>
      <c r="U58" s="2"/>
      <c r="V58" s="7">
        <f t="shared" si="33"/>
        <v>3.8215888398198148E-4</v>
      </c>
      <c r="W58" s="2"/>
      <c r="X58" s="6">
        <f t="shared" si="34"/>
        <v>-280.74</v>
      </c>
      <c r="Y58" s="2"/>
      <c r="Z58" s="7">
        <f t="shared" si="35"/>
        <v>-1.0475373134328358</v>
      </c>
    </row>
    <row r="59" spans="1:26" s="26" customFormat="1" outlineLevel="1" collapsed="1" x14ac:dyDescent="0.25">
      <c r="A59" s="25"/>
      <c r="B59" s="13" t="str">
        <f>CONCATENATE("     ","Bank/card Fees                                    ")</f>
        <v xml:space="preserve">     Bank/card Fees                                    </v>
      </c>
      <c r="C59" s="13"/>
      <c r="D59" s="1">
        <f>SUM(OSRRefD22_4x_0)</f>
        <v>8836.69</v>
      </c>
      <c r="E59" s="1"/>
      <c r="F59" s="5">
        <f t="shared" si="28"/>
        <v>2.5430780064815216E-2</v>
      </c>
      <c r="G59" s="1"/>
      <c r="H59" s="1">
        <f>SUM(OSRRefH22_4x_0)</f>
        <v>8017</v>
      </c>
      <c r="I59" s="1"/>
      <c r="J59" s="5">
        <f t="shared" si="29"/>
        <v>1.7760143906567067E-2</v>
      </c>
      <c r="K59" s="1"/>
      <c r="L59" s="1">
        <f t="shared" si="30"/>
        <v>819.69000000000051</v>
      </c>
      <c r="M59" s="1"/>
      <c r="N59" s="5">
        <f t="shared" si="31"/>
        <v>0.1022439815392292</v>
      </c>
      <c r="O59" s="13"/>
      <c r="P59" s="1">
        <f>SUM(OSRRefP22_4x_0)</f>
        <v>13005.95</v>
      </c>
      <c r="Q59" s="1"/>
      <c r="R59" s="5">
        <f t="shared" si="32"/>
        <v>2.4681754350014622E-2</v>
      </c>
      <c r="S59" s="1"/>
      <c r="T59" s="1">
        <f>SUM(OSRRefT22_4x_0)</f>
        <v>12612</v>
      </c>
      <c r="U59" s="1"/>
      <c r="V59" s="5">
        <f t="shared" si="33"/>
        <v>1.798428300291325E-2</v>
      </c>
      <c r="W59" s="1"/>
      <c r="X59" s="1">
        <f t="shared" si="34"/>
        <v>393.95000000000073</v>
      </c>
      <c r="Y59" s="1"/>
      <c r="Z59" s="5">
        <f t="shared" si="35"/>
        <v>3.1236124326038752E-2</v>
      </c>
    </row>
    <row r="60" spans="1:26" s="24" customFormat="1" hidden="1" outlineLevel="2" x14ac:dyDescent="0.25">
      <c r="A60" s="27"/>
      <c r="B60" s="11" t="str">
        <f>CONCATENATE("          ", "6381", " - ", "BANK/CREDIT CARD FEES")</f>
        <v xml:space="preserve">          6381 - BANK/CREDIT CARD FEES</v>
      </c>
      <c r="C60" s="11"/>
      <c r="D60" s="6">
        <v>8836.69</v>
      </c>
      <c r="E60" s="2"/>
      <c r="F60" s="7">
        <f t="shared" si="28"/>
        <v>2.5430780064815216E-2</v>
      </c>
      <c r="G60" s="2"/>
      <c r="H60" s="6">
        <v>8017</v>
      </c>
      <c r="I60" s="2"/>
      <c r="J60" s="7">
        <f t="shared" si="29"/>
        <v>1.7760143906567067E-2</v>
      </c>
      <c r="K60" s="2"/>
      <c r="L60" s="6">
        <f t="shared" si="30"/>
        <v>819.69000000000051</v>
      </c>
      <c r="M60" s="2"/>
      <c r="N60" s="7">
        <f t="shared" si="31"/>
        <v>0.1022439815392292</v>
      </c>
      <c r="O60" s="11"/>
      <c r="P60" s="6">
        <v>13005.95</v>
      </c>
      <c r="Q60" s="2"/>
      <c r="R60" s="7">
        <f t="shared" si="32"/>
        <v>2.4681754350014622E-2</v>
      </c>
      <c r="S60" s="2"/>
      <c r="T60" s="6">
        <v>12612</v>
      </c>
      <c r="U60" s="2"/>
      <c r="V60" s="7">
        <f t="shared" si="33"/>
        <v>1.798428300291325E-2</v>
      </c>
      <c r="W60" s="2"/>
      <c r="X60" s="6">
        <f t="shared" si="34"/>
        <v>393.95000000000073</v>
      </c>
      <c r="Y60" s="2"/>
      <c r="Z60" s="7">
        <f t="shared" si="35"/>
        <v>3.1236124326038752E-2</v>
      </c>
    </row>
    <row r="61" spans="1:26" s="26" customFormat="1" outlineLevel="1" collapsed="1" x14ac:dyDescent="0.25">
      <c r="A61" s="25"/>
      <c r="B61" s="13" t="str">
        <f>CONCATENATE("     ","Depreciation                                      ")</f>
        <v xml:space="preserve">     Depreciation                                      </v>
      </c>
      <c r="C61" s="13"/>
      <c r="D61" s="1">
        <f>SUM(OSRRefD22_5x_0)</f>
        <v>39571.050000000003</v>
      </c>
      <c r="E61" s="1"/>
      <c r="F61" s="5">
        <f t="shared" si="28"/>
        <v>0.1138800466559092</v>
      </c>
      <c r="G61" s="1"/>
      <c r="H61" s="1">
        <f>SUM(OSRRefH22_5x_0)</f>
        <v>39187</v>
      </c>
      <c r="I61" s="1"/>
      <c r="J61" s="5">
        <f t="shared" si="29"/>
        <v>8.6811370745496275E-2</v>
      </c>
      <c r="K61" s="1"/>
      <c r="L61" s="1">
        <f t="shared" si="30"/>
        <v>384.05000000000291</v>
      </c>
      <c r="M61" s="1"/>
      <c r="N61" s="5">
        <f t="shared" si="31"/>
        <v>9.8004440248042179E-3</v>
      </c>
      <c r="O61" s="13"/>
      <c r="P61" s="1">
        <f>SUM(OSRRefP22_5x_0)</f>
        <v>79142.100000000006</v>
      </c>
      <c r="Q61" s="1"/>
      <c r="R61" s="5">
        <f t="shared" si="32"/>
        <v>0.15019017226302517</v>
      </c>
      <c r="S61" s="1"/>
      <c r="T61" s="1">
        <f>SUM(OSRRefT22_5x_0)</f>
        <v>78374</v>
      </c>
      <c r="U61" s="1"/>
      <c r="V61" s="5">
        <f t="shared" si="33"/>
        <v>0.11175865810896947</v>
      </c>
      <c r="W61" s="1"/>
      <c r="X61" s="1">
        <f t="shared" si="34"/>
        <v>768.10000000000582</v>
      </c>
      <c r="Y61" s="1"/>
      <c r="Z61" s="5">
        <f t="shared" si="35"/>
        <v>9.8004440248042179E-3</v>
      </c>
    </row>
    <row r="62" spans="1:26" s="24" customFormat="1" hidden="1" outlineLevel="2" x14ac:dyDescent="0.25">
      <c r="A62" s="27"/>
      <c r="B62" s="11" t="str">
        <f>CONCATENATE("          ", "6321", " - ", "BUILDING DEPRECIATION")</f>
        <v xml:space="preserve">          6321 - BUILDING DEPRECIATION</v>
      </c>
      <c r="C62" s="11"/>
      <c r="D62" s="6">
        <v>24042.959999999999</v>
      </c>
      <c r="E62" s="2"/>
      <c r="F62" s="7">
        <f t="shared" si="28"/>
        <v>6.9192336482002834E-2</v>
      </c>
      <c r="G62" s="2"/>
      <c r="H62" s="6">
        <v>23119</v>
      </c>
      <c r="I62" s="2"/>
      <c r="J62" s="7">
        <f t="shared" si="29"/>
        <v>5.1215762376939505E-2</v>
      </c>
      <c r="K62" s="2"/>
      <c r="L62" s="6">
        <f t="shared" si="30"/>
        <v>923.95999999999913</v>
      </c>
      <c r="M62" s="2"/>
      <c r="N62" s="7">
        <f t="shared" si="31"/>
        <v>3.9965396427181069E-2</v>
      </c>
      <c r="O62" s="11"/>
      <c r="P62" s="6">
        <v>48085.919999999998</v>
      </c>
      <c r="Q62" s="2"/>
      <c r="R62" s="7">
        <f t="shared" si="32"/>
        <v>9.1253992606034534E-2</v>
      </c>
      <c r="S62" s="2"/>
      <c r="T62" s="6">
        <v>46238</v>
      </c>
      <c r="U62" s="2"/>
      <c r="V62" s="7">
        <f t="shared" si="33"/>
        <v>6.5933815214771874E-2</v>
      </c>
      <c r="W62" s="2"/>
      <c r="X62" s="6">
        <f t="shared" si="34"/>
        <v>1847.9199999999983</v>
      </c>
      <c r="Y62" s="2"/>
      <c r="Z62" s="7">
        <f t="shared" si="35"/>
        <v>3.9965396427181069E-2</v>
      </c>
    </row>
    <row r="63" spans="1:26" s="24" customFormat="1" hidden="1" outlineLevel="2" x14ac:dyDescent="0.25">
      <c r="A63" s="27"/>
      <c r="B63" s="11" t="str">
        <f>CONCATENATE("          ", "6322", " - ", "EQUIPMENT DEPRECIATION EXPENSE")</f>
        <v xml:space="preserve">          6322 - EQUIPMENT DEPRECIATION EXPENSE</v>
      </c>
      <c r="C63" s="11"/>
      <c r="D63" s="6">
        <v>15103.84</v>
      </c>
      <c r="E63" s="2"/>
      <c r="F63" s="7">
        <f t="shared" si="28"/>
        <v>4.346677694636325E-2</v>
      </c>
      <c r="G63" s="2"/>
      <c r="H63" s="6">
        <v>15301</v>
      </c>
      <c r="I63" s="2"/>
      <c r="J63" s="7">
        <f t="shared" si="29"/>
        <v>3.3896465250640224E-2</v>
      </c>
      <c r="K63" s="2"/>
      <c r="L63" s="6">
        <f t="shared" si="30"/>
        <v>-197.15999999999985</v>
      </c>
      <c r="M63" s="2"/>
      <c r="N63" s="7">
        <f t="shared" si="31"/>
        <v>-1.2885432324684651E-2</v>
      </c>
      <c r="O63" s="11"/>
      <c r="P63" s="6">
        <v>30207.68</v>
      </c>
      <c r="Q63" s="2"/>
      <c r="R63" s="7">
        <f t="shared" si="32"/>
        <v>5.7325957522814525E-2</v>
      </c>
      <c r="S63" s="2"/>
      <c r="T63" s="6">
        <v>30602</v>
      </c>
      <c r="U63" s="2"/>
      <c r="V63" s="7">
        <f t="shared" si="33"/>
        <v>4.3637411073196263E-2</v>
      </c>
      <c r="W63" s="2"/>
      <c r="X63" s="6">
        <f t="shared" si="34"/>
        <v>-394.31999999999971</v>
      </c>
      <c r="Y63" s="2"/>
      <c r="Z63" s="7">
        <f t="shared" si="35"/>
        <v>-1.2885432324684651E-2</v>
      </c>
    </row>
    <row r="64" spans="1:26" s="24" customFormat="1" hidden="1" outlineLevel="2" x14ac:dyDescent="0.25">
      <c r="A64" s="27"/>
      <c r="B64" s="11" t="str">
        <f>CONCATENATE("          ", "6324", " - ", "FURNITURE + FIXT DEPRECIATION")</f>
        <v xml:space="preserve">          6324 - FURNITURE + FIXT DEPRECIATION</v>
      </c>
      <c r="C64" s="11"/>
      <c r="D64" s="6"/>
      <c r="E64" s="2"/>
      <c r="F64" s="7">
        <f t="shared" si="28"/>
        <v>0</v>
      </c>
      <c r="G64" s="2"/>
      <c r="H64" s="6">
        <v>343</v>
      </c>
      <c r="I64" s="2"/>
      <c r="J64" s="7">
        <f t="shared" si="29"/>
        <v>7.5985148558719022E-4</v>
      </c>
      <c r="K64" s="2"/>
      <c r="L64" s="6">
        <f t="shared" si="30"/>
        <v>-343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686</v>
      </c>
      <c r="U64" s="2"/>
      <c r="V64" s="7">
        <f t="shared" si="33"/>
        <v>9.7821266571507205E-4</v>
      </c>
      <c r="W64" s="2"/>
      <c r="X64" s="6">
        <f t="shared" si="34"/>
        <v>-686</v>
      </c>
      <c r="Y64" s="2"/>
      <c r="Z64" s="7">
        <f t="shared" si="35"/>
        <v>-1</v>
      </c>
    </row>
    <row r="65" spans="1:26" s="24" customFormat="1" hidden="1" outlineLevel="2" x14ac:dyDescent="0.25">
      <c r="A65" s="27"/>
      <c r="B65" s="11" t="str">
        <f>CONCATENATE("          ", "6326", " - ", "VEHICLES DEPRECIATION EXPENSE")</f>
        <v xml:space="preserve">          6326 - VEHICLES DEPRECIATION EXPENSE</v>
      </c>
      <c r="C65" s="11"/>
      <c r="D65" s="6">
        <v>424.25</v>
      </c>
      <c r="E65" s="2"/>
      <c r="F65" s="7">
        <f t="shared" si="28"/>
        <v>1.2209332275431022E-3</v>
      </c>
      <c r="G65" s="2"/>
      <c r="H65" s="6">
        <v>424</v>
      </c>
      <c r="I65" s="2"/>
      <c r="J65" s="7">
        <f t="shared" si="29"/>
        <v>9.3929163232935465E-4</v>
      </c>
      <c r="K65" s="2"/>
      <c r="L65" s="6">
        <f t="shared" si="30"/>
        <v>0.25</v>
      </c>
      <c r="M65" s="2"/>
      <c r="N65" s="7">
        <f t="shared" si="31"/>
        <v>5.8962264150943394E-4</v>
      </c>
      <c r="O65" s="11"/>
      <c r="P65" s="6">
        <v>848.5</v>
      </c>
      <c r="Q65" s="2"/>
      <c r="R65" s="7">
        <f t="shared" si="32"/>
        <v>1.6102221341760812E-3</v>
      </c>
      <c r="S65" s="2"/>
      <c r="T65" s="6">
        <v>848</v>
      </c>
      <c r="U65" s="2"/>
      <c r="V65" s="7">
        <f t="shared" si="33"/>
        <v>1.2092191552862698E-3</v>
      </c>
      <c r="W65" s="2"/>
      <c r="X65" s="6">
        <f t="shared" si="34"/>
        <v>0.5</v>
      </c>
      <c r="Y65" s="2"/>
      <c r="Z65" s="7">
        <f t="shared" si="35"/>
        <v>5.8962264150943394E-4</v>
      </c>
    </row>
    <row r="66" spans="1:26" s="26" customFormat="1" outlineLevel="1" collapsed="1" x14ac:dyDescent="0.25">
      <c r="A66" s="25"/>
      <c r="B66" s="13" t="str">
        <f>CONCATENATE("     ","Donations                                         ")</f>
        <v xml:space="preserve">     Donations                                         </v>
      </c>
      <c r="C66" s="13"/>
      <c r="D66" s="1">
        <f>SUM(OSRRefD22_6x_0)</f>
        <v>0</v>
      </c>
      <c r="E66" s="1"/>
      <c r="F66" s="5">
        <f t="shared" ref="F66:F74" si="36">IF(D$12=0,0,D66/D$12)</f>
        <v>0</v>
      </c>
      <c r="G66" s="1"/>
      <c r="H66" s="1">
        <f>SUM(OSRRefH22_6x_0)</f>
        <v>300</v>
      </c>
      <c r="I66" s="1"/>
      <c r="J66" s="5">
        <f t="shared" ref="J66:J74" si="37">IF(H$12=0,0,H66/H$12)</f>
        <v>6.6459313608209058E-4</v>
      </c>
      <c r="K66" s="1"/>
      <c r="L66" s="1">
        <f t="shared" ref="L66:L74" si="38">+D66-H66</f>
        <v>-300</v>
      </c>
      <c r="M66" s="1"/>
      <c r="N66" s="5">
        <f t="shared" ref="N66:N74" si="39">IF(H66=0,0,L66/H66)</f>
        <v>-1</v>
      </c>
      <c r="O66" s="13"/>
      <c r="P66" s="1">
        <f>SUM(OSRRefP22_6x_0)</f>
        <v>0</v>
      </c>
      <c r="Q66" s="1"/>
      <c r="R66" s="5">
        <f t="shared" ref="R66:R74" si="40">IF(P$12=0,0,P66/P$12)</f>
        <v>0</v>
      </c>
      <c r="S66" s="1"/>
      <c r="T66" s="1">
        <f>SUM(OSRRefT22_6x_0)</f>
        <v>300</v>
      </c>
      <c r="U66" s="1"/>
      <c r="V66" s="5">
        <f t="shared" ref="V66:V74" si="41">IF(T$12=0,0,T66/T$12)</f>
        <v>4.2778979550221811E-4</v>
      </c>
      <c r="W66" s="1"/>
      <c r="X66" s="1">
        <f t="shared" ref="X66:X74" si="42">+P66-T66</f>
        <v>-300</v>
      </c>
      <c r="Y66" s="1"/>
      <c r="Z66" s="5">
        <f t="shared" ref="Z66:Z74" si="43">IF(T66=0,0,X66/T66)</f>
        <v>-1</v>
      </c>
    </row>
    <row r="67" spans="1:26" s="24" customFormat="1" hidden="1" outlineLevel="2" x14ac:dyDescent="0.25">
      <c r="A67" s="27"/>
      <c r="B67" s="11" t="str">
        <f>CONCATENATE("          ", "6399", " - ", "DONATION-ON CAMPUS")</f>
        <v xml:space="preserve">          6399 - DONATION-ON CAMPUS</v>
      </c>
      <c r="C67" s="11"/>
      <c r="D67" s="6"/>
      <c r="E67" s="2"/>
      <c r="F67" s="7">
        <f t="shared" si="36"/>
        <v>0</v>
      </c>
      <c r="G67" s="2"/>
      <c r="H67" s="6">
        <v>300</v>
      </c>
      <c r="I67" s="2"/>
      <c r="J67" s="7">
        <f t="shared" si="37"/>
        <v>6.6459313608209058E-4</v>
      </c>
      <c r="K67" s="2"/>
      <c r="L67" s="6">
        <f t="shared" si="38"/>
        <v>-300</v>
      </c>
      <c r="M67" s="2"/>
      <c r="N67" s="7">
        <f t="shared" si="39"/>
        <v>-1</v>
      </c>
      <c r="O67" s="11"/>
      <c r="P67" s="6"/>
      <c r="Q67" s="2"/>
      <c r="R67" s="7">
        <f t="shared" si="40"/>
        <v>0</v>
      </c>
      <c r="S67" s="2"/>
      <c r="T67" s="6">
        <v>300</v>
      </c>
      <c r="U67" s="2"/>
      <c r="V67" s="7">
        <f t="shared" si="41"/>
        <v>4.2778979550221811E-4</v>
      </c>
      <c r="W67" s="2"/>
      <c r="X67" s="6">
        <f t="shared" si="42"/>
        <v>-300</v>
      </c>
      <c r="Y67" s="2"/>
      <c r="Z67" s="7">
        <f t="shared" si="43"/>
        <v>-1</v>
      </c>
    </row>
    <row r="68" spans="1:26" s="26" customFormat="1" outlineLevel="1" collapsed="1" x14ac:dyDescent="0.25">
      <c r="A68" s="25"/>
      <c r="B68" s="13" t="str">
        <f>CONCATENATE("     ","Employees' Appreciation                           ")</f>
        <v xml:space="preserve">     Employees' Appreciation                           </v>
      </c>
      <c r="C68" s="13"/>
      <c r="D68" s="1">
        <f>SUM(OSRRefD22_7x_0)</f>
        <v>289.95999999999998</v>
      </c>
      <c r="E68" s="1"/>
      <c r="F68" s="5">
        <f t="shared" si="36"/>
        <v>8.3446505281885178E-4</v>
      </c>
      <c r="G68" s="1"/>
      <c r="H68" s="1">
        <f>SUM(OSRRefH22_7x_0)</f>
        <v>350</v>
      </c>
      <c r="I68" s="1"/>
      <c r="J68" s="5">
        <f t="shared" si="37"/>
        <v>7.7535865876243899E-4</v>
      </c>
      <c r="K68" s="1"/>
      <c r="L68" s="1">
        <f t="shared" si="38"/>
        <v>-60.04000000000002</v>
      </c>
      <c r="M68" s="1"/>
      <c r="N68" s="5">
        <f t="shared" si="39"/>
        <v>-0.17154285714285719</v>
      </c>
      <c r="O68" s="13"/>
      <c r="P68" s="1">
        <f>SUM(OSRRefP22_7x_0)</f>
        <v>399.72</v>
      </c>
      <c r="Q68" s="1"/>
      <c r="R68" s="5">
        <f t="shared" si="40"/>
        <v>7.5855980138227848E-4</v>
      </c>
      <c r="S68" s="1"/>
      <c r="T68" s="1">
        <f>SUM(OSRRefT22_7x_0)</f>
        <v>715</v>
      </c>
      <c r="U68" s="1"/>
      <c r="V68" s="5">
        <f t="shared" si="41"/>
        <v>1.0195656792802864E-3</v>
      </c>
      <c r="W68" s="1"/>
      <c r="X68" s="1">
        <f t="shared" si="42"/>
        <v>-315.27999999999997</v>
      </c>
      <c r="Y68" s="1"/>
      <c r="Z68" s="5">
        <f t="shared" si="43"/>
        <v>-0.44095104895104892</v>
      </c>
    </row>
    <row r="69" spans="1:26" s="24" customFormat="1" hidden="1" outlineLevel="2" x14ac:dyDescent="0.25">
      <c r="A69" s="27"/>
      <c r="B69" s="11" t="str">
        <f>CONCATENATE("          ", "6277", " - ", "EMPLOYEE APPRECIATION")</f>
        <v xml:space="preserve">          6277 - EMPLOYEE APPRECIATION</v>
      </c>
      <c r="C69" s="11"/>
      <c r="D69" s="6">
        <v>289.95999999999998</v>
      </c>
      <c r="E69" s="2"/>
      <c r="F69" s="7">
        <f t="shared" si="36"/>
        <v>8.3446505281885178E-4</v>
      </c>
      <c r="G69" s="2"/>
      <c r="H69" s="6">
        <v>350</v>
      </c>
      <c r="I69" s="2"/>
      <c r="J69" s="7">
        <f t="shared" si="37"/>
        <v>7.7535865876243899E-4</v>
      </c>
      <c r="K69" s="2"/>
      <c r="L69" s="6">
        <f t="shared" si="38"/>
        <v>-60.04000000000002</v>
      </c>
      <c r="M69" s="2"/>
      <c r="N69" s="7">
        <f t="shared" si="39"/>
        <v>-0.17154285714285719</v>
      </c>
      <c r="O69" s="11"/>
      <c r="P69" s="6">
        <v>399.72</v>
      </c>
      <c r="Q69" s="2"/>
      <c r="R69" s="7">
        <f t="shared" si="40"/>
        <v>7.5855980138227848E-4</v>
      </c>
      <c r="S69" s="2"/>
      <c r="T69" s="6">
        <v>715</v>
      </c>
      <c r="U69" s="2"/>
      <c r="V69" s="7">
        <f t="shared" si="41"/>
        <v>1.0195656792802864E-3</v>
      </c>
      <c r="W69" s="2"/>
      <c r="X69" s="6">
        <f t="shared" si="42"/>
        <v>-315.27999999999997</v>
      </c>
      <c r="Y69" s="2"/>
      <c r="Z69" s="7">
        <f t="shared" si="43"/>
        <v>-0.44095104895104892</v>
      </c>
    </row>
    <row r="70" spans="1:26" s="26" customFormat="1" outlineLevel="1" collapsed="1" x14ac:dyDescent="0.25">
      <c r="A70" s="25"/>
      <c r="B70" s="13" t="str">
        <f>CONCATENATE("     ","Equipment Rental                                  ")</f>
        <v xml:space="preserve">     Equipment Rental                                  </v>
      </c>
      <c r="C70" s="13"/>
      <c r="D70" s="1">
        <f>SUM(OSRRefD22_8x_0)</f>
        <v>2627.59</v>
      </c>
      <c r="E70" s="1"/>
      <c r="F70" s="5">
        <f t="shared" si="36"/>
        <v>7.5618431098644192E-3</v>
      </c>
      <c r="G70" s="1"/>
      <c r="H70" s="1">
        <f>SUM(OSRRefH22_8x_0)</f>
        <v>1105</v>
      </c>
      <c r="I70" s="1"/>
      <c r="J70" s="5">
        <f t="shared" si="37"/>
        <v>2.4479180512357E-3</v>
      </c>
      <c r="K70" s="1"/>
      <c r="L70" s="1">
        <f t="shared" si="38"/>
        <v>1522.5900000000001</v>
      </c>
      <c r="M70" s="1"/>
      <c r="N70" s="5">
        <f t="shared" si="39"/>
        <v>1.3779095022624435</v>
      </c>
      <c r="O70" s="13"/>
      <c r="P70" s="1">
        <f>SUM(OSRRefP22_8x_0)</f>
        <v>4165.6000000000004</v>
      </c>
      <c r="Q70" s="1"/>
      <c r="R70" s="5">
        <f t="shared" si="40"/>
        <v>7.9051753943711073E-3</v>
      </c>
      <c r="S70" s="1"/>
      <c r="T70" s="1">
        <f>SUM(OSRRefT22_8x_0)</f>
        <v>2895</v>
      </c>
      <c r="U70" s="1"/>
      <c r="V70" s="5">
        <f t="shared" si="41"/>
        <v>4.1281715265964044E-3</v>
      </c>
      <c r="W70" s="1"/>
      <c r="X70" s="1">
        <f t="shared" si="42"/>
        <v>1270.6000000000004</v>
      </c>
      <c r="Y70" s="1"/>
      <c r="Z70" s="5">
        <f t="shared" si="43"/>
        <v>0.43889464594127819</v>
      </c>
    </row>
    <row r="71" spans="1:26" s="24" customFormat="1" hidden="1" outlineLevel="2" x14ac:dyDescent="0.25">
      <c r="A71" s="27"/>
      <c r="B71" s="11" t="str">
        <f>CONCATENATE("          ", "6351", " - ", "EQUIPMENT RENTAL")</f>
        <v xml:space="preserve">          6351 - EQUIPMENT RENTAL</v>
      </c>
      <c r="C71" s="11"/>
      <c r="D71" s="6">
        <v>2627.59</v>
      </c>
      <c r="E71" s="2"/>
      <c r="F71" s="7">
        <f t="shared" si="36"/>
        <v>7.5618431098644192E-3</v>
      </c>
      <c r="G71" s="2"/>
      <c r="H71" s="6">
        <v>1105</v>
      </c>
      <c r="I71" s="2"/>
      <c r="J71" s="7">
        <f t="shared" si="37"/>
        <v>2.4479180512357E-3</v>
      </c>
      <c r="K71" s="2"/>
      <c r="L71" s="6">
        <f t="shared" si="38"/>
        <v>1522.5900000000001</v>
      </c>
      <c r="M71" s="2"/>
      <c r="N71" s="7">
        <f t="shared" si="39"/>
        <v>1.3779095022624435</v>
      </c>
      <c r="O71" s="11"/>
      <c r="P71" s="6">
        <v>4165.6000000000004</v>
      </c>
      <c r="Q71" s="2"/>
      <c r="R71" s="7">
        <f t="shared" si="40"/>
        <v>7.9051753943711073E-3</v>
      </c>
      <c r="S71" s="2"/>
      <c r="T71" s="6">
        <v>2895</v>
      </c>
      <c r="U71" s="2"/>
      <c r="V71" s="7">
        <f t="shared" si="41"/>
        <v>4.1281715265964044E-3</v>
      </c>
      <c r="W71" s="2"/>
      <c r="X71" s="6">
        <f t="shared" si="42"/>
        <v>1270.6000000000004</v>
      </c>
      <c r="Y71" s="2"/>
      <c r="Z71" s="7">
        <f t="shared" si="43"/>
        <v>0.43889464594127819</v>
      </c>
    </row>
    <row r="72" spans="1:26" s="26" customFormat="1" outlineLevel="1" collapsed="1" x14ac:dyDescent="0.25">
      <c r="A72" s="25"/>
      <c r="B72" s="13" t="str">
        <f>CONCATENATE("     ","General                                           ")</f>
        <v xml:space="preserve">     General                                           </v>
      </c>
      <c r="C72" s="13"/>
      <c r="D72" s="1">
        <f>SUM(OSRRefD22_9x_0)</f>
        <v>4452.93</v>
      </c>
      <c r="E72" s="1"/>
      <c r="F72" s="5">
        <f t="shared" si="36"/>
        <v>1.2814920912017693E-2</v>
      </c>
      <c r="G72" s="1"/>
      <c r="H72" s="1">
        <f>SUM(OSRRefH22_9x_0)</f>
        <v>5900</v>
      </c>
      <c r="I72" s="1"/>
      <c r="J72" s="5">
        <f t="shared" si="37"/>
        <v>1.3070331676281114E-2</v>
      </c>
      <c r="K72" s="1"/>
      <c r="L72" s="1">
        <f t="shared" si="38"/>
        <v>-1447.0699999999997</v>
      </c>
      <c r="M72" s="1"/>
      <c r="N72" s="5">
        <f t="shared" si="39"/>
        <v>-0.2452661016949152</v>
      </c>
      <c r="O72" s="13"/>
      <c r="P72" s="1">
        <f>SUM(OSRRefP22_9x_0)</f>
        <v>22065.98</v>
      </c>
      <c r="Q72" s="1"/>
      <c r="R72" s="5">
        <f t="shared" si="40"/>
        <v>4.1875226173584829E-2</v>
      </c>
      <c r="S72" s="1"/>
      <c r="T72" s="1">
        <f>SUM(OSRRefT22_9x_0)</f>
        <v>16550</v>
      </c>
      <c r="U72" s="1"/>
      <c r="V72" s="5">
        <f t="shared" si="41"/>
        <v>2.3599737051872363E-2</v>
      </c>
      <c r="W72" s="1"/>
      <c r="X72" s="1">
        <f t="shared" si="42"/>
        <v>5515.98</v>
      </c>
      <c r="Y72" s="1"/>
      <c r="Z72" s="5">
        <f t="shared" si="43"/>
        <v>0.33329184290030212</v>
      </c>
    </row>
    <row r="73" spans="1:26" s="24" customFormat="1" hidden="1" outlineLevel="2" x14ac:dyDescent="0.25">
      <c r="A73" s="27"/>
      <c r="B73" s="11" t="str">
        <f>CONCATENATE("          ", "6269", " - ", "ENTERTAINMENT")</f>
        <v xml:space="preserve">          6269 - ENTERTAINMENT</v>
      </c>
      <c r="C73" s="11"/>
      <c r="D73" s="6">
        <v>2600</v>
      </c>
      <c r="E73" s="2"/>
      <c r="F73" s="7">
        <f t="shared" si="36"/>
        <v>7.4824428794627359E-3</v>
      </c>
      <c r="G73" s="2"/>
      <c r="H73" s="6">
        <v>350</v>
      </c>
      <c r="I73" s="2"/>
      <c r="J73" s="7">
        <f t="shared" si="37"/>
        <v>7.7535865876243899E-4</v>
      </c>
      <c r="K73" s="2"/>
      <c r="L73" s="6">
        <f t="shared" si="38"/>
        <v>2250</v>
      </c>
      <c r="M73" s="2"/>
      <c r="N73" s="7">
        <f t="shared" si="39"/>
        <v>6.4285714285714288</v>
      </c>
      <c r="O73" s="11"/>
      <c r="P73" s="6">
        <v>2600</v>
      </c>
      <c r="Q73" s="2"/>
      <c r="R73" s="7">
        <f t="shared" si="40"/>
        <v>4.9340925737864604E-3</v>
      </c>
      <c r="S73" s="2"/>
      <c r="T73" s="6">
        <v>1500</v>
      </c>
      <c r="U73" s="2"/>
      <c r="V73" s="7">
        <f t="shared" si="41"/>
        <v>2.1389489775110906E-3</v>
      </c>
      <c r="W73" s="2"/>
      <c r="X73" s="6">
        <f t="shared" si="42"/>
        <v>1100</v>
      </c>
      <c r="Y73" s="2"/>
      <c r="Z73" s="7">
        <f t="shared" si="43"/>
        <v>0.73333333333333328</v>
      </c>
    </row>
    <row r="74" spans="1:26" s="24" customFormat="1" hidden="1" outlineLevel="2" x14ac:dyDescent="0.25">
      <c r="A74" s="27"/>
      <c r="B74" s="11" t="str">
        <f>CONCATENATE("          ", "6279", " - ", "GENERAL EXPENSE")</f>
        <v xml:space="preserve">          6279 - GENERAL EXPENSE</v>
      </c>
      <c r="C74" s="11"/>
      <c r="D74" s="6">
        <v>1852.93</v>
      </c>
      <c r="E74" s="2"/>
      <c r="F74" s="7">
        <f t="shared" si="36"/>
        <v>5.3324780325549569E-3</v>
      </c>
      <c r="G74" s="2"/>
      <c r="H74" s="6">
        <v>5550</v>
      </c>
      <c r="I74" s="2"/>
      <c r="J74" s="7">
        <f t="shared" si="37"/>
        <v>1.2294973017518675E-2</v>
      </c>
      <c r="K74" s="2"/>
      <c r="L74" s="6">
        <f t="shared" si="38"/>
        <v>-3697.0699999999997</v>
      </c>
      <c r="M74" s="2"/>
      <c r="N74" s="7">
        <f t="shared" si="39"/>
        <v>-0.66613873873873863</v>
      </c>
      <c r="O74" s="11"/>
      <c r="P74" s="6">
        <v>19465.98</v>
      </c>
      <c r="Q74" s="2"/>
      <c r="R74" s="7">
        <f t="shared" si="40"/>
        <v>3.6941133599798365E-2</v>
      </c>
      <c r="S74" s="2"/>
      <c r="T74" s="6">
        <v>15050</v>
      </c>
      <c r="U74" s="2"/>
      <c r="V74" s="7">
        <f t="shared" si="41"/>
        <v>2.1460788074361276E-2</v>
      </c>
      <c r="W74" s="2"/>
      <c r="X74" s="6">
        <f t="shared" si="42"/>
        <v>4415.9799999999996</v>
      </c>
      <c r="Y74" s="2"/>
      <c r="Z74" s="7">
        <f t="shared" si="43"/>
        <v>0.2934205980066445</v>
      </c>
    </row>
    <row r="75" spans="1:26" s="26" customFormat="1" outlineLevel="1" collapsed="1" x14ac:dyDescent="0.25">
      <c r="A75" s="25"/>
      <c r="B75" s="13" t="str">
        <f>CONCATENATE("     ","Insurance                                         ")</f>
        <v xml:space="preserve">     Insurance                                         </v>
      </c>
      <c r="C75" s="13"/>
      <c r="D75" s="1">
        <f>SUM(OSRRefD22_10x_0)</f>
        <v>4240.13</v>
      </c>
      <c r="E75" s="1"/>
      <c r="F75" s="5">
        <f t="shared" ref="F75:F87" si="44">IF(D$12=0,0,D75/D$12)</f>
        <v>1.2202511740960128E-2</v>
      </c>
      <c r="G75" s="1"/>
      <c r="H75" s="1">
        <f>SUM(OSRRefH22_10x_0)</f>
        <v>4004</v>
      </c>
      <c r="I75" s="1"/>
      <c r="J75" s="5">
        <f t="shared" ref="J75:J87" si="45">IF(H$12=0,0,H75/H$12)</f>
        <v>8.8701030562423015E-3</v>
      </c>
      <c r="K75" s="1"/>
      <c r="L75" s="1">
        <f t="shared" ref="L75:L87" si="46">+D75-H75</f>
        <v>236.13000000000011</v>
      </c>
      <c r="M75" s="1"/>
      <c r="N75" s="5">
        <f t="shared" ref="N75:N87" si="47">IF(H75=0,0,L75/H75)</f>
        <v>5.8973526473526501E-2</v>
      </c>
      <c r="O75" s="13"/>
      <c r="P75" s="1">
        <f>SUM(OSRRefP22_10x_0)</f>
        <v>8480.26</v>
      </c>
      <c r="Q75" s="1"/>
      <c r="R75" s="5">
        <f t="shared" ref="R75:R87" si="48">IF(P$12=0,0,P75/P$12)</f>
        <v>1.6093226111453217E-2</v>
      </c>
      <c r="S75" s="1"/>
      <c r="T75" s="1">
        <f>SUM(OSRRefT22_10x_0)</f>
        <v>8008</v>
      </c>
      <c r="U75" s="1"/>
      <c r="V75" s="5">
        <f t="shared" ref="V75:V87" si="49">IF(T$12=0,0,T75/T$12)</f>
        <v>1.1419135607939208E-2</v>
      </c>
      <c r="W75" s="1"/>
      <c r="X75" s="1">
        <f t="shared" ref="X75:X87" si="50">+P75-T75</f>
        <v>472.26000000000022</v>
      </c>
      <c r="Y75" s="1"/>
      <c r="Z75" s="5">
        <f t="shared" ref="Z75:Z87" si="51">IF(T75=0,0,X75/T75)</f>
        <v>5.8973526473526501E-2</v>
      </c>
    </row>
    <row r="76" spans="1:26" s="24" customFormat="1" hidden="1" outlineLevel="2" x14ac:dyDescent="0.25">
      <c r="A76" s="27"/>
      <c r="B76" s="11" t="str">
        <f>CONCATENATE("          ", "6314", " - ", "LIABILITY INSURANCE")</f>
        <v xml:space="preserve">          6314 - LIABILITY INSURANCE</v>
      </c>
      <c r="C76" s="11"/>
      <c r="D76" s="6">
        <v>4240.13</v>
      </c>
      <c r="E76" s="2"/>
      <c r="F76" s="7">
        <f t="shared" si="44"/>
        <v>1.2202511740960128E-2</v>
      </c>
      <c r="G76" s="2"/>
      <c r="H76" s="6">
        <v>4004</v>
      </c>
      <c r="I76" s="2"/>
      <c r="J76" s="7">
        <f t="shared" si="45"/>
        <v>8.8701030562423015E-3</v>
      </c>
      <c r="K76" s="2"/>
      <c r="L76" s="6">
        <f t="shared" si="46"/>
        <v>236.13000000000011</v>
      </c>
      <c r="M76" s="2"/>
      <c r="N76" s="7">
        <f t="shared" si="47"/>
        <v>5.8973526473526501E-2</v>
      </c>
      <c r="O76" s="11"/>
      <c r="P76" s="6">
        <v>8480.26</v>
      </c>
      <c r="Q76" s="2"/>
      <c r="R76" s="7">
        <f t="shared" si="48"/>
        <v>1.6093226111453217E-2</v>
      </c>
      <c r="S76" s="2"/>
      <c r="T76" s="6">
        <v>8008</v>
      </c>
      <c r="U76" s="2"/>
      <c r="V76" s="7">
        <f t="shared" si="49"/>
        <v>1.1419135607939208E-2</v>
      </c>
      <c r="W76" s="2"/>
      <c r="X76" s="6">
        <f t="shared" si="50"/>
        <v>472.26000000000022</v>
      </c>
      <c r="Y76" s="2"/>
      <c r="Z76" s="7">
        <f t="shared" si="51"/>
        <v>5.8973526473526501E-2</v>
      </c>
    </row>
    <row r="77" spans="1:26" s="26" customFormat="1" outlineLevel="1" collapsed="1" x14ac:dyDescent="0.25">
      <c r="A77" s="25"/>
      <c r="B77" s="13" t="str">
        <f>CONCATENATE("     ","Interest                                          ")</f>
        <v xml:space="preserve">     Interest                                          </v>
      </c>
      <c r="C77" s="13"/>
      <c r="D77" s="1">
        <f>SUM(OSRRefD22_11x_0)</f>
        <v>7630</v>
      </c>
      <c r="E77" s="1"/>
      <c r="F77" s="5">
        <f t="shared" si="44"/>
        <v>2.1958091988577181E-2</v>
      </c>
      <c r="G77" s="1"/>
      <c r="H77" s="1">
        <f>SUM(OSRRefH22_11x_0)</f>
        <v>7754</v>
      </c>
      <c r="I77" s="1"/>
      <c r="J77" s="5">
        <f t="shared" si="45"/>
        <v>1.7177517257268432E-2</v>
      </c>
      <c r="K77" s="1"/>
      <c r="L77" s="1">
        <f t="shared" si="46"/>
        <v>-124</v>
      </c>
      <c r="M77" s="1"/>
      <c r="N77" s="5">
        <f t="shared" si="47"/>
        <v>-1.5991746195511993E-2</v>
      </c>
      <c r="O77" s="13"/>
      <c r="P77" s="1">
        <f>SUM(OSRRefP22_11x_0)</f>
        <v>15260</v>
      </c>
      <c r="Q77" s="1"/>
      <c r="R77" s="5">
        <f t="shared" si="48"/>
        <v>2.895932795230053E-2</v>
      </c>
      <c r="S77" s="1"/>
      <c r="T77" s="1">
        <f>SUM(OSRRefT22_11x_0)</f>
        <v>15508</v>
      </c>
      <c r="U77" s="1"/>
      <c r="V77" s="5">
        <f t="shared" si="49"/>
        <v>2.2113880495494662E-2</v>
      </c>
      <c r="W77" s="1"/>
      <c r="X77" s="1">
        <f t="shared" si="50"/>
        <v>-248</v>
      </c>
      <c r="Y77" s="1"/>
      <c r="Z77" s="5">
        <f t="shared" si="51"/>
        <v>-1.5991746195511993E-2</v>
      </c>
    </row>
    <row r="78" spans="1:26" s="24" customFormat="1" hidden="1" outlineLevel="2" x14ac:dyDescent="0.25">
      <c r="A78" s="27"/>
      <c r="B78" s="11" t="str">
        <f>CONCATENATE("          ", "6401", " - ", "INTEREST EXPENSE")</f>
        <v xml:space="preserve">          6401 - INTEREST EXPENSE</v>
      </c>
      <c r="C78" s="11"/>
      <c r="D78" s="6">
        <v>7630</v>
      </c>
      <c r="E78" s="2"/>
      <c r="F78" s="7">
        <f t="shared" si="44"/>
        <v>2.1958091988577181E-2</v>
      </c>
      <c r="G78" s="2"/>
      <c r="H78" s="6">
        <v>7754</v>
      </c>
      <c r="I78" s="2"/>
      <c r="J78" s="7">
        <f t="shared" si="45"/>
        <v>1.7177517257268432E-2</v>
      </c>
      <c r="K78" s="2"/>
      <c r="L78" s="6">
        <f t="shared" si="46"/>
        <v>-124</v>
      </c>
      <c r="M78" s="2"/>
      <c r="N78" s="7">
        <f t="shared" si="47"/>
        <v>-1.5991746195511993E-2</v>
      </c>
      <c r="O78" s="11"/>
      <c r="P78" s="6">
        <v>15260</v>
      </c>
      <c r="Q78" s="2"/>
      <c r="R78" s="7">
        <f t="shared" si="48"/>
        <v>2.895932795230053E-2</v>
      </c>
      <c r="S78" s="2"/>
      <c r="T78" s="6">
        <v>15508</v>
      </c>
      <c r="U78" s="2"/>
      <c r="V78" s="7">
        <f t="shared" si="49"/>
        <v>2.2113880495494662E-2</v>
      </c>
      <c r="W78" s="2"/>
      <c r="X78" s="6">
        <f t="shared" si="50"/>
        <v>-248</v>
      </c>
      <c r="Y78" s="2"/>
      <c r="Z78" s="7">
        <f t="shared" si="51"/>
        <v>-1.5991746195511993E-2</v>
      </c>
    </row>
    <row r="79" spans="1:26" s="26" customFormat="1" outlineLevel="1" collapsed="1" x14ac:dyDescent="0.25">
      <c r="A79" s="25"/>
      <c r="B79" s="13" t="str">
        <f>CONCATENATE("     ","Professional Services                             ")</f>
        <v xml:space="preserve">     Professional Services                             </v>
      </c>
      <c r="C79" s="13"/>
      <c r="D79" s="1">
        <f>SUM(OSRRefD22_12x_0)</f>
        <v>125</v>
      </c>
      <c r="E79" s="1"/>
      <c r="F79" s="5">
        <f t="shared" si="44"/>
        <v>3.5973283074340075E-4</v>
      </c>
      <c r="G79" s="1"/>
      <c r="H79" s="1">
        <f>SUM(OSRRefH22_12x_0)</f>
        <v>0</v>
      </c>
      <c r="I79" s="1"/>
      <c r="J79" s="5">
        <f t="shared" si="45"/>
        <v>0</v>
      </c>
      <c r="K79" s="1"/>
      <c r="L79" s="1">
        <f t="shared" si="46"/>
        <v>125</v>
      </c>
      <c r="M79" s="1"/>
      <c r="N79" s="5">
        <f t="shared" si="47"/>
        <v>0</v>
      </c>
      <c r="O79" s="13"/>
      <c r="P79" s="1">
        <f>SUM(OSRRefP22_12x_0)</f>
        <v>125</v>
      </c>
      <c r="Q79" s="1"/>
      <c r="R79" s="5">
        <f t="shared" si="48"/>
        <v>2.3721598912434903E-4</v>
      </c>
      <c r="S79" s="1"/>
      <c r="T79" s="1">
        <f>SUM(OSRRefT22_12x_0)</f>
        <v>0</v>
      </c>
      <c r="U79" s="1"/>
      <c r="V79" s="5">
        <f t="shared" si="49"/>
        <v>0</v>
      </c>
      <c r="W79" s="1"/>
      <c r="X79" s="1">
        <f t="shared" si="50"/>
        <v>125</v>
      </c>
      <c r="Y79" s="1"/>
      <c r="Z79" s="5">
        <f t="shared" si="51"/>
        <v>0</v>
      </c>
    </row>
    <row r="80" spans="1:26" s="24" customFormat="1" hidden="1" outlineLevel="2" x14ac:dyDescent="0.25">
      <c r="A80" s="27"/>
      <c r="B80" s="11" t="str">
        <f>CONCATENATE("          ", "6336", " - ", "PROFESSIONAL SERVICES")</f>
        <v xml:space="preserve">          6336 - PROFESSIONAL SERVICES</v>
      </c>
      <c r="C80" s="11"/>
      <c r="D80" s="6">
        <v>125</v>
      </c>
      <c r="E80" s="2"/>
      <c r="F80" s="7">
        <f t="shared" si="44"/>
        <v>3.5973283074340075E-4</v>
      </c>
      <c r="G80" s="2"/>
      <c r="H80" s="6"/>
      <c r="I80" s="2"/>
      <c r="J80" s="7">
        <f t="shared" si="45"/>
        <v>0</v>
      </c>
      <c r="K80" s="2"/>
      <c r="L80" s="6">
        <f t="shared" si="46"/>
        <v>125</v>
      </c>
      <c r="M80" s="2"/>
      <c r="N80" s="7">
        <f t="shared" si="47"/>
        <v>0</v>
      </c>
      <c r="O80" s="11"/>
      <c r="P80" s="6">
        <v>125</v>
      </c>
      <c r="Q80" s="2"/>
      <c r="R80" s="7">
        <f t="shared" si="48"/>
        <v>2.3721598912434903E-4</v>
      </c>
      <c r="S80" s="2"/>
      <c r="T80" s="6"/>
      <c r="U80" s="2"/>
      <c r="V80" s="7">
        <f t="shared" si="49"/>
        <v>0</v>
      </c>
      <c r="W80" s="2"/>
      <c r="X80" s="6">
        <f t="shared" si="50"/>
        <v>125</v>
      </c>
      <c r="Y80" s="2"/>
      <c r="Z80" s="7">
        <f t="shared" si="51"/>
        <v>0</v>
      </c>
    </row>
    <row r="81" spans="1:26" s="26" customFormat="1" outlineLevel="1" collapsed="1" x14ac:dyDescent="0.25">
      <c r="A81" s="25"/>
      <c r="B81" s="13" t="str">
        <f>CONCATENATE("     ","Rent                                              ")</f>
        <v xml:space="preserve">     Rent                                              </v>
      </c>
      <c r="C81" s="13"/>
      <c r="D81" s="1">
        <f>SUM(OSRRefD22_13x_0)</f>
        <v>1850</v>
      </c>
      <c r="E81" s="1"/>
      <c r="F81" s="5">
        <f t="shared" si="44"/>
        <v>5.3240458950023313E-3</v>
      </c>
      <c r="G81" s="1"/>
      <c r="H81" s="1">
        <f>SUM(OSRRefH22_13x_0)</f>
        <v>1850</v>
      </c>
      <c r="I81" s="1"/>
      <c r="J81" s="5">
        <f t="shared" si="45"/>
        <v>4.0983243391728916E-3</v>
      </c>
      <c r="K81" s="1"/>
      <c r="L81" s="1">
        <f t="shared" si="46"/>
        <v>0</v>
      </c>
      <c r="M81" s="1"/>
      <c r="N81" s="5">
        <f t="shared" si="47"/>
        <v>0</v>
      </c>
      <c r="O81" s="13"/>
      <c r="P81" s="1">
        <f>SUM(OSRRefP22_13x_0)</f>
        <v>3700</v>
      </c>
      <c r="Q81" s="1"/>
      <c r="R81" s="5">
        <f t="shared" si="48"/>
        <v>7.0215932780807316E-3</v>
      </c>
      <c r="S81" s="1"/>
      <c r="T81" s="1">
        <f>SUM(OSRRefT22_13x_0)</f>
        <v>3700</v>
      </c>
      <c r="U81" s="1"/>
      <c r="V81" s="5">
        <f t="shared" si="49"/>
        <v>5.2760741445273566E-3</v>
      </c>
      <c r="W81" s="1"/>
      <c r="X81" s="1">
        <f t="shared" si="50"/>
        <v>0</v>
      </c>
      <c r="Y81" s="1"/>
      <c r="Z81" s="5">
        <f t="shared" si="51"/>
        <v>0</v>
      </c>
    </row>
    <row r="82" spans="1:26" s="24" customFormat="1" hidden="1" outlineLevel="2" x14ac:dyDescent="0.25">
      <c r="A82" s="27"/>
      <c r="B82" s="11" t="str">
        <f>CONCATENATE("          ", "6273", " - ", "RENT")</f>
        <v xml:space="preserve">          6273 - RENT</v>
      </c>
      <c r="C82" s="11"/>
      <c r="D82" s="6">
        <v>1850</v>
      </c>
      <c r="E82" s="2"/>
      <c r="F82" s="7">
        <f t="shared" si="44"/>
        <v>5.3240458950023313E-3</v>
      </c>
      <c r="G82" s="2"/>
      <c r="H82" s="6">
        <v>1850</v>
      </c>
      <c r="I82" s="2"/>
      <c r="J82" s="7">
        <f t="shared" si="45"/>
        <v>4.0983243391728916E-3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>
        <v>3700</v>
      </c>
      <c r="Q82" s="2"/>
      <c r="R82" s="7">
        <f t="shared" si="48"/>
        <v>7.0215932780807316E-3</v>
      </c>
      <c r="S82" s="2"/>
      <c r="T82" s="6">
        <v>3700</v>
      </c>
      <c r="U82" s="2"/>
      <c r="V82" s="7">
        <f t="shared" si="49"/>
        <v>5.2760741445273566E-3</v>
      </c>
      <c r="W82" s="2"/>
      <c r="X82" s="6">
        <f t="shared" si="50"/>
        <v>0</v>
      </c>
      <c r="Y82" s="2"/>
      <c r="Z82" s="7">
        <f t="shared" si="51"/>
        <v>0</v>
      </c>
    </row>
    <row r="83" spans="1:26" s="26" customFormat="1" outlineLevel="1" collapsed="1" x14ac:dyDescent="0.25">
      <c r="A83" s="25"/>
      <c r="B83" s="13" t="str">
        <f>CONCATENATE("     ","Repair and Maintenance                            ")</f>
        <v xml:space="preserve">     Repair and Maintenance                            </v>
      </c>
      <c r="C83" s="13"/>
      <c r="D83" s="1">
        <f>SUM(OSRRefD22_14x_0)</f>
        <v>21942.260000000002</v>
      </c>
      <c r="E83" s="1"/>
      <c r="F83" s="5">
        <f t="shared" si="44"/>
        <v>6.3146810421661551E-2</v>
      </c>
      <c r="G83" s="1"/>
      <c r="H83" s="1">
        <f>SUM(OSRRefH22_14x_0)</f>
        <v>28850</v>
      </c>
      <c r="I83" s="1"/>
      <c r="J83" s="5">
        <f t="shared" si="45"/>
        <v>6.3911706586561035E-2</v>
      </c>
      <c r="K83" s="1"/>
      <c r="L83" s="1">
        <f t="shared" si="46"/>
        <v>-6907.739999999998</v>
      </c>
      <c r="M83" s="1"/>
      <c r="N83" s="5">
        <f t="shared" si="47"/>
        <v>-0.23943639514731363</v>
      </c>
      <c r="O83" s="13"/>
      <c r="P83" s="1">
        <f>SUM(OSRRefP22_14x_0)</f>
        <v>47809.81</v>
      </c>
      <c r="Q83" s="1"/>
      <c r="R83" s="5">
        <f t="shared" si="48"/>
        <v>9.0730010951977552E-2</v>
      </c>
      <c r="S83" s="1"/>
      <c r="T83" s="1">
        <f>SUM(OSRRefT22_14x_0)</f>
        <v>47025</v>
      </c>
      <c r="U83" s="1"/>
      <c r="V83" s="5">
        <f t="shared" si="49"/>
        <v>6.705605044497269E-2</v>
      </c>
      <c r="W83" s="1"/>
      <c r="X83" s="1">
        <f t="shared" si="50"/>
        <v>784.80999999999767</v>
      </c>
      <c r="Y83" s="1"/>
      <c r="Z83" s="5">
        <f t="shared" si="51"/>
        <v>1.6689207868155188E-2</v>
      </c>
    </row>
    <row r="84" spans="1:26" s="24" customFormat="1" hidden="1" outlineLevel="2" x14ac:dyDescent="0.25">
      <c r="A84" s="27"/>
      <c r="B84" s="11" t="str">
        <f>CONCATENATE("          ", "6371", " - ", "COMPUTER SOFTWARE MAINTENANCE")</f>
        <v xml:space="preserve">          6371 - COMPUTER SOFTWARE MAINTENANCE</v>
      </c>
      <c r="C84" s="11"/>
      <c r="D84" s="6"/>
      <c r="E84" s="2"/>
      <c r="F84" s="7">
        <f t="shared" si="44"/>
        <v>0</v>
      </c>
      <c r="G84" s="2"/>
      <c r="H84" s="6">
        <v>50</v>
      </c>
      <c r="I84" s="2"/>
      <c r="J84" s="7">
        <f t="shared" si="45"/>
        <v>1.1076552268034843E-4</v>
      </c>
      <c r="K84" s="2"/>
      <c r="L84" s="6">
        <f t="shared" si="46"/>
        <v>-50</v>
      </c>
      <c r="M84" s="2"/>
      <c r="N84" s="7">
        <f t="shared" si="47"/>
        <v>-1</v>
      </c>
      <c r="O84" s="11"/>
      <c r="P84" s="6"/>
      <c r="Q84" s="2"/>
      <c r="R84" s="7">
        <f t="shared" si="48"/>
        <v>0</v>
      </c>
      <c r="S84" s="2"/>
      <c r="T84" s="6">
        <v>600</v>
      </c>
      <c r="U84" s="2"/>
      <c r="V84" s="7">
        <f t="shared" si="49"/>
        <v>8.5557959100443623E-4</v>
      </c>
      <c r="W84" s="2"/>
      <c r="X84" s="6">
        <f t="shared" si="50"/>
        <v>-600</v>
      </c>
      <c r="Y84" s="2"/>
      <c r="Z84" s="7">
        <f t="shared" si="51"/>
        <v>-1</v>
      </c>
    </row>
    <row r="85" spans="1:26" s="24" customFormat="1" hidden="1" outlineLevel="2" x14ac:dyDescent="0.25">
      <c r="A85" s="27"/>
      <c r="B85" s="11" t="str">
        <f>CONCATENATE("          ", "6372", " - ", "COMPUTER HARDWARE MAINTENANCE")</f>
        <v xml:space="preserve">          6372 - COMPUTER HARDWARE MAINTENANCE</v>
      </c>
      <c r="C85" s="11"/>
      <c r="D85" s="6"/>
      <c r="E85" s="2"/>
      <c r="F85" s="7">
        <f t="shared" si="44"/>
        <v>0</v>
      </c>
      <c r="G85" s="2"/>
      <c r="H85" s="6"/>
      <c r="I85" s="2"/>
      <c r="J85" s="7">
        <f t="shared" si="45"/>
        <v>0</v>
      </c>
      <c r="K85" s="2"/>
      <c r="L85" s="6">
        <f t="shared" si="46"/>
        <v>0</v>
      </c>
      <c r="M85" s="2"/>
      <c r="N85" s="7">
        <f t="shared" si="47"/>
        <v>0</v>
      </c>
      <c r="O85" s="11"/>
      <c r="P85" s="6"/>
      <c r="Q85" s="2"/>
      <c r="R85" s="7">
        <f t="shared" si="48"/>
        <v>0</v>
      </c>
      <c r="S85" s="2"/>
      <c r="T85" s="6">
        <v>200</v>
      </c>
      <c r="U85" s="2"/>
      <c r="V85" s="7">
        <f t="shared" si="49"/>
        <v>2.8519319700147871E-4</v>
      </c>
      <c r="W85" s="2"/>
      <c r="X85" s="6">
        <f t="shared" si="50"/>
        <v>-200</v>
      </c>
      <c r="Y85" s="2"/>
      <c r="Z85" s="7">
        <f t="shared" si="51"/>
        <v>-1</v>
      </c>
    </row>
    <row r="86" spans="1:26" s="24" customFormat="1" hidden="1" outlineLevel="2" x14ac:dyDescent="0.25">
      <c r="A86" s="27"/>
      <c r="B86" s="11" t="str">
        <f>CONCATENATE("          ", "6373", " - ", "MAINTENANCE CONTRACTS")</f>
        <v xml:space="preserve">          6373 - MAINTENANCE CONTRACTS</v>
      </c>
      <c r="C86" s="11"/>
      <c r="D86" s="6">
        <v>10062.32</v>
      </c>
      <c r="E86" s="2"/>
      <c r="F86" s="7">
        <f t="shared" si="44"/>
        <v>2.8957974859567488E-2</v>
      </c>
      <c r="G86" s="2"/>
      <c r="H86" s="6">
        <v>2200</v>
      </c>
      <c r="I86" s="2"/>
      <c r="J86" s="7">
        <f t="shared" si="45"/>
        <v>4.8736829979353306E-3</v>
      </c>
      <c r="K86" s="2"/>
      <c r="L86" s="6">
        <f t="shared" si="46"/>
        <v>7862.32</v>
      </c>
      <c r="M86" s="2"/>
      <c r="N86" s="7">
        <f t="shared" si="47"/>
        <v>3.5737818181818182</v>
      </c>
      <c r="O86" s="11"/>
      <c r="P86" s="6">
        <v>16091.2</v>
      </c>
      <c r="Q86" s="2"/>
      <c r="R86" s="7">
        <f t="shared" si="48"/>
        <v>3.0536719393581803E-2</v>
      </c>
      <c r="S86" s="2"/>
      <c r="T86" s="6">
        <v>4400</v>
      </c>
      <c r="U86" s="2"/>
      <c r="V86" s="7">
        <f t="shared" si="49"/>
        <v>6.274250334032532E-3</v>
      </c>
      <c r="W86" s="2"/>
      <c r="X86" s="6">
        <f t="shared" si="50"/>
        <v>11691.2</v>
      </c>
      <c r="Y86" s="2"/>
      <c r="Z86" s="7">
        <f t="shared" si="51"/>
        <v>2.6570909090909094</v>
      </c>
    </row>
    <row r="87" spans="1:26" s="24" customFormat="1" hidden="1" outlineLevel="2" x14ac:dyDescent="0.25">
      <c r="A87" s="27"/>
      <c r="B87" s="11" t="str">
        <f>CONCATENATE("          ", "6375", " - ", "OUTSIDE REPAIRS &amp; MAINTENANCE")</f>
        <v xml:space="preserve">          6375 - OUTSIDE REPAIRS &amp; MAINTENANCE</v>
      </c>
      <c r="C87" s="11"/>
      <c r="D87" s="6">
        <v>11879.94</v>
      </c>
      <c r="E87" s="2"/>
      <c r="F87" s="7">
        <f t="shared" si="44"/>
        <v>3.4188835562094053E-2</v>
      </c>
      <c r="G87" s="2"/>
      <c r="H87" s="6">
        <v>26600</v>
      </c>
      <c r="I87" s="2"/>
      <c r="J87" s="7">
        <f t="shared" si="45"/>
        <v>5.8927258065945363E-2</v>
      </c>
      <c r="K87" s="2"/>
      <c r="L87" s="6">
        <f t="shared" si="46"/>
        <v>-14720.06</v>
      </c>
      <c r="M87" s="2"/>
      <c r="N87" s="7">
        <f t="shared" si="47"/>
        <v>-0.55338571428571426</v>
      </c>
      <c r="O87" s="11"/>
      <c r="P87" s="6">
        <v>31718.609999999997</v>
      </c>
      <c r="Q87" s="2"/>
      <c r="R87" s="7">
        <f t="shared" si="48"/>
        <v>6.0193291558395742E-2</v>
      </c>
      <c r="S87" s="2"/>
      <c r="T87" s="6">
        <v>41825</v>
      </c>
      <c r="U87" s="2"/>
      <c r="V87" s="7">
        <f t="shared" si="49"/>
        <v>5.9641027322934241E-2</v>
      </c>
      <c r="W87" s="2"/>
      <c r="X87" s="6">
        <f t="shared" si="50"/>
        <v>-10106.390000000003</v>
      </c>
      <c r="Y87" s="2"/>
      <c r="Z87" s="7">
        <f t="shared" si="51"/>
        <v>-0.24163514644351472</v>
      </c>
    </row>
    <row r="88" spans="1:26" s="26" customFormat="1" outlineLevel="1" collapsed="1" x14ac:dyDescent="0.25">
      <c r="A88" s="25"/>
      <c r="B88" s="13" t="str">
        <f>CONCATENATE("     ","Royalty &amp; Commissions                             ")</f>
        <v xml:space="preserve">     Royalty &amp; Commissions                             </v>
      </c>
      <c r="C88" s="13"/>
      <c r="D88" s="1">
        <f>SUM(OSRRefD22_15x_0)</f>
        <v>16843.939999999999</v>
      </c>
      <c r="E88" s="1"/>
      <c r="F88" s="5">
        <f t="shared" ref="F88:F91" si="52">IF(D$12=0,0,D88/D$12)</f>
        <v>4.8474545736575975E-2</v>
      </c>
      <c r="G88" s="1"/>
      <c r="H88" s="1">
        <f>SUM(OSRRefH22_15x_0)</f>
        <v>17200</v>
      </c>
      <c r="I88" s="1"/>
      <c r="J88" s="5">
        <f t="shared" ref="J88:J91" si="53">IF(H$12=0,0,H88/H$12)</f>
        <v>3.8103339802039858E-2</v>
      </c>
      <c r="K88" s="1"/>
      <c r="L88" s="1">
        <f t="shared" ref="L88:L91" si="54">+D88-H88</f>
        <v>-356.06000000000131</v>
      </c>
      <c r="M88" s="1"/>
      <c r="N88" s="5">
        <f t="shared" ref="N88:N91" si="55">IF(H88=0,0,L88/H88)</f>
        <v>-2.0701162790697749E-2</v>
      </c>
      <c r="O88" s="13"/>
      <c r="P88" s="1">
        <f>SUM(OSRRefP22_15x_0)</f>
        <v>33702.04</v>
      </c>
      <c r="Q88" s="1"/>
      <c r="R88" s="5">
        <f t="shared" ref="R88:R91" si="56">IF(P$12=0,0,P88/P$12)</f>
        <v>6.3957302032867008E-2</v>
      </c>
      <c r="S88" s="1"/>
      <c r="T88" s="1">
        <f>SUM(OSRRefT22_15x_0)</f>
        <v>26357</v>
      </c>
      <c r="U88" s="1"/>
      <c r="V88" s="5">
        <f t="shared" ref="V88:V91" si="57">IF(T$12=0,0,T88/T$12)</f>
        <v>3.7584185466839871E-2</v>
      </c>
      <c r="W88" s="1"/>
      <c r="X88" s="1">
        <f t="shared" ref="X88:X91" si="58">+P88-T88</f>
        <v>7345.0400000000009</v>
      </c>
      <c r="Y88" s="1"/>
      <c r="Z88" s="5">
        <f t="shared" ref="Z88:Z91" si="59">IF(T88=0,0,X88/T88)</f>
        <v>0.27867511477026979</v>
      </c>
    </row>
    <row r="89" spans="1:26" s="24" customFormat="1" hidden="1" outlineLevel="2" x14ac:dyDescent="0.25">
      <c r="A89" s="27"/>
      <c r="B89" s="11" t="str">
        <f>CONCATENATE("          ", "6253", " - ", "ROYALTY DUE ATHLETICS-LRG")</f>
        <v xml:space="preserve">          6253 - ROYALTY DUE ATHLETICS-LRG</v>
      </c>
      <c r="C89" s="11"/>
      <c r="D89" s="6"/>
      <c r="E89" s="2"/>
      <c r="F89" s="7">
        <f t="shared" si="52"/>
        <v>0</v>
      </c>
      <c r="G89" s="2"/>
      <c r="H89" s="6">
        <v>6000</v>
      </c>
      <c r="I89" s="2"/>
      <c r="J89" s="7">
        <f t="shared" si="53"/>
        <v>1.329186272164181E-2</v>
      </c>
      <c r="K89" s="2"/>
      <c r="L89" s="6">
        <f t="shared" si="54"/>
        <v>-6000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6000</v>
      </c>
      <c r="U89" s="2"/>
      <c r="V89" s="7">
        <f t="shared" si="57"/>
        <v>8.5557959100443625E-3</v>
      </c>
      <c r="W89" s="2"/>
      <c r="X89" s="6">
        <f t="shared" si="58"/>
        <v>-6000</v>
      </c>
      <c r="Y89" s="2"/>
      <c r="Z89" s="7">
        <f t="shared" si="59"/>
        <v>-1</v>
      </c>
    </row>
    <row r="90" spans="1:26" s="24" customFormat="1" hidden="1" outlineLevel="2" x14ac:dyDescent="0.25">
      <c r="A90" s="27"/>
      <c r="B90" s="11" t="str">
        <f>CONCATENATE("          ", "6254", " - ", "ROYALTY &amp; COMMISSIONS")</f>
        <v xml:space="preserve">          6254 - ROYALTY &amp; COMMISSIONS</v>
      </c>
      <c r="C90" s="11"/>
      <c r="D90" s="6">
        <v>10870.98</v>
      </c>
      <c r="E90" s="2"/>
      <c r="F90" s="7">
        <f t="shared" si="52"/>
        <v>3.1285187266839154E-2</v>
      </c>
      <c r="G90" s="2"/>
      <c r="H90" s="6"/>
      <c r="I90" s="2"/>
      <c r="J90" s="7">
        <f t="shared" si="53"/>
        <v>0</v>
      </c>
      <c r="K90" s="2"/>
      <c r="L90" s="6">
        <f t="shared" si="54"/>
        <v>10870.98</v>
      </c>
      <c r="M90" s="2"/>
      <c r="N90" s="7">
        <f t="shared" si="55"/>
        <v>0</v>
      </c>
      <c r="O90" s="11"/>
      <c r="P90" s="6">
        <v>24843.64</v>
      </c>
      <c r="Q90" s="2"/>
      <c r="R90" s="7">
        <f t="shared" si="56"/>
        <v>4.7146469088393941E-2</v>
      </c>
      <c r="S90" s="2"/>
      <c r="T90" s="6">
        <v>4117</v>
      </c>
      <c r="U90" s="2"/>
      <c r="V90" s="7">
        <f t="shared" si="57"/>
        <v>5.8707019602754398E-3</v>
      </c>
      <c r="W90" s="2"/>
      <c r="X90" s="6">
        <f t="shared" si="58"/>
        <v>20726.64</v>
      </c>
      <c r="Y90" s="2"/>
      <c r="Z90" s="7">
        <f t="shared" si="59"/>
        <v>5.0344036920087438</v>
      </c>
    </row>
    <row r="91" spans="1:26" s="24" customFormat="1" hidden="1" outlineLevel="2" x14ac:dyDescent="0.25">
      <c r="A91" s="27"/>
      <c r="B91" s="11" t="str">
        <f>CONCATENATE("          ", "6259", " - ", "ROYALTY &amp; COMMISSIONS")</f>
        <v xml:space="preserve">          6259 - ROYALTY &amp; COMMISSIONS</v>
      </c>
      <c r="C91" s="11"/>
      <c r="D91" s="6">
        <v>5972.96</v>
      </c>
      <c r="E91" s="2"/>
      <c r="F91" s="7">
        <f t="shared" si="52"/>
        <v>1.7189358469736824E-2</v>
      </c>
      <c r="G91" s="2"/>
      <c r="H91" s="6">
        <v>11200</v>
      </c>
      <c r="I91" s="2"/>
      <c r="J91" s="7">
        <f t="shared" si="53"/>
        <v>2.4811477080398048E-2</v>
      </c>
      <c r="K91" s="2"/>
      <c r="L91" s="6">
        <f t="shared" si="54"/>
        <v>-5227.04</v>
      </c>
      <c r="M91" s="2"/>
      <c r="N91" s="7">
        <f t="shared" si="55"/>
        <v>-0.4667</v>
      </c>
      <c r="O91" s="11"/>
      <c r="P91" s="6">
        <v>8858.4</v>
      </c>
      <c r="Q91" s="2"/>
      <c r="R91" s="7">
        <f t="shared" si="56"/>
        <v>1.6810832944473067E-2</v>
      </c>
      <c r="S91" s="2"/>
      <c r="T91" s="6">
        <v>16240</v>
      </c>
      <c r="U91" s="2"/>
      <c r="V91" s="7">
        <f t="shared" si="57"/>
        <v>2.3157687596520073E-2</v>
      </c>
      <c r="W91" s="2"/>
      <c r="X91" s="6">
        <f t="shared" si="58"/>
        <v>-7381.6</v>
      </c>
      <c r="Y91" s="2"/>
      <c r="Z91" s="7">
        <f t="shared" si="59"/>
        <v>-0.45453201970443352</v>
      </c>
    </row>
    <row r="92" spans="1:26" s="26" customFormat="1" outlineLevel="1" collapsed="1" x14ac:dyDescent="0.25">
      <c r="A92" s="25"/>
      <c r="B92" s="13" t="str">
        <f>CONCATENATE("     ","Services                                          ")</f>
        <v xml:space="preserve">     Services                                          </v>
      </c>
      <c r="C92" s="13"/>
      <c r="D92" s="1">
        <f>SUM(OSRRefD22_16x_0)</f>
        <v>17396.48</v>
      </c>
      <c r="E92" s="1"/>
      <c r="F92" s="5">
        <f t="shared" ref="F92:F97" si="60">IF(D$12=0,0,D92/D$12)</f>
        <v>5.0064679962967651E-2</v>
      </c>
      <c r="G92" s="1"/>
      <c r="H92" s="1">
        <f>SUM(OSRRefH22_16x_0)</f>
        <v>21252</v>
      </c>
      <c r="I92" s="1"/>
      <c r="J92" s="5">
        <f t="shared" ref="J92:J97" si="61">IF(H$12=0,0,H92/H$12)</f>
        <v>4.7079777760055293E-2</v>
      </c>
      <c r="K92" s="1"/>
      <c r="L92" s="1">
        <f t="shared" ref="L92:L97" si="62">+D92-H92</f>
        <v>-3855.5200000000004</v>
      </c>
      <c r="M92" s="1"/>
      <c r="N92" s="5">
        <f t="shared" ref="N92:N97" si="63">IF(H92=0,0,L92/H92)</f>
        <v>-0.18141916054959537</v>
      </c>
      <c r="O92" s="13"/>
      <c r="P92" s="1">
        <f>SUM(OSRRefP22_16x_0)</f>
        <v>39071.78</v>
      </c>
      <c r="Q92" s="1"/>
      <c r="R92" s="5">
        <f t="shared" ref="R92:R97" si="64">IF(P$12=0,0,P92/P$12)</f>
        <v>7.414760751639167E-2</v>
      </c>
      <c r="S92" s="1"/>
      <c r="T92" s="1">
        <f>SUM(OSRRefT22_16x_0)</f>
        <v>43491</v>
      </c>
      <c r="U92" s="1"/>
      <c r="V92" s="5">
        <f t="shared" ref="V92:V97" si="65">IF(T$12=0,0,T92/T$12)</f>
        <v>6.2016686653956557E-2</v>
      </c>
      <c r="W92" s="1"/>
      <c r="X92" s="1">
        <f t="shared" ref="X92:X97" si="66">+P92-T92</f>
        <v>-4419.2200000000012</v>
      </c>
      <c r="Y92" s="1"/>
      <c r="Z92" s="5">
        <f t="shared" ref="Z92:Z97" si="67">IF(T92=0,0,X92/T92)</f>
        <v>-0.1016122875997333</v>
      </c>
    </row>
    <row r="93" spans="1:26" s="24" customFormat="1" hidden="1" outlineLevel="2" x14ac:dyDescent="0.25">
      <c r="A93" s="27"/>
      <c r="B93" s="11" t="str">
        <f>CONCATENATE("          ", "6282", " - ", "JANITORIAL/EXTERMINATOR EXPENS")</f>
        <v xml:space="preserve">          6282 - JANITORIAL/EXTERMINATOR EXPENS</v>
      </c>
      <c r="C93" s="11"/>
      <c r="D93" s="6">
        <v>1277.57</v>
      </c>
      <c r="E93" s="2"/>
      <c r="F93" s="7">
        <f t="shared" si="60"/>
        <v>3.6766709805827716E-3</v>
      </c>
      <c r="G93" s="2"/>
      <c r="H93" s="6">
        <v>1345</v>
      </c>
      <c r="I93" s="2"/>
      <c r="J93" s="7">
        <f t="shared" si="61"/>
        <v>2.9795925601013725E-3</v>
      </c>
      <c r="K93" s="2"/>
      <c r="L93" s="6">
        <f t="shared" si="62"/>
        <v>-67.430000000000064</v>
      </c>
      <c r="M93" s="2"/>
      <c r="N93" s="7">
        <f t="shared" si="63"/>
        <v>-5.0133828996282576E-2</v>
      </c>
      <c r="O93" s="11"/>
      <c r="P93" s="6">
        <v>2555.14</v>
      </c>
      <c r="Q93" s="2"/>
      <c r="R93" s="7">
        <f t="shared" si="64"/>
        <v>4.8489604996095137E-3</v>
      </c>
      <c r="S93" s="2"/>
      <c r="T93" s="6">
        <v>2495</v>
      </c>
      <c r="U93" s="2"/>
      <c r="V93" s="7">
        <f t="shared" si="65"/>
        <v>3.557785132593447E-3</v>
      </c>
      <c r="W93" s="2"/>
      <c r="X93" s="6">
        <f t="shared" si="66"/>
        <v>60.139999999999873</v>
      </c>
      <c r="Y93" s="2"/>
      <c r="Z93" s="7">
        <f t="shared" si="67"/>
        <v>2.4104208416833615E-2</v>
      </c>
    </row>
    <row r="94" spans="1:26" s="24" customFormat="1" hidden="1" outlineLevel="2" x14ac:dyDescent="0.25">
      <c r="A94" s="27"/>
      <c r="B94" s="11" t="str">
        <f>CONCATENATE("          ", "6283", " - ", "PLANT SERVICE")</f>
        <v xml:space="preserve">          6283 - PLANT SERVICE</v>
      </c>
      <c r="C94" s="11"/>
      <c r="D94" s="6">
        <v>199.78</v>
      </c>
      <c r="E94" s="2"/>
      <c r="F94" s="7">
        <f t="shared" si="60"/>
        <v>5.7493939940733284E-4</v>
      </c>
      <c r="G94" s="2"/>
      <c r="H94" s="6">
        <v>185</v>
      </c>
      <c r="I94" s="2"/>
      <c r="J94" s="7">
        <f t="shared" si="61"/>
        <v>4.0983243391728915E-4</v>
      </c>
      <c r="K94" s="2"/>
      <c r="L94" s="6">
        <f t="shared" si="62"/>
        <v>14.780000000000001</v>
      </c>
      <c r="M94" s="2"/>
      <c r="N94" s="7">
        <f t="shared" si="63"/>
        <v>7.98918918918919E-2</v>
      </c>
      <c r="O94" s="11"/>
      <c r="P94" s="6">
        <v>399.56</v>
      </c>
      <c r="Q94" s="2"/>
      <c r="R94" s="7">
        <f t="shared" si="64"/>
        <v>7.582561649161992E-4</v>
      </c>
      <c r="S94" s="2"/>
      <c r="T94" s="6">
        <v>335</v>
      </c>
      <c r="U94" s="2"/>
      <c r="V94" s="7">
        <f t="shared" si="65"/>
        <v>4.7769860497747689E-4</v>
      </c>
      <c r="W94" s="2"/>
      <c r="X94" s="6">
        <f t="shared" si="66"/>
        <v>64.56</v>
      </c>
      <c r="Y94" s="2"/>
      <c r="Z94" s="7">
        <f t="shared" si="67"/>
        <v>0.19271641791044777</v>
      </c>
    </row>
    <row r="95" spans="1:26" s="24" customFormat="1" hidden="1" outlineLevel="2" x14ac:dyDescent="0.25">
      <c r="A95" s="27"/>
      <c r="B95" s="11" t="str">
        <f>CONCATENATE("          ", "6284", " - ", "TRASH REMOVAL EXPENSE")</f>
        <v xml:space="preserve">          6284 - TRASH REMOVAL EXPENSE</v>
      </c>
      <c r="C95" s="11"/>
      <c r="D95" s="6"/>
      <c r="E95" s="2"/>
      <c r="F95" s="7">
        <f t="shared" si="60"/>
        <v>0</v>
      </c>
      <c r="G95" s="2"/>
      <c r="H95" s="6">
        <v>3515</v>
      </c>
      <c r="I95" s="2"/>
      <c r="J95" s="7">
        <f t="shared" si="61"/>
        <v>7.7868162444284942E-3</v>
      </c>
      <c r="K95" s="2"/>
      <c r="L95" s="6">
        <f t="shared" si="62"/>
        <v>-3515</v>
      </c>
      <c r="M95" s="2"/>
      <c r="N95" s="7">
        <f t="shared" si="63"/>
        <v>-1</v>
      </c>
      <c r="O95" s="11"/>
      <c r="P95" s="6">
        <v>4199</v>
      </c>
      <c r="Q95" s="2"/>
      <c r="R95" s="7">
        <f t="shared" si="64"/>
        <v>7.9685595066651335E-3</v>
      </c>
      <c r="S95" s="2"/>
      <c r="T95" s="6">
        <v>7030</v>
      </c>
      <c r="U95" s="2"/>
      <c r="V95" s="7">
        <f t="shared" si="65"/>
        <v>1.0024540874601978E-2</v>
      </c>
      <c r="W95" s="2"/>
      <c r="X95" s="6">
        <f t="shared" si="66"/>
        <v>-2831</v>
      </c>
      <c r="Y95" s="2"/>
      <c r="Z95" s="7">
        <f t="shared" si="67"/>
        <v>-0.4027027027027027</v>
      </c>
    </row>
    <row r="96" spans="1:26" s="24" customFormat="1" hidden="1" outlineLevel="2" x14ac:dyDescent="0.25">
      <c r="A96" s="27"/>
      <c r="B96" s="11" t="str">
        <f>CONCATENATE("          ", "6285", " - ", "JANITORIAL SERVICES")</f>
        <v xml:space="preserve">          6285 - JANITORIAL SERVICES</v>
      </c>
      <c r="C96" s="11"/>
      <c r="D96" s="6">
        <v>13244.46</v>
      </c>
      <c r="E96" s="2"/>
      <c r="F96" s="7">
        <f t="shared" si="60"/>
        <v>3.8115736699741928E-2</v>
      </c>
      <c r="G96" s="2"/>
      <c r="H96" s="6">
        <v>13184</v>
      </c>
      <c r="I96" s="2"/>
      <c r="J96" s="7">
        <f t="shared" si="61"/>
        <v>2.9206653020354273E-2</v>
      </c>
      <c r="K96" s="2"/>
      <c r="L96" s="6">
        <f t="shared" si="62"/>
        <v>60.459999999999127</v>
      </c>
      <c r="M96" s="2"/>
      <c r="N96" s="7">
        <f t="shared" si="63"/>
        <v>4.5858616504853705E-3</v>
      </c>
      <c r="O96" s="11"/>
      <c r="P96" s="6">
        <v>26138.92</v>
      </c>
      <c r="Q96" s="2"/>
      <c r="R96" s="7">
        <f t="shared" si="64"/>
        <v>4.9604558099537829E-2</v>
      </c>
      <c r="S96" s="2"/>
      <c r="T96" s="6">
        <v>26440</v>
      </c>
      <c r="U96" s="2"/>
      <c r="V96" s="7">
        <f t="shared" si="65"/>
        <v>3.7702540643595489E-2</v>
      </c>
      <c r="W96" s="2"/>
      <c r="X96" s="6">
        <f t="shared" si="66"/>
        <v>-301.08000000000175</v>
      </c>
      <c r="Y96" s="2"/>
      <c r="Z96" s="7">
        <f t="shared" si="67"/>
        <v>-1.1387291981845755E-2</v>
      </c>
    </row>
    <row r="97" spans="1:26" s="24" customFormat="1" hidden="1" outlineLevel="2" x14ac:dyDescent="0.25">
      <c r="A97" s="27"/>
      <c r="B97" s="11" t="str">
        <f>CONCATENATE("          ", "6286", " - ", "LAUNDRY EXPENSE")</f>
        <v xml:space="preserve">          6286 - LAUNDRY EXPENSE</v>
      </c>
      <c r="C97" s="11"/>
      <c r="D97" s="6">
        <v>2674.67</v>
      </c>
      <c r="E97" s="2"/>
      <c r="F97" s="7">
        <f t="shared" si="60"/>
        <v>7.6973328832356134E-3</v>
      </c>
      <c r="G97" s="2"/>
      <c r="H97" s="6">
        <v>3023</v>
      </c>
      <c r="I97" s="2"/>
      <c r="J97" s="7">
        <f t="shared" si="61"/>
        <v>6.6968835012538655E-3</v>
      </c>
      <c r="K97" s="2"/>
      <c r="L97" s="6">
        <f t="shared" si="62"/>
        <v>-348.32999999999993</v>
      </c>
      <c r="M97" s="2"/>
      <c r="N97" s="7">
        <f t="shared" si="63"/>
        <v>-0.11522659609659276</v>
      </c>
      <c r="O97" s="11"/>
      <c r="P97" s="6">
        <v>5779.16</v>
      </c>
      <c r="Q97" s="2"/>
      <c r="R97" s="7">
        <f t="shared" si="64"/>
        <v>1.0967273245662983E-2</v>
      </c>
      <c r="S97" s="2"/>
      <c r="T97" s="6">
        <v>7191</v>
      </c>
      <c r="U97" s="2"/>
      <c r="V97" s="7">
        <f t="shared" si="65"/>
        <v>1.0254121398188168E-2</v>
      </c>
      <c r="W97" s="2"/>
      <c r="X97" s="6">
        <f t="shared" si="66"/>
        <v>-1411.8400000000001</v>
      </c>
      <c r="Y97" s="2"/>
      <c r="Z97" s="7">
        <f t="shared" si="67"/>
        <v>-0.19633430677235436</v>
      </c>
    </row>
    <row r="98" spans="1:26" s="26" customFormat="1" outlineLevel="1" collapsed="1" x14ac:dyDescent="0.25">
      <c r="A98" s="25"/>
      <c r="B98" s="13" t="str">
        <f>CONCATENATE("     ","Subscriptions &amp; Dues                              ")</f>
        <v xml:space="preserve">     Subscriptions &amp; Dues                              </v>
      </c>
      <c r="C98" s="13"/>
      <c r="D98" s="1">
        <f>SUM(OSRRefD22_17x_0)</f>
        <v>454.78</v>
      </c>
      <c r="E98" s="1"/>
      <c r="F98" s="5">
        <f t="shared" ref="F98:F110" si="68">IF(D$12=0,0,D98/D$12)</f>
        <v>1.3087943741238702E-3</v>
      </c>
      <c r="G98" s="1"/>
      <c r="H98" s="1">
        <f>SUM(OSRRefH22_17x_0)</f>
        <v>394</v>
      </c>
      <c r="I98" s="1"/>
      <c r="J98" s="5">
        <f t="shared" ref="J98:J110" si="69">IF(H$12=0,0,H98/H$12)</f>
        <v>8.7283231872114554E-4</v>
      </c>
      <c r="K98" s="1"/>
      <c r="L98" s="1">
        <f t="shared" ref="L98:L110" si="70">+D98-H98</f>
        <v>60.779999999999973</v>
      </c>
      <c r="M98" s="1"/>
      <c r="N98" s="5">
        <f t="shared" ref="N98:N110" si="71">IF(H98=0,0,L98/H98)</f>
        <v>0.15426395939086288</v>
      </c>
      <c r="O98" s="13"/>
      <c r="P98" s="1">
        <f>SUM(OSRRefP22_17x_0)</f>
        <v>848.2</v>
      </c>
      <c r="Q98" s="1"/>
      <c r="R98" s="5">
        <f t="shared" ref="R98:R110" si="72">IF(P$12=0,0,P98/P$12)</f>
        <v>1.6096528158021828E-3</v>
      </c>
      <c r="S98" s="1"/>
      <c r="T98" s="1">
        <f>SUM(OSRRefT22_17x_0)</f>
        <v>788</v>
      </c>
      <c r="U98" s="1"/>
      <c r="V98" s="5">
        <f t="shared" ref="V98:V110" si="73">IF(T$12=0,0,T98/T$12)</f>
        <v>1.1236611961858262E-3</v>
      </c>
      <c r="W98" s="1"/>
      <c r="X98" s="1">
        <f t="shared" ref="X98:X110" si="74">+P98-T98</f>
        <v>60.200000000000045</v>
      </c>
      <c r="Y98" s="1"/>
      <c r="Z98" s="5">
        <f t="shared" ref="Z98:Z110" si="75">IF(T98=0,0,X98/T98)</f>
        <v>7.6395939086294468E-2</v>
      </c>
    </row>
    <row r="99" spans="1:26" s="24" customFormat="1" hidden="1" outlineLevel="2" x14ac:dyDescent="0.25">
      <c r="A99" s="27"/>
      <c r="B99" s="11" t="str">
        <f>CONCATENATE("          ", "6275", " - ", "SUBSCRIPTIONS")</f>
        <v xml:space="preserve">          6275 - SUBSCRIPTIONS</v>
      </c>
      <c r="C99" s="11"/>
      <c r="D99" s="6">
        <v>454.78</v>
      </c>
      <c r="E99" s="2"/>
      <c r="F99" s="7">
        <f t="shared" si="68"/>
        <v>1.3087943741238702E-3</v>
      </c>
      <c r="G99" s="2"/>
      <c r="H99" s="6">
        <v>394</v>
      </c>
      <c r="I99" s="2"/>
      <c r="J99" s="7">
        <f t="shared" si="69"/>
        <v>8.7283231872114554E-4</v>
      </c>
      <c r="K99" s="2"/>
      <c r="L99" s="6">
        <f t="shared" si="70"/>
        <v>60.779999999999973</v>
      </c>
      <c r="M99" s="2"/>
      <c r="N99" s="7">
        <f t="shared" si="71"/>
        <v>0.15426395939086288</v>
      </c>
      <c r="O99" s="11"/>
      <c r="P99" s="6">
        <v>848.2</v>
      </c>
      <c r="Q99" s="2"/>
      <c r="R99" s="7">
        <f t="shared" si="72"/>
        <v>1.6096528158021828E-3</v>
      </c>
      <c r="S99" s="2"/>
      <c r="T99" s="6">
        <v>788</v>
      </c>
      <c r="U99" s="2"/>
      <c r="V99" s="7">
        <f t="shared" si="73"/>
        <v>1.1236611961858262E-3</v>
      </c>
      <c r="W99" s="2"/>
      <c r="X99" s="6">
        <f t="shared" si="74"/>
        <v>60.200000000000045</v>
      </c>
      <c r="Y99" s="2"/>
      <c r="Z99" s="7">
        <f t="shared" si="75"/>
        <v>7.6395939086294468E-2</v>
      </c>
    </row>
    <row r="100" spans="1:26" s="26" customFormat="1" outlineLevel="1" collapsed="1" x14ac:dyDescent="0.25">
      <c r="A100" s="25"/>
      <c r="B100" s="13" t="str">
        <f>CONCATENATE("     ","Supplies                                          ")</f>
        <v xml:space="preserve">     Supplies                                          </v>
      </c>
      <c r="C100" s="13"/>
      <c r="D100" s="1">
        <f>SUM(OSRRefD22_18x_0)</f>
        <v>18396.62</v>
      </c>
      <c r="E100" s="1"/>
      <c r="F100" s="5">
        <f t="shared" si="68"/>
        <v>5.2942945509685285E-2</v>
      </c>
      <c r="G100" s="1"/>
      <c r="H100" s="1">
        <f>SUM(OSRRefH22_18x_0)</f>
        <v>16202.43</v>
      </c>
      <c r="I100" s="1"/>
      <c r="J100" s="5">
        <f t="shared" si="69"/>
        <v>3.5893412552835152E-2</v>
      </c>
      <c r="K100" s="1"/>
      <c r="L100" s="1">
        <f t="shared" si="70"/>
        <v>2194.1899999999987</v>
      </c>
      <c r="M100" s="1"/>
      <c r="N100" s="5">
        <f t="shared" si="71"/>
        <v>0.13542351363344873</v>
      </c>
      <c r="O100" s="13"/>
      <c r="P100" s="1">
        <f>SUM(OSRRefP22_18x_0)</f>
        <v>35201.42</v>
      </c>
      <c r="Q100" s="1"/>
      <c r="R100" s="5">
        <f t="shared" si="72"/>
        <v>6.6802717311053139E-2</v>
      </c>
      <c r="S100" s="1"/>
      <c r="T100" s="1">
        <f>SUM(OSRRefT22_18x_0)</f>
        <v>42607.33</v>
      </c>
      <c r="U100" s="1"/>
      <c r="V100" s="5">
        <f t="shared" si="73"/>
        <v>6.0756603291985074E-2</v>
      </c>
      <c r="W100" s="1"/>
      <c r="X100" s="1">
        <f t="shared" si="74"/>
        <v>-7405.9100000000035</v>
      </c>
      <c r="Y100" s="1"/>
      <c r="Z100" s="5">
        <f t="shared" si="75"/>
        <v>-0.17381774450546428</v>
      </c>
    </row>
    <row r="101" spans="1:26" s="24" customFormat="1" hidden="1" outlineLevel="2" x14ac:dyDescent="0.25">
      <c r="A101" s="27"/>
      <c r="B101" s="11" t="str">
        <f>CONCATENATE("          ", "6234", " - ", "EXPENDABLE SUPPLIES &amp; EQUIPMEN")</f>
        <v xml:space="preserve">          6234 - EXPENDABLE SUPPLIES &amp; EQUIPMEN</v>
      </c>
      <c r="C101" s="11"/>
      <c r="D101" s="6"/>
      <c r="E101" s="2"/>
      <c r="F101" s="7">
        <f t="shared" si="68"/>
        <v>0</v>
      </c>
      <c r="G101" s="2"/>
      <c r="H101" s="6">
        <v>1200</v>
      </c>
      <c r="I101" s="2"/>
      <c r="J101" s="7">
        <f t="shared" si="69"/>
        <v>2.6583725443283623E-3</v>
      </c>
      <c r="K101" s="2"/>
      <c r="L101" s="6">
        <f t="shared" si="70"/>
        <v>-1200</v>
      </c>
      <c r="M101" s="2"/>
      <c r="N101" s="7">
        <f t="shared" si="71"/>
        <v>-1</v>
      </c>
      <c r="O101" s="11"/>
      <c r="P101" s="6"/>
      <c r="Q101" s="2"/>
      <c r="R101" s="7">
        <f t="shared" si="72"/>
        <v>0</v>
      </c>
      <c r="S101" s="2"/>
      <c r="T101" s="6">
        <v>1900</v>
      </c>
      <c r="U101" s="2"/>
      <c r="V101" s="7">
        <f t="shared" si="73"/>
        <v>2.709335371514048E-3</v>
      </c>
      <c r="W101" s="2"/>
      <c r="X101" s="6">
        <f t="shared" si="74"/>
        <v>-1900</v>
      </c>
      <c r="Y101" s="2"/>
      <c r="Z101" s="7">
        <f t="shared" si="75"/>
        <v>-1</v>
      </c>
    </row>
    <row r="102" spans="1:26" s="24" customFormat="1" hidden="1" outlineLevel="2" x14ac:dyDescent="0.25">
      <c r="A102" s="27"/>
      <c r="B102" s="11" t="str">
        <f>CONCATENATE("          ", "6237", " - ", "JANITORIAL SUPPLIES")</f>
        <v xml:space="preserve">          6237 - JANITORIAL SUPPLIES</v>
      </c>
      <c r="C102" s="11"/>
      <c r="D102" s="6">
        <v>3466.18</v>
      </c>
      <c r="E102" s="2"/>
      <c r="F102" s="7">
        <f t="shared" si="68"/>
        <v>9.9751899461292867E-3</v>
      </c>
      <c r="G102" s="2"/>
      <c r="H102" s="6">
        <v>4511</v>
      </c>
      <c r="I102" s="2"/>
      <c r="J102" s="7">
        <f t="shared" si="69"/>
        <v>9.9932654562210343E-3</v>
      </c>
      <c r="K102" s="2"/>
      <c r="L102" s="6">
        <f t="shared" si="70"/>
        <v>-1044.8200000000002</v>
      </c>
      <c r="M102" s="2"/>
      <c r="N102" s="7">
        <f t="shared" si="71"/>
        <v>-0.23161604965639551</v>
      </c>
      <c r="O102" s="11"/>
      <c r="P102" s="6">
        <v>7340.5</v>
      </c>
      <c r="Q102" s="2"/>
      <c r="R102" s="7">
        <f t="shared" si="72"/>
        <v>1.3930271745338273E-2</v>
      </c>
      <c r="S102" s="2"/>
      <c r="T102" s="6">
        <v>9722</v>
      </c>
      <c r="U102" s="2"/>
      <c r="V102" s="7">
        <f t="shared" si="73"/>
        <v>1.3863241306241881E-2</v>
      </c>
      <c r="W102" s="2"/>
      <c r="X102" s="6">
        <f t="shared" si="74"/>
        <v>-2381.5</v>
      </c>
      <c r="Y102" s="2"/>
      <c r="Z102" s="7">
        <f t="shared" si="75"/>
        <v>-0.2449598847973668</v>
      </c>
    </row>
    <row r="103" spans="1:26" s="24" customFormat="1" hidden="1" outlineLevel="2" x14ac:dyDescent="0.25">
      <c r="A103" s="27"/>
      <c r="B103" s="11" t="str">
        <f>CONCATENATE("          ", "6239", " - ", "KITCHEN SUPPLIES")</f>
        <v xml:space="preserve">          6239 - KITCHEN SUPPLIES</v>
      </c>
      <c r="C103" s="11"/>
      <c r="D103" s="6">
        <v>4005.05</v>
      </c>
      <c r="E103" s="2"/>
      <c r="F103" s="7">
        <f t="shared" si="68"/>
        <v>1.1525983790150858E-2</v>
      </c>
      <c r="G103" s="2"/>
      <c r="H103" s="6">
        <v>900</v>
      </c>
      <c r="I103" s="2"/>
      <c r="J103" s="7">
        <f t="shared" si="69"/>
        <v>1.9937794082462716E-3</v>
      </c>
      <c r="K103" s="2"/>
      <c r="L103" s="6">
        <f t="shared" si="70"/>
        <v>3105.05</v>
      </c>
      <c r="M103" s="2"/>
      <c r="N103" s="7">
        <f t="shared" si="71"/>
        <v>3.4500555555555557</v>
      </c>
      <c r="O103" s="11"/>
      <c r="P103" s="6">
        <v>10424.58</v>
      </c>
      <c r="Q103" s="2"/>
      <c r="R103" s="7">
        <f t="shared" si="72"/>
        <v>1.978301644724725E-2</v>
      </c>
      <c r="S103" s="2"/>
      <c r="T103" s="6">
        <v>11966</v>
      </c>
      <c r="U103" s="2"/>
      <c r="V103" s="7">
        <f t="shared" si="73"/>
        <v>1.7063108976598473E-2</v>
      </c>
      <c r="W103" s="2"/>
      <c r="X103" s="6">
        <f t="shared" si="74"/>
        <v>-1541.42</v>
      </c>
      <c r="Y103" s="2"/>
      <c r="Z103" s="7">
        <f t="shared" si="75"/>
        <v>-0.12881664716697311</v>
      </c>
    </row>
    <row r="104" spans="1:26" s="24" customFormat="1" hidden="1" outlineLevel="2" x14ac:dyDescent="0.25">
      <c r="A104" s="27"/>
      <c r="B104" s="11" t="str">
        <f>CONCATENATE("          ", "6241", " - ", "OFFICE EXPENSE")</f>
        <v xml:space="preserve">          6241 - OFFICE EXPENSE</v>
      </c>
      <c r="C104" s="11"/>
      <c r="D104" s="6">
        <v>4183.38</v>
      </c>
      <c r="E104" s="2"/>
      <c r="F104" s="7">
        <f t="shared" si="68"/>
        <v>1.2039193035802623E-2</v>
      </c>
      <c r="G104" s="2"/>
      <c r="H104" s="6">
        <v>1020</v>
      </c>
      <c r="I104" s="2"/>
      <c r="J104" s="7">
        <f t="shared" si="69"/>
        <v>2.2596166626791077E-3</v>
      </c>
      <c r="K104" s="2"/>
      <c r="L104" s="6">
        <f t="shared" si="70"/>
        <v>3163.38</v>
      </c>
      <c r="M104" s="2"/>
      <c r="N104" s="7">
        <f t="shared" si="71"/>
        <v>3.1013529411764709</v>
      </c>
      <c r="O104" s="11"/>
      <c r="P104" s="6">
        <v>6928.28</v>
      </c>
      <c r="Q104" s="2"/>
      <c r="R104" s="7">
        <f t="shared" si="72"/>
        <v>1.314799034504356E-2</v>
      </c>
      <c r="S104" s="2"/>
      <c r="T104" s="6">
        <v>2221.25</v>
      </c>
      <c r="U104" s="2"/>
      <c r="V104" s="7">
        <f t="shared" si="73"/>
        <v>3.1674269441976733E-3</v>
      </c>
      <c r="W104" s="2"/>
      <c r="X104" s="6">
        <f t="shared" si="74"/>
        <v>4707.03</v>
      </c>
      <c r="Y104" s="2"/>
      <c r="Z104" s="7">
        <f t="shared" si="75"/>
        <v>2.1190906021384355</v>
      </c>
    </row>
    <row r="105" spans="1:26" s="24" customFormat="1" hidden="1" outlineLevel="2" x14ac:dyDescent="0.25">
      <c r="A105" s="27"/>
      <c r="B105" s="11" t="str">
        <f>CONCATENATE("          ", "6243", " - ", "PAPER SUPPLIES")</f>
        <v xml:space="preserve">          6243 - PAPER SUPPLIES</v>
      </c>
      <c r="C105" s="11"/>
      <c r="D105" s="6">
        <v>3713.48</v>
      </c>
      <c r="E105" s="2"/>
      <c r="F105" s="7">
        <f t="shared" si="68"/>
        <v>1.068688537847203E-2</v>
      </c>
      <c r="G105" s="2"/>
      <c r="H105" s="6">
        <v>4015</v>
      </c>
      <c r="I105" s="2"/>
      <c r="J105" s="7">
        <f t="shared" si="69"/>
        <v>8.8944714712319781E-3</v>
      </c>
      <c r="K105" s="2"/>
      <c r="L105" s="6">
        <f t="shared" si="70"/>
        <v>-301.52</v>
      </c>
      <c r="M105" s="2"/>
      <c r="N105" s="7">
        <f t="shared" si="71"/>
        <v>-7.5098381070983808E-2</v>
      </c>
      <c r="O105" s="11"/>
      <c r="P105" s="6">
        <v>6551.79</v>
      </c>
      <c r="Q105" s="2"/>
      <c r="R105" s="7">
        <f t="shared" si="72"/>
        <v>1.2433514763080151E-2</v>
      </c>
      <c r="S105" s="2"/>
      <c r="T105" s="6">
        <v>6295</v>
      </c>
      <c r="U105" s="2"/>
      <c r="V105" s="7">
        <f t="shared" si="73"/>
        <v>8.9764558756215435E-3</v>
      </c>
      <c r="W105" s="2"/>
      <c r="X105" s="6">
        <f t="shared" si="74"/>
        <v>256.78999999999996</v>
      </c>
      <c r="Y105" s="2"/>
      <c r="Z105" s="7">
        <f t="shared" si="75"/>
        <v>4.0792692613185064E-2</v>
      </c>
    </row>
    <row r="106" spans="1:26" s="24" customFormat="1" hidden="1" outlineLevel="2" x14ac:dyDescent="0.25">
      <c r="A106" s="27"/>
      <c r="B106" s="11" t="str">
        <f>CONCATENATE("          ", "6244", " - ", "SAFETY SUPPLY EXPENSE")</f>
        <v xml:space="preserve">          6244 - SAFETY SUPPLY EXPENSE</v>
      </c>
      <c r="C106" s="11"/>
      <c r="D106" s="6"/>
      <c r="E106" s="2"/>
      <c r="F106" s="7">
        <f t="shared" si="68"/>
        <v>0</v>
      </c>
      <c r="G106" s="2"/>
      <c r="H106" s="6">
        <v>110</v>
      </c>
      <c r="I106" s="2"/>
      <c r="J106" s="7">
        <f t="shared" si="69"/>
        <v>2.4368414989676653E-4</v>
      </c>
      <c r="K106" s="2"/>
      <c r="L106" s="6">
        <f t="shared" si="70"/>
        <v>-110</v>
      </c>
      <c r="M106" s="2"/>
      <c r="N106" s="7">
        <f t="shared" si="71"/>
        <v>-1</v>
      </c>
      <c r="O106" s="11"/>
      <c r="P106" s="6"/>
      <c r="Q106" s="2"/>
      <c r="R106" s="7">
        <f t="shared" si="72"/>
        <v>0</v>
      </c>
      <c r="S106" s="2"/>
      <c r="T106" s="6">
        <v>220</v>
      </c>
      <c r="U106" s="2"/>
      <c r="V106" s="7">
        <f t="shared" si="73"/>
        <v>3.1371251670162659E-4</v>
      </c>
      <c r="W106" s="2"/>
      <c r="X106" s="6">
        <f t="shared" si="74"/>
        <v>-220</v>
      </c>
      <c r="Y106" s="2"/>
      <c r="Z106" s="7">
        <f t="shared" si="75"/>
        <v>-1</v>
      </c>
    </row>
    <row r="107" spans="1:26" s="24" customFormat="1" hidden="1" outlineLevel="2" x14ac:dyDescent="0.25">
      <c r="A107" s="27"/>
      <c r="B107" s="11" t="str">
        <f>CONCATENATE("          ", "6245", " - ", "PRINTING")</f>
        <v xml:space="preserve">          6245 - PRINTING</v>
      </c>
      <c r="C107" s="11"/>
      <c r="D107" s="6">
        <v>33.159999999999997</v>
      </c>
      <c r="E107" s="2"/>
      <c r="F107" s="7">
        <f t="shared" si="68"/>
        <v>9.5429925339609337E-5</v>
      </c>
      <c r="G107" s="2"/>
      <c r="H107" s="6">
        <v>600</v>
      </c>
      <c r="I107" s="2"/>
      <c r="J107" s="7">
        <f t="shared" si="69"/>
        <v>1.3291862721641812E-3</v>
      </c>
      <c r="K107" s="2"/>
      <c r="L107" s="6">
        <f t="shared" si="70"/>
        <v>-566.84</v>
      </c>
      <c r="M107" s="2"/>
      <c r="N107" s="7">
        <f t="shared" si="71"/>
        <v>-0.94473333333333342</v>
      </c>
      <c r="O107" s="11"/>
      <c r="P107" s="6">
        <v>170.92</v>
      </c>
      <c r="Q107" s="2"/>
      <c r="R107" s="7">
        <f t="shared" si="72"/>
        <v>3.2435965488906987E-4</v>
      </c>
      <c r="S107" s="2"/>
      <c r="T107" s="6">
        <v>650</v>
      </c>
      <c r="U107" s="2"/>
      <c r="V107" s="7">
        <f t="shared" si="73"/>
        <v>9.2687789025480585E-4</v>
      </c>
      <c r="W107" s="2"/>
      <c r="X107" s="6">
        <f t="shared" si="74"/>
        <v>-479.08000000000004</v>
      </c>
      <c r="Y107" s="2"/>
      <c r="Z107" s="7">
        <f t="shared" si="75"/>
        <v>-0.73704615384615391</v>
      </c>
    </row>
    <row r="108" spans="1:26" s="24" customFormat="1" hidden="1" outlineLevel="2" x14ac:dyDescent="0.25">
      <c r="A108" s="27"/>
      <c r="B108" s="11" t="str">
        <f>CONCATENATE("          ", "6246", " - ", "REPLACEMENTS")</f>
        <v xml:space="preserve">          6246 - REPLACEMENTS</v>
      </c>
      <c r="C108" s="11"/>
      <c r="D108" s="6"/>
      <c r="E108" s="2"/>
      <c r="F108" s="7">
        <f t="shared" si="68"/>
        <v>0</v>
      </c>
      <c r="G108" s="2"/>
      <c r="H108" s="6"/>
      <c r="I108" s="2"/>
      <c r="J108" s="7">
        <f t="shared" si="69"/>
        <v>0</v>
      </c>
      <c r="K108" s="2"/>
      <c r="L108" s="6">
        <f t="shared" si="70"/>
        <v>0</v>
      </c>
      <c r="M108" s="2"/>
      <c r="N108" s="7">
        <f t="shared" si="71"/>
        <v>0</v>
      </c>
      <c r="O108" s="11"/>
      <c r="P108" s="6"/>
      <c r="Q108" s="2"/>
      <c r="R108" s="7">
        <f t="shared" si="72"/>
        <v>0</v>
      </c>
      <c r="S108" s="2"/>
      <c r="T108" s="6">
        <v>2400</v>
      </c>
      <c r="U108" s="2"/>
      <c r="V108" s="7">
        <f t="shared" si="73"/>
        <v>3.4223183640177449E-3</v>
      </c>
      <c r="W108" s="2"/>
      <c r="X108" s="6">
        <f t="shared" si="74"/>
        <v>-2400</v>
      </c>
      <c r="Y108" s="2"/>
      <c r="Z108" s="7">
        <f t="shared" si="75"/>
        <v>-1</v>
      </c>
    </row>
    <row r="109" spans="1:26" s="24" customFormat="1" hidden="1" outlineLevel="2" x14ac:dyDescent="0.25">
      <c r="A109" s="27"/>
      <c r="B109" s="11" t="str">
        <f>CONCATENATE("          ", "6247", " - ", "STORE SUPPLIES")</f>
        <v xml:space="preserve">          6247 - STORE SUPPLIES</v>
      </c>
      <c r="C109" s="11"/>
      <c r="D109" s="6">
        <v>900.33</v>
      </c>
      <c r="E109" s="2"/>
      <c r="F109" s="7">
        <f t="shared" si="68"/>
        <v>2.5910260760256482E-3</v>
      </c>
      <c r="G109" s="2"/>
      <c r="H109" s="6">
        <v>2046.43</v>
      </c>
      <c r="I109" s="2"/>
      <c r="J109" s="7">
        <f t="shared" si="69"/>
        <v>4.5334777715749083E-3</v>
      </c>
      <c r="K109" s="2"/>
      <c r="L109" s="6">
        <f t="shared" si="70"/>
        <v>-1146.0999999999999</v>
      </c>
      <c r="M109" s="2"/>
      <c r="N109" s="7">
        <f t="shared" si="71"/>
        <v>-0.56004847466075058</v>
      </c>
      <c r="O109" s="11"/>
      <c r="P109" s="6">
        <v>1110.8699999999999</v>
      </c>
      <c r="Q109" s="2"/>
      <c r="R109" s="7">
        <f t="shared" si="72"/>
        <v>2.1081290067085246E-3</v>
      </c>
      <c r="S109" s="2"/>
      <c r="T109" s="6">
        <v>2333.08</v>
      </c>
      <c r="U109" s="2"/>
      <c r="V109" s="7">
        <f t="shared" si="73"/>
        <v>3.3268927203010498E-3</v>
      </c>
      <c r="W109" s="2"/>
      <c r="X109" s="6">
        <f t="shared" si="74"/>
        <v>-1222.21</v>
      </c>
      <c r="Y109" s="2"/>
      <c r="Z109" s="7">
        <f t="shared" si="75"/>
        <v>-0.52386116206902467</v>
      </c>
    </row>
    <row r="110" spans="1:26" s="24" customFormat="1" hidden="1" outlineLevel="2" x14ac:dyDescent="0.25">
      <c r="A110" s="27"/>
      <c r="B110" s="11" t="str">
        <f>CONCATENATE("          ", "6248", " - ", "UNIFORMS")</f>
        <v xml:space="preserve">          6248 - UNIFORMS</v>
      </c>
      <c r="C110" s="11"/>
      <c r="D110" s="6">
        <v>2095.04</v>
      </c>
      <c r="E110" s="2"/>
      <c r="F110" s="7">
        <f t="shared" si="68"/>
        <v>6.0292373577652348E-3</v>
      </c>
      <c r="G110" s="2"/>
      <c r="H110" s="6">
        <v>1800</v>
      </c>
      <c r="I110" s="2"/>
      <c r="J110" s="7">
        <f t="shared" si="69"/>
        <v>3.9875588164925433E-3</v>
      </c>
      <c r="K110" s="2"/>
      <c r="L110" s="6">
        <f t="shared" si="70"/>
        <v>295.03999999999996</v>
      </c>
      <c r="M110" s="2"/>
      <c r="N110" s="7">
        <f t="shared" si="71"/>
        <v>0.16391111111111109</v>
      </c>
      <c r="O110" s="11"/>
      <c r="P110" s="6">
        <v>2674.48</v>
      </c>
      <c r="Q110" s="2"/>
      <c r="R110" s="7">
        <f t="shared" si="72"/>
        <v>5.0754353487463119E-3</v>
      </c>
      <c r="S110" s="2"/>
      <c r="T110" s="6">
        <v>4900</v>
      </c>
      <c r="U110" s="2"/>
      <c r="V110" s="7">
        <f t="shared" si="73"/>
        <v>6.9872333265362284E-3</v>
      </c>
      <c r="W110" s="2"/>
      <c r="X110" s="6">
        <f t="shared" si="74"/>
        <v>-2225.52</v>
      </c>
      <c r="Y110" s="2"/>
      <c r="Z110" s="7">
        <f t="shared" si="75"/>
        <v>-0.45418775510204079</v>
      </c>
    </row>
    <row r="111" spans="1:26" s="26" customFormat="1" outlineLevel="1" collapsed="1" x14ac:dyDescent="0.25">
      <c r="A111" s="25"/>
      <c r="B111" s="13" t="str">
        <f>CONCATENATE("     ","Telephone/Data Lines                              ")</f>
        <v xml:space="preserve">     Telephone/Data Lines                              </v>
      </c>
      <c r="C111" s="13"/>
      <c r="D111" s="1">
        <f>SUM(OSRRefD22_19x_0)</f>
        <v>1349.34</v>
      </c>
      <c r="E111" s="1"/>
      <c r="F111" s="5">
        <f t="shared" ref="F111:F113" si="76">IF(D$12=0,0,D111/D$12)</f>
        <v>3.8832151826824028E-3</v>
      </c>
      <c r="G111" s="1"/>
      <c r="H111" s="1">
        <f>SUM(OSRRefH22_19x_0)</f>
        <v>1523</v>
      </c>
      <c r="I111" s="1"/>
      <c r="J111" s="5">
        <f t="shared" ref="J111:J113" si="77">IF(H$12=0,0,H111/H$12)</f>
        <v>3.3739178208434129E-3</v>
      </c>
      <c r="K111" s="1"/>
      <c r="L111" s="1">
        <f t="shared" ref="L111:L113" si="78">+D111-H111</f>
        <v>-173.66000000000008</v>
      </c>
      <c r="M111" s="1"/>
      <c r="N111" s="5">
        <f t="shared" ref="N111:N113" si="79">IF(H111=0,0,L111/H111)</f>
        <v>-0.1140249507550887</v>
      </c>
      <c r="O111" s="13"/>
      <c r="P111" s="1">
        <f>SUM(OSRRefP22_19x_0)</f>
        <v>2297.6799999999998</v>
      </c>
      <c r="Q111" s="1"/>
      <c r="R111" s="5">
        <f t="shared" ref="R111:R113" si="80">IF(P$12=0,0,P111/P$12)</f>
        <v>4.3603714711298739E-3</v>
      </c>
      <c r="S111" s="1"/>
      <c r="T111" s="1">
        <f>SUM(OSRRefT22_19x_0)</f>
        <v>3146</v>
      </c>
      <c r="U111" s="1"/>
      <c r="V111" s="5">
        <f t="shared" ref="V111:V113" si="81">IF(T$12=0,0,T111/T$12)</f>
        <v>4.4860889888332601E-3</v>
      </c>
      <c r="W111" s="1"/>
      <c r="X111" s="1">
        <f t="shared" ref="X111:X113" si="82">+P111-T111</f>
        <v>-848.32000000000016</v>
      </c>
      <c r="Y111" s="1"/>
      <c r="Z111" s="5">
        <f t="shared" ref="Z111:Z113" si="83">IF(T111=0,0,X111/T111)</f>
        <v>-0.26965034965034973</v>
      </c>
    </row>
    <row r="112" spans="1:26" s="24" customFormat="1" hidden="1" outlineLevel="2" x14ac:dyDescent="0.25">
      <c r="A112" s="27"/>
      <c r="B112" s="11" t="str">
        <f>CONCATENATE("          ", "6303", " - ", "DATA PHONE LINES")</f>
        <v xml:space="preserve">          6303 - DATA PHONE LINES</v>
      </c>
      <c r="C112" s="11"/>
      <c r="D112" s="6"/>
      <c r="E112" s="2"/>
      <c r="F112" s="7">
        <f t="shared" si="76"/>
        <v>0</v>
      </c>
      <c r="G112" s="2"/>
      <c r="H112" s="6">
        <v>448</v>
      </c>
      <c r="I112" s="2"/>
      <c r="J112" s="7">
        <f t="shared" si="77"/>
        <v>9.9245908321592179E-4</v>
      </c>
      <c r="K112" s="2"/>
      <c r="L112" s="6">
        <f t="shared" si="78"/>
        <v>-448</v>
      </c>
      <c r="M112" s="2"/>
      <c r="N112" s="7">
        <f t="shared" si="79"/>
        <v>-1</v>
      </c>
      <c r="O112" s="11"/>
      <c r="P112" s="6"/>
      <c r="Q112" s="2"/>
      <c r="R112" s="7">
        <f t="shared" si="80"/>
        <v>0</v>
      </c>
      <c r="S112" s="2"/>
      <c r="T112" s="6">
        <v>846</v>
      </c>
      <c r="U112" s="2"/>
      <c r="V112" s="7">
        <f t="shared" si="81"/>
        <v>1.2063672233162551E-3</v>
      </c>
      <c r="W112" s="2"/>
      <c r="X112" s="6">
        <f t="shared" si="82"/>
        <v>-846</v>
      </c>
      <c r="Y112" s="2"/>
      <c r="Z112" s="7">
        <f t="shared" si="83"/>
        <v>-1</v>
      </c>
    </row>
    <row r="113" spans="1:26" s="24" customFormat="1" hidden="1" outlineLevel="2" x14ac:dyDescent="0.25">
      <c r="A113" s="27"/>
      <c r="B113" s="11" t="str">
        <f>CONCATENATE("          ", "6309", " - ", "TELEPHONE")</f>
        <v xml:space="preserve">          6309 - TELEPHONE</v>
      </c>
      <c r="C113" s="11"/>
      <c r="D113" s="6">
        <v>1349.34</v>
      </c>
      <c r="E113" s="2"/>
      <c r="F113" s="7">
        <f t="shared" si="76"/>
        <v>3.8832151826824028E-3</v>
      </c>
      <c r="G113" s="2"/>
      <c r="H113" s="6">
        <v>1075</v>
      </c>
      <c r="I113" s="2"/>
      <c r="J113" s="7">
        <f t="shared" si="77"/>
        <v>2.3814587376274911E-3</v>
      </c>
      <c r="K113" s="2"/>
      <c r="L113" s="6">
        <f t="shared" si="78"/>
        <v>274.33999999999992</v>
      </c>
      <c r="M113" s="2"/>
      <c r="N113" s="7">
        <f t="shared" si="79"/>
        <v>0.25519999999999993</v>
      </c>
      <c r="O113" s="11"/>
      <c r="P113" s="6">
        <v>2297.6799999999998</v>
      </c>
      <c r="Q113" s="2"/>
      <c r="R113" s="7">
        <f t="shared" si="80"/>
        <v>4.3603714711298739E-3</v>
      </c>
      <c r="S113" s="2"/>
      <c r="T113" s="6">
        <v>2300</v>
      </c>
      <c r="U113" s="2"/>
      <c r="V113" s="7">
        <f t="shared" si="81"/>
        <v>3.2797217655170055E-3</v>
      </c>
      <c r="W113" s="2"/>
      <c r="X113" s="6">
        <f t="shared" si="82"/>
        <v>-2.3200000000001637</v>
      </c>
      <c r="Y113" s="2"/>
      <c r="Z113" s="7">
        <f t="shared" si="83"/>
        <v>-1.0086956521739843E-3</v>
      </c>
    </row>
    <row r="114" spans="1:26" s="26" customFormat="1" outlineLevel="1" collapsed="1" x14ac:dyDescent="0.25">
      <c r="A114" s="25"/>
      <c r="B114" s="13" t="str">
        <f>CONCATENATE("     ","Training                                          ")</f>
        <v xml:space="preserve">     Training                                          </v>
      </c>
      <c r="C114" s="13"/>
      <c r="D114" s="1">
        <f>SUM(OSRRefD22_20x_0)</f>
        <v>175</v>
      </c>
      <c r="E114" s="1"/>
      <c r="F114" s="5">
        <f t="shared" ref="F114:F119" si="84">IF(D$12=0,0,D114/D$12)</f>
        <v>5.0362596304076102E-4</v>
      </c>
      <c r="G114" s="1"/>
      <c r="H114" s="1">
        <f>SUM(OSRRefH22_20x_0)</f>
        <v>4240</v>
      </c>
      <c r="I114" s="1"/>
      <c r="J114" s="5">
        <f t="shared" ref="J114:J119" si="85">IF(H$12=0,0,H114/H$12)</f>
        <v>9.3929163232935459E-3</v>
      </c>
      <c r="K114" s="1"/>
      <c r="L114" s="1">
        <f t="shared" ref="L114:L119" si="86">+D114-H114</f>
        <v>-4065</v>
      </c>
      <c r="M114" s="1"/>
      <c r="N114" s="5">
        <f t="shared" ref="N114:N119" si="87">IF(H114=0,0,L114/H114)</f>
        <v>-0.95872641509433965</v>
      </c>
      <c r="O114" s="13"/>
      <c r="P114" s="1">
        <f>SUM(OSRRefP22_20x_0)</f>
        <v>1043.8499999999999</v>
      </c>
      <c r="Q114" s="1"/>
      <c r="R114" s="5">
        <f t="shared" ref="R114:R119" si="88">IF(P$12=0,0,P114/P$12)</f>
        <v>1.9809432819796139E-3</v>
      </c>
      <c r="S114" s="1"/>
      <c r="T114" s="1">
        <f>SUM(OSRRefT22_20x_0)</f>
        <v>4780</v>
      </c>
      <c r="U114" s="1"/>
      <c r="V114" s="5">
        <f t="shared" ref="V114:V119" si="89">IF(T$12=0,0,T114/T$12)</f>
        <v>6.8161174083353412E-3</v>
      </c>
      <c r="W114" s="1"/>
      <c r="X114" s="1">
        <f t="shared" ref="X114:X119" si="90">+P114-T114</f>
        <v>-3736.15</v>
      </c>
      <c r="Y114" s="1"/>
      <c r="Z114" s="5">
        <f t="shared" ref="Z114:Z119" si="91">IF(T114=0,0,X114/T114)</f>
        <v>-0.78162133891213392</v>
      </c>
    </row>
    <row r="115" spans="1:26" s="24" customFormat="1" hidden="1" outlineLevel="2" x14ac:dyDescent="0.25">
      <c r="A115" s="27"/>
      <c r="B115" s="11" t="str">
        <f>CONCATENATE("          ", "6376", " - ", "TRAINING")</f>
        <v xml:space="preserve">          6376 - TRAINING</v>
      </c>
      <c r="C115" s="11"/>
      <c r="D115" s="6">
        <v>175</v>
      </c>
      <c r="E115" s="2"/>
      <c r="F115" s="7">
        <f t="shared" si="84"/>
        <v>5.0362596304076102E-4</v>
      </c>
      <c r="G115" s="2"/>
      <c r="H115" s="6">
        <v>4240</v>
      </c>
      <c r="I115" s="2"/>
      <c r="J115" s="7">
        <f t="shared" si="85"/>
        <v>9.3929163232935459E-3</v>
      </c>
      <c r="K115" s="2"/>
      <c r="L115" s="6">
        <f t="shared" si="86"/>
        <v>-4065</v>
      </c>
      <c r="M115" s="2"/>
      <c r="N115" s="7">
        <f t="shared" si="87"/>
        <v>-0.95872641509433965</v>
      </c>
      <c r="O115" s="11"/>
      <c r="P115" s="6">
        <v>1043.8499999999999</v>
      </c>
      <c r="Q115" s="2"/>
      <c r="R115" s="7">
        <f t="shared" si="88"/>
        <v>1.9809432819796139E-3</v>
      </c>
      <c r="S115" s="2"/>
      <c r="T115" s="6">
        <v>4780</v>
      </c>
      <c r="U115" s="2"/>
      <c r="V115" s="7">
        <f t="shared" si="89"/>
        <v>6.8161174083353412E-3</v>
      </c>
      <c r="W115" s="2"/>
      <c r="X115" s="6">
        <f t="shared" si="90"/>
        <v>-3736.15</v>
      </c>
      <c r="Y115" s="2"/>
      <c r="Z115" s="7">
        <f t="shared" si="91"/>
        <v>-0.78162133891213392</v>
      </c>
    </row>
    <row r="116" spans="1:26" s="26" customFormat="1" outlineLevel="1" collapsed="1" x14ac:dyDescent="0.25">
      <c r="A116" s="25"/>
      <c r="B116" s="13" t="str">
        <f>CONCATENATE("     ","Travel                                            ")</f>
        <v xml:space="preserve">     Travel                                            </v>
      </c>
      <c r="C116" s="13"/>
      <c r="D116" s="1">
        <f>SUM(OSRRefD22_21x_0)</f>
        <v>87.039999999999992</v>
      </c>
      <c r="E116" s="1"/>
      <c r="F116" s="5">
        <f t="shared" si="84"/>
        <v>2.5048916470324481E-4</v>
      </c>
      <c r="G116" s="1"/>
      <c r="H116" s="1">
        <f>SUM(OSRRefH22_21x_0)</f>
        <v>0</v>
      </c>
      <c r="I116" s="1"/>
      <c r="J116" s="5">
        <f t="shared" si="85"/>
        <v>0</v>
      </c>
      <c r="K116" s="1"/>
      <c r="L116" s="1">
        <f t="shared" si="86"/>
        <v>87.039999999999992</v>
      </c>
      <c r="M116" s="1"/>
      <c r="N116" s="5">
        <f t="shared" si="87"/>
        <v>0</v>
      </c>
      <c r="O116" s="13"/>
      <c r="P116" s="1">
        <f>SUM(OSRRefP22_21x_0)</f>
        <v>851.36000000000013</v>
      </c>
      <c r="Q116" s="1"/>
      <c r="R116" s="5">
        <f t="shared" si="88"/>
        <v>1.6156496360072467E-3</v>
      </c>
      <c r="S116" s="1"/>
      <c r="T116" s="1">
        <f>SUM(OSRRefT22_21x_0)</f>
        <v>5200</v>
      </c>
      <c r="U116" s="1"/>
      <c r="V116" s="5">
        <f t="shared" si="89"/>
        <v>7.4150231220384468E-3</v>
      </c>
      <c r="W116" s="1"/>
      <c r="X116" s="1">
        <f t="shared" si="90"/>
        <v>-4348.6399999999994</v>
      </c>
      <c r="Y116" s="1"/>
      <c r="Z116" s="5">
        <f t="shared" si="91"/>
        <v>-0.83627692307692292</v>
      </c>
    </row>
    <row r="117" spans="1:26" s="24" customFormat="1" hidden="1" outlineLevel="2" x14ac:dyDescent="0.25">
      <c r="A117" s="27"/>
      <c r="B117" s="11" t="str">
        <f>CONCATENATE("          ", "6292", " - ", "TRAVEL/CONFERENCE")</f>
        <v xml:space="preserve">          6292 - TRAVEL/CONFERENCE</v>
      </c>
      <c r="C117" s="11"/>
      <c r="D117" s="6">
        <v>40.46</v>
      </c>
      <c r="E117" s="2"/>
      <c r="F117" s="7">
        <f t="shared" si="84"/>
        <v>1.1643832265502395E-4</v>
      </c>
      <c r="G117" s="2"/>
      <c r="H117" s="6"/>
      <c r="I117" s="2"/>
      <c r="J117" s="7">
        <f t="shared" si="85"/>
        <v>0</v>
      </c>
      <c r="K117" s="2"/>
      <c r="L117" s="6">
        <f t="shared" si="86"/>
        <v>40.46</v>
      </c>
      <c r="M117" s="2"/>
      <c r="N117" s="7">
        <f t="shared" si="87"/>
        <v>0</v>
      </c>
      <c r="O117" s="11"/>
      <c r="P117" s="6">
        <v>545.69000000000005</v>
      </c>
      <c r="Q117" s="2"/>
      <c r="R117" s="7">
        <f t="shared" si="88"/>
        <v>1.0355711448421282E-3</v>
      </c>
      <c r="S117" s="2"/>
      <c r="T117" s="6">
        <v>5200</v>
      </c>
      <c r="U117" s="2"/>
      <c r="V117" s="7">
        <f t="shared" si="89"/>
        <v>7.4150231220384468E-3</v>
      </c>
      <c r="W117" s="2"/>
      <c r="X117" s="6">
        <f t="shared" si="90"/>
        <v>-4654.3099999999995</v>
      </c>
      <c r="Y117" s="2"/>
      <c r="Z117" s="7">
        <f t="shared" si="91"/>
        <v>-0.89505961538461531</v>
      </c>
    </row>
    <row r="118" spans="1:26" s="24" customFormat="1" hidden="1" outlineLevel="2" x14ac:dyDescent="0.25">
      <c r="A118" s="27"/>
      <c r="B118" s="11" t="str">
        <f>CONCATENATE("          ", "6294", " - ", "TRAVEL OPERATIONAL")</f>
        <v xml:space="preserve">          6294 - TRAVEL OPERATIONAL</v>
      </c>
      <c r="C118" s="11"/>
      <c r="D118" s="6"/>
      <c r="E118" s="2"/>
      <c r="F118" s="7">
        <f t="shared" si="84"/>
        <v>0</v>
      </c>
      <c r="G118" s="2"/>
      <c r="H118" s="6"/>
      <c r="I118" s="2"/>
      <c r="J118" s="7">
        <f t="shared" si="85"/>
        <v>0</v>
      </c>
      <c r="K118" s="2"/>
      <c r="L118" s="6">
        <f t="shared" si="86"/>
        <v>0</v>
      </c>
      <c r="M118" s="2"/>
      <c r="N118" s="7">
        <f t="shared" si="87"/>
        <v>0</v>
      </c>
      <c r="O118" s="11"/>
      <c r="P118" s="6">
        <v>45.49</v>
      </c>
      <c r="Q118" s="2"/>
      <c r="R118" s="7">
        <f t="shared" si="88"/>
        <v>8.6327642762133098E-5</v>
      </c>
      <c r="S118" s="2"/>
      <c r="T118" s="6"/>
      <c r="U118" s="2"/>
      <c r="V118" s="7">
        <f t="shared" si="89"/>
        <v>0</v>
      </c>
      <c r="W118" s="2"/>
      <c r="X118" s="6">
        <f t="shared" si="90"/>
        <v>45.49</v>
      </c>
      <c r="Y118" s="2"/>
      <c r="Z118" s="7">
        <f t="shared" si="91"/>
        <v>0</v>
      </c>
    </row>
    <row r="119" spans="1:26" s="24" customFormat="1" hidden="1" outlineLevel="2" x14ac:dyDescent="0.25">
      <c r="A119" s="27"/>
      <c r="B119" s="11" t="str">
        <f>CONCATENATE("          ", "6298", " - ", "VEHICLE MILEAGE")</f>
        <v xml:space="preserve">          6298 - VEHICLE MILEAGE</v>
      </c>
      <c r="C119" s="11"/>
      <c r="D119" s="6">
        <v>46.58</v>
      </c>
      <c r="E119" s="2"/>
      <c r="F119" s="7">
        <f t="shared" si="84"/>
        <v>1.3405084204822084E-4</v>
      </c>
      <c r="G119" s="2"/>
      <c r="H119" s="6"/>
      <c r="I119" s="2"/>
      <c r="J119" s="7">
        <f t="shared" si="85"/>
        <v>0</v>
      </c>
      <c r="K119" s="2"/>
      <c r="L119" s="6">
        <f t="shared" si="86"/>
        <v>46.58</v>
      </c>
      <c r="M119" s="2"/>
      <c r="N119" s="7">
        <f t="shared" si="87"/>
        <v>0</v>
      </c>
      <c r="O119" s="11"/>
      <c r="P119" s="6">
        <v>260.18</v>
      </c>
      <c r="Q119" s="2"/>
      <c r="R119" s="7">
        <f t="shared" si="88"/>
        <v>4.9375084840298507E-4</v>
      </c>
      <c r="S119" s="2"/>
      <c r="T119" s="6">
        <v>0</v>
      </c>
      <c r="U119" s="2"/>
      <c r="V119" s="7">
        <f t="shared" si="89"/>
        <v>0</v>
      </c>
      <c r="W119" s="2"/>
      <c r="X119" s="6">
        <f t="shared" si="90"/>
        <v>260.18</v>
      </c>
      <c r="Y119" s="2"/>
      <c r="Z119" s="7">
        <f t="shared" si="91"/>
        <v>0</v>
      </c>
    </row>
    <row r="120" spans="1:26" s="26" customFormat="1" outlineLevel="1" collapsed="1" x14ac:dyDescent="0.25">
      <c r="A120" s="25"/>
      <c r="B120" s="13" t="str">
        <f>CONCATENATE("     ","Utilities                                         ")</f>
        <v xml:space="preserve">     Utilities                                         </v>
      </c>
      <c r="C120" s="13"/>
      <c r="D120" s="1">
        <f>SUM(OSRRefD22_22x_0)</f>
        <v>0</v>
      </c>
      <c r="E120" s="1"/>
      <c r="F120" s="5">
        <f t="shared" ref="F120:F121" si="92">IF(D$12=0,0,D120/D$12)</f>
        <v>0</v>
      </c>
      <c r="G120" s="1"/>
      <c r="H120" s="1">
        <f>SUM(OSRRefH22_22x_0)</f>
        <v>22450</v>
      </c>
      <c r="I120" s="1"/>
      <c r="J120" s="5">
        <f t="shared" ref="J120:J121" si="93">IF(H$12=0,0,H120/H$12)</f>
        <v>4.9733719683476445E-2</v>
      </c>
      <c r="K120" s="1"/>
      <c r="L120" s="1">
        <f t="shared" ref="L120:L121" si="94">+D120-H120</f>
        <v>-22450</v>
      </c>
      <c r="M120" s="1"/>
      <c r="N120" s="5">
        <f t="shared" ref="N120:N121" si="95">IF(H120=0,0,L120/H120)</f>
        <v>-1</v>
      </c>
      <c r="O120" s="13"/>
      <c r="P120" s="1">
        <f>SUM(OSRRefP22_22x_0)</f>
        <v>13691</v>
      </c>
      <c r="Q120" s="1"/>
      <c r="R120" s="5">
        <f t="shared" ref="R120:R121" si="96">IF(P$12=0,0,P120/P$12)</f>
        <v>2.5981792856811702E-2</v>
      </c>
      <c r="S120" s="1"/>
      <c r="T120" s="1">
        <f>SUM(OSRRefT22_22x_0)</f>
        <v>39900</v>
      </c>
      <c r="U120" s="1"/>
      <c r="V120" s="5">
        <f t="shared" ref="V120:V121" si="97">IF(T$12=0,0,T120/T$12)</f>
        <v>5.6896042801795006E-2</v>
      </c>
      <c r="W120" s="1"/>
      <c r="X120" s="1">
        <f t="shared" ref="X120:X121" si="98">+P120-T120</f>
        <v>-26209</v>
      </c>
      <c r="Y120" s="1"/>
      <c r="Z120" s="5">
        <f t="shared" ref="Z120:Z121" si="99">IF(T120=0,0,X120/T120)</f>
        <v>-0.65686716791979949</v>
      </c>
    </row>
    <row r="121" spans="1:26" s="24" customFormat="1" hidden="1" outlineLevel="2" x14ac:dyDescent="0.25">
      <c r="A121" s="27"/>
      <c r="B121" s="11" t="str">
        <f>CONCATENATE("          ", "6274", " - ", "UTILITIES")</f>
        <v xml:space="preserve">          6274 - UTILITIES</v>
      </c>
      <c r="C121" s="11"/>
      <c r="D121" s="6"/>
      <c r="E121" s="2"/>
      <c r="F121" s="7">
        <f t="shared" si="92"/>
        <v>0</v>
      </c>
      <c r="G121" s="2"/>
      <c r="H121" s="6">
        <v>22450</v>
      </c>
      <c r="I121" s="2"/>
      <c r="J121" s="7">
        <f t="shared" si="93"/>
        <v>4.9733719683476445E-2</v>
      </c>
      <c r="K121" s="2"/>
      <c r="L121" s="6">
        <f t="shared" si="94"/>
        <v>-22450</v>
      </c>
      <c r="M121" s="2"/>
      <c r="N121" s="7">
        <f t="shared" si="95"/>
        <v>-1</v>
      </c>
      <c r="O121" s="11"/>
      <c r="P121" s="6">
        <v>13691</v>
      </c>
      <c r="Q121" s="2"/>
      <c r="R121" s="7">
        <f t="shared" si="96"/>
        <v>2.5981792856811702E-2</v>
      </c>
      <c r="S121" s="2"/>
      <c r="T121" s="6">
        <v>39900</v>
      </c>
      <c r="U121" s="2"/>
      <c r="V121" s="7">
        <f t="shared" si="97"/>
        <v>5.6896042801795006E-2</v>
      </c>
      <c r="W121" s="2"/>
      <c r="X121" s="6">
        <f t="shared" si="98"/>
        <v>-26209</v>
      </c>
      <c r="Y121" s="2"/>
      <c r="Z121" s="7">
        <f t="shared" si="99"/>
        <v>-0.65686716791979949</v>
      </c>
    </row>
    <row r="122" spans="1:26" s="63" customFormat="1" x14ac:dyDescent="0.25">
      <c r="A122" s="36"/>
      <c r="B122" s="36"/>
      <c r="C122" s="36"/>
      <c r="D122" s="1"/>
      <c r="E122" s="1"/>
      <c r="F122" s="5"/>
      <c r="G122" s="1"/>
      <c r="H122" s="1"/>
      <c r="I122" s="1"/>
      <c r="J122" s="5"/>
      <c r="K122" s="1"/>
      <c r="L122" s="1"/>
      <c r="M122" s="1"/>
      <c r="N122" s="5"/>
      <c r="O122" s="36"/>
      <c r="P122" s="1"/>
      <c r="Q122" s="1"/>
      <c r="R122" s="5"/>
      <c r="S122" s="1"/>
      <c r="T122" s="1"/>
      <c r="U122" s="1"/>
      <c r="V122" s="5"/>
      <c r="W122" s="1"/>
      <c r="X122" s="1"/>
      <c r="Y122" s="1"/>
      <c r="Z122" s="5"/>
    </row>
    <row r="123" spans="1:26" s="23" customFormat="1" collapsed="1" x14ac:dyDescent="0.25">
      <c r="A123" s="10"/>
      <c r="B123" s="28" t="s">
        <v>0</v>
      </c>
      <c r="C123" s="10"/>
      <c r="D123" s="4">
        <f>SUM(OSRRefD25x_0)</f>
        <v>14461.25</v>
      </c>
      <c r="E123" s="4"/>
      <c r="F123" s="12">
        <f t="shared" ref="F123:F127" si="100">IF(D$12=0,0,D123/D$12)</f>
        <v>4.1617491188704031E-2</v>
      </c>
      <c r="G123" s="4"/>
      <c r="H123" s="4">
        <f>SUM(OSRRefH25x_0)</f>
        <v>19710</v>
      </c>
      <c r="I123" s="4"/>
      <c r="J123" s="12">
        <f t="shared" ref="J123:J127" si="101">IF(H$12=0,0,H123/H$12)</f>
        <v>4.3663769040593346E-2</v>
      </c>
      <c r="K123" s="4"/>
      <c r="L123" s="4">
        <f t="shared" ref="L123:L127" si="102">+D123-H123</f>
        <v>-5248.75</v>
      </c>
      <c r="M123" s="4"/>
      <c r="N123" s="12">
        <f t="shared" ref="N123:N127" si="103">IF(H123=0,0,L123/H123)</f>
        <v>-0.26629883307965502</v>
      </c>
      <c r="O123" s="10"/>
      <c r="P123" s="4">
        <f>SUM(OSRRefP25x_0)</f>
        <v>65394.66</v>
      </c>
      <c r="Q123" s="4"/>
      <c r="R123" s="12">
        <f t="shared" ref="R123:R127" si="104">IF(P$12=0,0,P123/P$12)</f>
        <v>0.12410127164280403</v>
      </c>
      <c r="S123" s="4"/>
      <c r="T123" s="4">
        <f>SUM(OSRRefT25x_0)</f>
        <v>49213</v>
      </c>
      <c r="U123" s="4"/>
      <c r="V123" s="12">
        <f t="shared" ref="V123:V127" si="105">IF(T$12=0,0,T123/T$12)</f>
        <v>7.0176064020168863E-2</v>
      </c>
      <c r="W123" s="4"/>
      <c r="X123" s="4">
        <f t="shared" ref="X123:X127" si="106">+P123-T123</f>
        <v>16181.660000000003</v>
      </c>
      <c r="Y123" s="4"/>
      <c r="Z123" s="12">
        <f t="shared" ref="Z123:Z127" si="107">IF(T123=0,0,X123/T123)</f>
        <v>0.3288086481214314</v>
      </c>
    </row>
    <row r="124" spans="1:26" s="24" customFormat="1" hidden="1" outlineLevel="1" x14ac:dyDescent="0.25">
      <c r="A124" s="46"/>
      <c r="B124" s="11" t="str">
        <f>CONCATENATE("          ", "9150", " - ", "MISC. INCOME")</f>
        <v xml:space="preserve">          9150 - MISC. INCOME</v>
      </c>
      <c r="C124" s="11"/>
      <c r="D124" s="2">
        <f>--6527.69</f>
        <v>6527.69</v>
      </c>
      <c r="E124" s="2"/>
      <c r="F124" s="21">
        <f t="shared" si="100"/>
        <v>1.8785795215323114E-2</v>
      </c>
      <c r="G124" s="2"/>
      <c r="H124" s="2">
        <v>12947</v>
      </c>
      <c r="I124" s="2"/>
      <c r="J124" s="21">
        <f t="shared" si="101"/>
        <v>2.868162444284942E-2</v>
      </c>
      <c r="K124" s="2"/>
      <c r="L124" s="2">
        <f t="shared" si="102"/>
        <v>-6419.31</v>
      </c>
      <c r="M124" s="2"/>
      <c r="N124" s="21">
        <f t="shared" si="103"/>
        <v>-0.49581447439561294</v>
      </c>
      <c r="O124" s="11"/>
      <c r="P124" s="2">
        <f>--47787.95</f>
        <v>47787.95</v>
      </c>
      <c r="Q124" s="2"/>
      <c r="R124" s="21">
        <f t="shared" si="104"/>
        <v>9.0688526619799481E-2</v>
      </c>
      <c r="S124" s="2"/>
      <c r="T124" s="2">
        <v>30369</v>
      </c>
      <c r="U124" s="2"/>
      <c r="V124" s="21">
        <f t="shared" si="105"/>
        <v>4.3305160998689536E-2</v>
      </c>
      <c r="W124" s="2"/>
      <c r="X124" s="2">
        <f t="shared" si="106"/>
        <v>17418.949999999997</v>
      </c>
      <c r="Y124" s="2"/>
      <c r="Z124" s="21">
        <f t="shared" si="107"/>
        <v>0.57357667358161268</v>
      </c>
    </row>
    <row r="125" spans="1:26" s="24" customFormat="1" hidden="1" outlineLevel="1" x14ac:dyDescent="0.25">
      <c r="A125" s="46"/>
      <c r="B125" s="11" t="str">
        <f>CONCATENATE("          ", "9151", " - ", "MISC. INCOME")</f>
        <v xml:space="preserve">          9151 - MISC. INCOME</v>
      </c>
      <c r="C125" s="11"/>
      <c r="D125" s="2">
        <f>0</f>
        <v>0</v>
      </c>
      <c r="E125" s="2"/>
      <c r="F125" s="21">
        <f t="shared" si="100"/>
        <v>0</v>
      </c>
      <c r="G125" s="2"/>
      <c r="H125" s="2">
        <v>6763</v>
      </c>
      <c r="I125" s="2"/>
      <c r="J125" s="21">
        <f t="shared" si="101"/>
        <v>1.4982144597743928E-2</v>
      </c>
      <c r="K125" s="2"/>
      <c r="L125" s="2">
        <f t="shared" si="102"/>
        <v>-6763</v>
      </c>
      <c r="M125" s="2"/>
      <c r="N125" s="21">
        <f t="shared" si="103"/>
        <v>-1</v>
      </c>
      <c r="O125" s="11"/>
      <c r="P125" s="2">
        <f>0</f>
        <v>0</v>
      </c>
      <c r="Q125" s="2"/>
      <c r="R125" s="21">
        <f t="shared" si="104"/>
        <v>0</v>
      </c>
      <c r="S125" s="2"/>
      <c r="T125" s="2">
        <v>18844</v>
      </c>
      <c r="U125" s="2"/>
      <c r="V125" s="21">
        <f t="shared" si="105"/>
        <v>2.6870903021479327E-2</v>
      </c>
      <c r="W125" s="2"/>
      <c r="X125" s="2">
        <f t="shared" si="106"/>
        <v>-18844</v>
      </c>
      <c r="Y125" s="2"/>
      <c r="Z125" s="21">
        <f t="shared" si="107"/>
        <v>-1</v>
      </c>
    </row>
    <row r="126" spans="1:26" s="24" customFormat="1" hidden="1" outlineLevel="1" x14ac:dyDescent="0.25">
      <c r="A126" s="46"/>
      <c r="B126" s="11" t="str">
        <f>CONCATENATE("          ", "9160", " - ", "MISC. INCOME")</f>
        <v xml:space="preserve">          9160 - MISC. INCOME</v>
      </c>
      <c r="C126" s="11"/>
      <c r="D126" s="2">
        <f>--4981.17</f>
        <v>4981.17</v>
      </c>
      <c r="E126" s="2"/>
      <c r="F126" s="21">
        <f t="shared" si="100"/>
        <v>1.4335123076112843E-2</v>
      </c>
      <c r="G126" s="2"/>
      <c r="H126" s="2"/>
      <c r="I126" s="2"/>
      <c r="J126" s="21">
        <f t="shared" si="101"/>
        <v>0</v>
      </c>
      <c r="K126" s="2"/>
      <c r="L126" s="2">
        <f t="shared" si="102"/>
        <v>4981.17</v>
      </c>
      <c r="M126" s="2"/>
      <c r="N126" s="21">
        <f t="shared" si="103"/>
        <v>0</v>
      </c>
      <c r="O126" s="11"/>
      <c r="P126" s="2">
        <f>--10973.27</f>
        <v>10973.27</v>
      </c>
      <c r="Q126" s="2"/>
      <c r="R126" s="21">
        <f t="shared" si="104"/>
        <v>2.0824280775828364E-2</v>
      </c>
      <c r="S126" s="2"/>
      <c r="T126" s="2"/>
      <c r="U126" s="2"/>
      <c r="V126" s="21">
        <f t="shared" si="105"/>
        <v>0</v>
      </c>
      <c r="W126" s="2"/>
      <c r="X126" s="2">
        <f t="shared" si="106"/>
        <v>10973.27</v>
      </c>
      <c r="Y126" s="2"/>
      <c r="Z126" s="21">
        <f t="shared" si="107"/>
        <v>0</v>
      </c>
    </row>
    <row r="127" spans="1:26" s="24" customFormat="1" hidden="1" outlineLevel="1" x14ac:dyDescent="0.25">
      <c r="A127" s="46"/>
      <c r="B127" s="11" t="str">
        <f>CONCATENATE("          ", "9165", " - ", "OTHER INCOME")</f>
        <v xml:space="preserve">          9165 - OTHER INCOME</v>
      </c>
      <c r="C127" s="11"/>
      <c r="D127" s="2">
        <f>--2952.39</f>
        <v>2952.39</v>
      </c>
      <c r="E127" s="2"/>
      <c r="F127" s="21">
        <f t="shared" si="100"/>
        <v>8.4965728972680715E-3</v>
      </c>
      <c r="G127" s="2"/>
      <c r="H127" s="2"/>
      <c r="I127" s="2"/>
      <c r="J127" s="21">
        <f t="shared" si="101"/>
        <v>0</v>
      </c>
      <c r="K127" s="2"/>
      <c r="L127" s="2">
        <f t="shared" si="102"/>
        <v>2952.39</v>
      </c>
      <c r="M127" s="2"/>
      <c r="N127" s="21">
        <f t="shared" si="103"/>
        <v>0</v>
      </c>
      <c r="O127" s="11"/>
      <c r="P127" s="2">
        <f>--6633.44</f>
        <v>6633.44</v>
      </c>
      <c r="Q127" s="2"/>
      <c r="R127" s="21">
        <f t="shared" si="104"/>
        <v>1.2588464247176174E-2</v>
      </c>
      <c r="S127" s="2"/>
      <c r="T127" s="2"/>
      <c r="U127" s="2"/>
      <c r="V127" s="21">
        <f t="shared" si="105"/>
        <v>0</v>
      </c>
      <c r="W127" s="2"/>
      <c r="X127" s="2">
        <f t="shared" si="106"/>
        <v>6633.44</v>
      </c>
      <c r="Y127" s="2"/>
      <c r="Z127" s="21">
        <f t="shared" si="107"/>
        <v>0</v>
      </c>
    </row>
    <row r="128" spans="1:26" x14ac:dyDescent="0.25">
      <c r="A128" s="9"/>
      <c r="B128" s="10"/>
      <c r="C128" s="10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O128" s="10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s="23" customFormat="1" x14ac:dyDescent="0.25">
      <c r="A129" s="10"/>
      <c r="B129" s="29" t="s">
        <v>3</v>
      </c>
      <c r="C129" s="29"/>
      <c r="D129" s="22">
        <f>+D30-D32+D123</f>
        <v>-137804.76000000004</v>
      </c>
      <c r="E129" s="14"/>
      <c r="F129" s="20">
        <f>IF(D$12=0,0,D129/D$12)</f>
        <v>-0.3965831712377198</v>
      </c>
      <c r="G129" s="14"/>
      <c r="H129" s="22">
        <f>+H30-H32+H123</f>
        <v>-129077.46402347198</v>
      </c>
      <c r="I129" s="14"/>
      <c r="J129" s="20">
        <f>IF(H$12=0,0,H129/H$12)</f>
        <v>-0.28594665537627489</v>
      </c>
      <c r="K129" s="15"/>
      <c r="L129" s="22">
        <f>+D129-H129</f>
        <v>-8727.2959765280539</v>
      </c>
      <c r="M129" s="15"/>
      <c r="N129" s="20">
        <f>IF(H129=0,0,L129/H129)</f>
        <v>6.7612855912175696E-2</v>
      </c>
      <c r="O129" s="28"/>
      <c r="P129" s="22">
        <f>+P30-P32+P123</f>
        <v>-380786.71000000008</v>
      </c>
      <c r="Q129" s="14"/>
      <c r="R129" s="20">
        <f>IF(P$12=0,0,P129/P$12)</f>
        <v>-0.72262956846445336</v>
      </c>
      <c r="S129" s="14"/>
      <c r="T129" s="22">
        <f>+T30-T32+T123</f>
        <v>-334620.80252765468</v>
      </c>
      <c r="U129" s="14"/>
      <c r="V129" s="20">
        <f>IF(T$12=0,0,T129/T$12)</f>
        <v>-0.47715788228031164</v>
      </c>
      <c r="W129" s="15"/>
      <c r="X129" s="22">
        <f>+P129-T129</f>
        <v>-46165.907472345396</v>
      </c>
      <c r="Y129" s="15"/>
      <c r="Z129" s="20">
        <f>IF(T129=0,0,X129/T129)</f>
        <v>0.137964845949857</v>
      </c>
    </row>
    <row r="130" spans="1:26" x14ac:dyDescent="0.25">
      <c r="A130" s="9"/>
      <c r="B130" s="10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x14ac:dyDescent="0.25">
      <c r="A131" s="52"/>
      <c r="B131" s="10" t="s">
        <v>14</v>
      </c>
      <c r="C131" s="10"/>
      <c r="D131" s="4">
        <v>28384.32</v>
      </c>
      <c r="E131" s="4"/>
      <c r="F131" s="12">
        <f>IF(D$12=0,0,D131/D$12)</f>
        <v>8.1686174258612201E-2</v>
      </c>
      <c r="G131" s="4"/>
      <c r="H131" s="4">
        <v>52993</v>
      </c>
      <c r="I131" s="4"/>
      <c r="J131" s="12">
        <f>IF(H$12=0,0,H131/H$12)</f>
        <v>0.11739594686799408</v>
      </c>
      <c r="K131" s="4"/>
      <c r="L131" s="4">
        <f>+D131-H131</f>
        <v>-24608.68</v>
      </c>
      <c r="M131" s="4"/>
      <c r="N131" s="12">
        <f>IF(H131=0,0,L131/H131)</f>
        <v>-0.46437604966693713</v>
      </c>
      <c r="O131" s="10"/>
      <c r="P131" s="4">
        <v>65700.55</v>
      </c>
      <c r="Q131" s="4"/>
      <c r="R131" s="12">
        <f>IF(P$12=0,0,P131/P$12)</f>
        <v>0.12468176763411</v>
      </c>
      <c r="S131" s="4"/>
      <c r="T131" s="4">
        <v>113890</v>
      </c>
      <c r="U131" s="4"/>
      <c r="V131" s="12">
        <f>IF(T$12=0,0,T131/T$12)</f>
        <v>0.16240326603249206</v>
      </c>
      <c r="W131" s="4"/>
      <c r="X131" s="4">
        <f>+P131-T131</f>
        <v>-48189.45</v>
      </c>
      <c r="Y131" s="4"/>
      <c r="Z131" s="12">
        <f>IF(T131=0,0,X131/T131)</f>
        <v>-0.42312275002195099</v>
      </c>
    </row>
    <row r="132" spans="1:26" x14ac:dyDescent="0.25">
      <c r="A132" s="9"/>
      <c r="B132" s="10"/>
      <c r="C132" s="10"/>
      <c r="D132" s="3"/>
      <c r="E132" s="3"/>
      <c r="F132" s="8"/>
      <c r="G132" s="3"/>
      <c r="H132" s="3"/>
      <c r="I132" s="3"/>
      <c r="J132" s="8"/>
      <c r="K132" s="3"/>
      <c r="L132" s="3"/>
      <c r="M132" s="3"/>
      <c r="N132" s="8"/>
      <c r="O132" s="10"/>
      <c r="P132" s="3"/>
      <c r="Q132" s="3"/>
      <c r="R132" s="8"/>
      <c r="S132" s="3"/>
      <c r="T132" s="3"/>
      <c r="U132" s="3"/>
      <c r="V132" s="8"/>
      <c r="W132" s="3"/>
      <c r="X132" s="3"/>
      <c r="Y132" s="3"/>
      <c r="Z132" s="8"/>
    </row>
    <row r="133" spans="1:26" s="23" customFormat="1" ht="15.75" thickBot="1" x14ac:dyDescent="0.3">
      <c r="A133" s="10"/>
      <c r="B133" s="29" t="s">
        <v>4</v>
      </c>
      <c r="C133" s="29"/>
      <c r="D133" s="31">
        <f>+D129-D131</f>
        <v>-166189.08000000005</v>
      </c>
      <c r="E133" s="14"/>
      <c r="F133" s="32">
        <f>IF(D$12=0,0,D133/D$12)</f>
        <v>-0.47826934549633204</v>
      </c>
      <c r="G133" s="14"/>
      <c r="H133" s="31">
        <f>+H129-H131</f>
        <v>-182070.46402347198</v>
      </c>
      <c r="I133" s="14"/>
      <c r="J133" s="32">
        <f>IF(H$12=0,0,H133/H$12)</f>
        <v>-0.40334260224426893</v>
      </c>
      <c r="K133" s="15"/>
      <c r="L133" s="31">
        <f>D133-H133</f>
        <v>15881.384023471939</v>
      </c>
      <c r="M133" s="15"/>
      <c r="N133" s="32">
        <f>IF(H133=0,0,L133/H133)</f>
        <v>-8.7226580701329784E-2</v>
      </c>
      <c r="O133" s="28"/>
      <c r="P133" s="31">
        <f>+P129-P131</f>
        <v>-446487.26000000007</v>
      </c>
      <c r="Q133" s="14"/>
      <c r="R133" s="32">
        <f>IF(P$12=0,0,P133/P$12)</f>
        <v>-0.84731133609856335</v>
      </c>
      <c r="S133" s="14"/>
      <c r="T133" s="31">
        <f>+T129-T131</f>
        <v>-448510.80252765468</v>
      </c>
      <c r="U133" s="14"/>
      <c r="V133" s="32">
        <f>IF(T$12=0,0,T133/T$12)</f>
        <v>-0.63956114831280375</v>
      </c>
      <c r="W133" s="15"/>
      <c r="X133" s="31">
        <f>P133-T133</f>
        <v>2023.5425276546157</v>
      </c>
      <c r="Y133" s="15"/>
      <c r="Z133" s="32">
        <f>IF(T133=0,0,X133/T133)</f>
        <v>-4.5116918394175051E-3</v>
      </c>
    </row>
    <row r="134" spans="1:26" ht="15.75" thickTop="1" x14ac:dyDescent="0.25">
      <c r="A134" s="9"/>
      <c r="B134" s="9"/>
      <c r="C134" s="9"/>
      <c r="D134" s="3"/>
      <c r="E134" s="3"/>
      <c r="F134" s="8"/>
      <c r="G134" s="3"/>
      <c r="H134" s="3"/>
      <c r="I134" s="3"/>
      <c r="J134" s="8"/>
      <c r="K134" s="3"/>
      <c r="L134" s="3"/>
      <c r="M134" s="3"/>
      <c r="N134" s="8"/>
      <c r="P134" s="3"/>
      <c r="Q134" s="3"/>
      <c r="R134" s="8"/>
      <c r="S134" s="3"/>
      <c r="T134" s="3"/>
      <c r="U134" s="3"/>
      <c r="V134" s="8"/>
      <c r="W134" s="3"/>
      <c r="X134" s="3"/>
      <c r="Y134" s="3"/>
      <c r="Z134" s="8"/>
    </row>
    <row r="135" spans="1:26" x14ac:dyDescent="0.25">
      <c r="A135" s="9"/>
      <c r="B135" s="9"/>
      <c r="C135" s="9"/>
      <c r="D135" s="3"/>
      <c r="E135" s="3"/>
      <c r="F135" s="8"/>
      <c r="G135" s="3"/>
      <c r="H135" s="3"/>
      <c r="I135" s="3"/>
      <c r="J135" s="8"/>
      <c r="K135" s="3"/>
      <c r="L135" s="3"/>
      <c r="M135" s="3"/>
      <c r="N135" s="8"/>
      <c r="P135" s="3"/>
      <c r="Q135" s="3"/>
      <c r="R135" s="8"/>
      <c r="S135" s="3"/>
      <c r="T135" s="3"/>
      <c r="U135" s="3"/>
      <c r="V135" s="8"/>
      <c r="W135" s="3"/>
      <c r="X135" s="3"/>
      <c r="Y135" s="3"/>
      <c r="Z135" s="8"/>
    </row>
    <row r="136" spans="1:26" s="23" customFormat="1" ht="15.75" thickBot="1" x14ac:dyDescent="0.3">
      <c r="A136" s="10"/>
      <c r="B136" s="29" t="s">
        <v>5</v>
      </c>
      <c r="C136" s="29"/>
      <c r="D136" s="33">
        <f>SUM(D133:D135)</f>
        <v>-166189.08000000005</v>
      </c>
      <c r="E136" s="14"/>
      <c r="F136" s="35">
        <f>IF(D$12=0,0,D136/D$12)</f>
        <v>-0.47826934549633204</v>
      </c>
      <c r="G136" s="14"/>
      <c r="H136" s="33">
        <f>SUM(H133:H135)</f>
        <v>-182070.46402347198</v>
      </c>
      <c r="I136" s="14"/>
      <c r="J136" s="35">
        <f>IF(H$12=0,0,H136/H$12)</f>
        <v>-0.40334260224426893</v>
      </c>
      <c r="K136" s="15"/>
      <c r="L136" s="33">
        <f>+D136-H136</f>
        <v>15881.384023471939</v>
      </c>
      <c r="M136" s="15"/>
      <c r="N136" s="35">
        <f>IF(H136=0,0,L136/H136)</f>
        <v>-8.7226580701329784E-2</v>
      </c>
      <c r="O136" s="28"/>
      <c r="P136" s="33">
        <f>SUM(P133:P135)</f>
        <v>-446487.26000000007</v>
      </c>
      <c r="Q136" s="14"/>
      <c r="R136" s="35">
        <f>IF(P$12=0,0,P136/P$12)</f>
        <v>-0.84731133609856335</v>
      </c>
      <c r="S136" s="14"/>
      <c r="T136" s="33">
        <f>SUM(T133:T135)</f>
        <v>-448510.80252765468</v>
      </c>
      <c r="U136" s="14"/>
      <c r="V136" s="35">
        <f>IF(T$12=0,0,T136/T$12)</f>
        <v>-0.63956114831280375</v>
      </c>
      <c r="W136" s="15"/>
      <c r="X136" s="33">
        <f>+P136-T136</f>
        <v>2023.5425276546157</v>
      </c>
      <c r="Y136" s="15"/>
      <c r="Z136" s="35">
        <f>IF(T136=0,0,X136/T136)</f>
        <v>-4.5116918394175051E-3</v>
      </c>
    </row>
    <row r="137" spans="1:26" ht="15.75" thickTop="1" x14ac:dyDescent="0.25">
      <c r="A137" s="9"/>
      <c r="C137" s="9"/>
      <c r="D137" s="17"/>
      <c r="E137" s="17"/>
      <c r="G137" s="17"/>
      <c r="H137" s="17"/>
      <c r="I137" s="17"/>
      <c r="J137" s="42"/>
      <c r="K137" s="17"/>
      <c r="L137" s="17"/>
      <c r="M137" s="17"/>
      <c r="P137" s="17"/>
      <c r="Q137" s="17"/>
      <c r="R137" s="42"/>
      <c r="S137" s="17"/>
      <c r="T137" s="17"/>
      <c r="U137" s="17"/>
      <c r="V137" s="42"/>
      <c r="W137" s="17"/>
      <c r="X137" s="17"/>
    </row>
    <row r="138" spans="1:26" x14ac:dyDescent="0.25">
      <c r="A138" s="9"/>
      <c r="B138" s="61">
        <v>43732.705619907407</v>
      </c>
      <c r="D138" s="17"/>
      <c r="E138" s="17"/>
      <c r="G138" s="17"/>
      <c r="H138" s="17"/>
      <c r="I138" s="17"/>
      <c r="J138" s="42"/>
      <c r="K138" s="17"/>
      <c r="L138" s="17"/>
      <c r="M138" s="17"/>
      <c r="P138" s="17"/>
      <c r="Q138" s="17"/>
      <c r="R138" s="42"/>
      <c r="S138" s="17"/>
      <c r="T138" s="17"/>
      <c r="U138" s="17"/>
      <c r="V138" s="42"/>
      <c r="W138" s="17"/>
      <c r="X138" s="17"/>
    </row>
    <row r="139" spans="1:26" x14ac:dyDescent="0.25">
      <c r="A139" s="9"/>
      <c r="B139" s="62" t="s">
        <v>314</v>
      </c>
      <c r="D139" s="17"/>
      <c r="E139" s="17"/>
      <c r="G139" s="17"/>
      <c r="H139" s="17"/>
      <c r="I139" s="17"/>
      <c r="J139" s="42"/>
      <c r="K139" s="17"/>
      <c r="L139" s="17"/>
      <c r="M139" s="17"/>
      <c r="P139" s="17"/>
      <c r="Q139" s="17"/>
      <c r="R139" s="42"/>
      <c r="S139" s="17"/>
      <c r="T139" s="17"/>
      <c r="U139" s="17"/>
      <c r="V139" s="42"/>
      <c r="W139" s="17"/>
      <c r="X139" s="17"/>
    </row>
    <row r="140" spans="1:26" x14ac:dyDescent="0.25">
      <c r="A140" s="9"/>
      <c r="B140" s="58"/>
      <c r="D140" s="17"/>
      <c r="E140" s="17"/>
      <c r="G140" s="17"/>
      <c r="H140" s="17"/>
      <c r="I140" s="17"/>
      <c r="J140" s="42"/>
      <c r="K140" s="17"/>
      <c r="L140" s="17"/>
      <c r="M140" s="17"/>
      <c r="P140" s="17"/>
      <c r="Q140" s="17"/>
      <c r="R140" s="42"/>
      <c r="S140" s="17"/>
      <c r="T140" s="17"/>
      <c r="U140" s="17"/>
      <c r="V140" s="42"/>
      <c r="W140" s="17"/>
      <c r="X140" s="17"/>
    </row>
    <row r="141" spans="1:26" x14ac:dyDescent="0.25">
      <c r="D141" s="17"/>
      <c r="E141" s="17"/>
      <c r="G141" s="17"/>
      <c r="H141" s="17"/>
      <c r="I141" s="17"/>
      <c r="J141" s="42"/>
      <c r="K141" s="17"/>
      <c r="L141" s="17"/>
      <c r="M141" s="17"/>
      <c r="P141" s="17"/>
      <c r="Q141" s="17"/>
      <c r="R141" s="42"/>
      <c r="S141" s="17"/>
      <c r="T141" s="17"/>
      <c r="U141" s="17"/>
      <c r="V141" s="42"/>
      <c r="W141" s="17"/>
      <c r="X141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","405", " - ", "Library Starbucks")</f>
        <v>Department 405 - Library Starbucks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34415.229999999996</v>
      </c>
      <c r="E12" s="4"/>
      <c r="F12" s="12"/>
      <c r="G12" s="4"/>
      <c r="H12" s="4">
        <f>SUM(OSRRefH13x_0)</f>
        <v>92000</v>
      </c>
      <c r="I12" s="4"/>
      <c r="J12" s="12"/>
      <c r="K12" s="4"/>
      <c r="L12" s="4">
        <f t="shared" ref="L12:L15" si="0">+D12-H12</f>
        <v>-57584.770000000004</v>
      </c>
      <c r="M12" s="4"/>
      <c r="N12" s="12">
        <f t="shared" ref="N12:N15" si="1">IF(H12=0,0,L12/H12)</f>
        <v>-0.62592141304347826</v>
      </c>
      <c r="O12" s="10"/>
      <c r="P12" s="4">
        <f>SUM(OSRRefP13x_0)</f>
        <v>52521.919999999998</v>
      </c>
      <c r="Q12" s="4"/>
      <c r="R12" s="12"/>
      <c r="S12" s="4"/>
      <c r="T12" s="4">
        <f>SUM(OSRRefT13x_0)</f>
        <v>117000</v>
      </c>
      <c r="U12" s="4"/>
      <c r="V12" s="12"/>
      <c r="W12" s="4"/>
      <c r="X12" s="4">
        <f t="shared" ref="X12:X15" si="2">+P12-T12</f>
        <v>-64478.080000000002</v>
      </c>
      <c r="Y12" s="4"/>
      <c r="Z12" s="12">
        <f t="shared" ref="Z12:Z15" si="3">IF(T12=0,0,X12/T12)</f>
        <v>-0.55109470085470091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92000</v>
      </c>
      <c r="I13" s="2"/>
      <c r="J13" s="21"/>
      <c r="K13" s="2"/>
      <c r="L13" s="2">
        <f t="shared" si="0"/>
        <v>-92000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117000</v>
      </c>
      <c r="U13" s="2"/>
      <c r="V13" s="21"/>
      <c r="W13" s="2"/>
      <c r="X13" s="2">
        <f t="shared" si="2"/>
        <v>-117000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"4051", " - ", "TAXABLE SALES-FOOD")</f>
        <v xml:space="preserve">          4051 - TAXABLE SALES-FOOD</v>
      </c>
      <c r="C14" s="11"/>
      <c r="D14" s="2">
        <f>--8255.89</f>
        <v>8255.89</v>
      </c>
      <c r="E14" s="2"/>
      <c r="F14" s="21"/>
      <c r="G14" s="2"/>
      <c r="H14" s="2"/>
      <c r="I14" s="2"/>
      <c r="J14" s="21"/>
      <c r="K14" s="2"/>
      <c r="L14" s="2">
        <f t="shared" si="0"/>
        <v>8255.89</v>
      </c>
      <c r="M14" s="2"/>
      <c r="N14" s="21">
        <f t="shared" si="1"/>
        <v>0</v>
      </c>
      <c r="O14" s="11"/>
      <c r="P14" s="2">
        <f>--13857.74</f>
        <v>13857.74</v>
      </c>
      <c r="Q14" s="2"/>
      <c r="R14" s="21"/>
      <c r="S14" s="2"/>
      <c r="T14" s="2"/>
      <c r="U14" s="2"/>
      <c r="V14" s="21"/>
      <c r="W14" s="2"/>
      <c r="X14" s="2">
        <f t="shared" si="2"/>
        <v>13857.74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--26159.34</f>
        <v>26159.34</v>
      </c>
      <c r="E15" s="2"/>
      <c r="F15" s="21"/>
      <c r="G15" s="2"/>
      <c r="H15" s="2"/>
      <c r="I15" s="2"/>
      <c r="J15" s="21"/>
      <c r="K15" s="2"/>
      <c r="L15" s="2">
        <f t="shared" si="0"/>
        <v>26159.34</v>
      </c>
      <c r="M15" s="2"/>
      <c r="N15" s="21">
        <f t="shared" si="1"/>
        <v>0</v>
      </c>
      <c r="O15" s="11"/>
      <c r="P15" s="2">
        <f>--38664.18</f>
        <v>38664.18</v>
      </c>
      <c r="Q15" s="2"/>
      <c r="R15" s="21"/>
      <c r="S15" s="2"/>
      <c r="T15" s="2"/>
      <c r="U15" s="2"/>
      <c r="V15" s="21"/>
      <c r="W15" s="2"/>
      <c r="X15" s="2">
        <f t="shared" si="2"/>
        <v>38664.18</v>
      </c>
      <c r="Y15" s="2"/>
      <c r="Z15" s="21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11013.169999999998</v>
      </c>
      <c r="E17" s="4"/>
      <c r="F17" s="12">
        <f t="shared" ref="F17:F20" si="4">IF(D$12=0,0,D17/D$12)</f>
        <v>0.32000861246605061</v>
      </c>
      <c r="G17" s="4"/>
      <c r="H17" s="4">
        <f>SUM(OSRRefH16x_0)</f>
        <v>29440</v>
      </c>
      <c r="I17" s="4"/>
      <c r="J17" s="12">
        <f t="shared" ref="J17:J20" si="5">IF(H$12=0,0,H17/H$12)</f>
        <v>0.32</v>
      </c>
      <c r="K17" s="4"/>
      <c r="L17" s="4">
        <f t="shared" ref="L17:L20" si="6">+D17-H17</f>
        <v>-18426.830000000002</v>
      </c>
      <c r="M17" s="4"/>
      <c r="N17" s="12">
        <f t="shared" ref="N17:N20" si="7">IF(H17=0,0,L17/H17)</f>
        <v>-0.62591134510869573</v>
      </c>
      <c r="O17" s="10"/>
      <c r="P17" s="4">
        <f>SUM(OSRRefP16x_0)</f>
        <v>21248.52</v>
      </c>
      <c r="Q17" s="4"/>
      <c r="R17" s="12">
        <f t="shared" ref="R17:R20" si="8">IF(P$12=0,0,P17/P$12)</f>
        <v>0.40456479884969937</v>
      </c>
      <c r="S17" s="4"/>
      <c r="T17" s="4">
        <f>SUM(OSRRefT16x_0)</f>
        <v>37440</v>
      </c>
      <c r="U17" s="4"/>
      <c r="V17" s="12">
        <f t="shared" ref="V17:V20" si="9">IF(T$12=0,0,T17/T$12)</f>
        <v>0.32</v>
      </c>
      <c r="W17" s="4"/>
      <c r="X17" s="4">
        <f t="shared" ref="X17:X20" si="10">+P17-T17</f>
        <v>-16191.48</v>
      </c>
      <c r="Y17" s="4"/>
      <c r="Z17" s="12">
        <f t="shared" ref="Z17:Z20" si="11">IF(T17=0,0,X17/T17)</f>
        <v>-0.43246474358974357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1">
        <f t="shared" si="4"/>
        <v>0</v>
      </c>
      <c r="G18" s="2"/>
      <c r="H18" s="2">
        <v>29440</v>
      </c>
      <c r="I18" s="2"/>
      <c r="J18" s="21">
        <f t="shared" si="5"/>
        <v>0.32</v>
      </c>
      <c r="K18" s="2"/>
      <c r="L18" s="2">
        <f t="shared" si="6"/>
        <v>-29440</v>
      </c>
      <c r="M18" s="2"/>
      <c r="N18" s="21">
        <f t="shared" si="7"/>
        <v>-1</v>
      </c>
      <c r="O18" s="11"/>
      <c r="P18" s="2"/>
      <c r="Q18" s="2"/>
      <c r="R18" s="21">
        <f t="shared" si="8"/>
        <v>0</v>
      </c>
      <c r="S18" s="2"/>
      <c r="T18" s="2">
        <v>37440</v>
      </c>
      <c r="U18" s="2"/>
      <c r="V18" s="21">
        <f t="shared" si="9"/>
        <v>0.32</v>
      </c>
      <c r="W18" s="2"/>
      <c r="X18" s="2">
        <f t="shared" si="10"/>
        <v>-37440</v>
      </c>
      <c r="Y18" s="2"/>
      <c r="Z18" s="21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14927.169999999998</v>
      </c>
      <c r="E19" s="2"/>
      <c r="F19" s="21">
        <f t="shared" si="4"/>
        <v>0.4337373308270786</v>
      </c>
      <c r="G19" s="2"/>
      <c r="H19" s="2"/>
      <c r="I19" s="2"/>
      <c r="J19" s="21">
        <f t="shared" si="5"/>
        <v>0</v>
      </c>
      <c r="K19" s="2"/>
      <c r="L19" s="2">
        <f t="shared" si="6"/>
        <v>14927.169999999998</v>
      </c>
      <c r="M19" s="2"/>
      <c r="N19" s="21">
        <f t="shared" si="7"/>
        <v>0</v>
      </c>
      <c r="O19" s="11"/>
      <c r="P19" s="2">
        <v>23780.52</v>
      </c>
      <c r="Q19" s="2"/>
      <c r="R19" s="21">
        <f t="shared" si="8"/>
        <v>0.45277324210539144</v>
      </c>
      <c r="S19" s="2"/>
      <c r="T19" s="2"/>
      <c r="U19" s="2"/>
      <c r="V19" s="21">
        <f t="shared" si="9"/>
        <v>0</v>
      </c>
      <c r="W19" s="2"/>
      <c r="X19" s="2">
        <f t="shared" si="10"/>
        <v>23780.52</v>
      </c>
      <c r="Y19" s="2"/>
      <c r="Z19" s="21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-3914</v>
      </c>
      <c r="E20" s="2"/>
      <c r="F20" s="21">
        <f t="shared" si="4"/>
        <v>-0.11372871836102796</v>
      </c>
      <c r="G20" s="2"/>
      <c r="H20" s="2"/>
      <c r="I20" s="2"/>
      <c r="J20" s="21">
        <f t="shared" si="5"/>
        <v>0</v>
      </c>
      <c r="K20" s="2"/>
      <c r="L20" s="2">
        <f t="shared" si="6"/>
        <v>-3914</v>
      </c>
      <c r="M20" s="2"/>
      <c r="N20" s="21">
        <f t="shared" si="7"/>
        <v>0</v>
      </c>
      <c r="O20" s="11"/>
      <c r="P20" s="2">
        <v>-2532</v>
      </c>
      <c r="Q20" s="2"/>
      <c r="R20" s="21">
        <f t="shared" si="8"/>
        <v>-4.8208443255692103E-2</v>
      </c>
      <c r="S20" s="2"/>
      <c r="T20" s="2"/>
      <c r="U20" s="2"/>
      <c r="V20" s="21">
        <f t="shared" si="9"/>
        <v>0</v>
      </c>
      <c r="W20" s="2"/>
      <c r="X20" s="2">
        <f t="shared" si="10"/>
        <v>-2532</v>
      </c>
      <c r="Y20" s="2"/>
      <c r="Z20" s="21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23402.059999999998</v>
      </c>
      <c r="E22" s="14"/>
      <c r="F22" s="20">
        <f>IF(D$12=0,0,D22/D$12)</f>
        <v>0.67999138753394939</v>
      </c>
      <c r="G22" s="14"/>
      <c r="H22" s="22">
        <f>H12-H17</f>
        <v>62560</v>
      </c>
      <c r="I22" s="14"/>
      <c r="J22" s="20">
        <f>IF(H$12=0,0,H22/H$12)</f>
        <v>0.68</v>
      </c>
      <c r="K22" s="15"/>
      <c r="L22" s="22">
        <f>+D22-H22</f>
        <v>-39157.94</v>
      </c>
      <c r="M22" s="15"/>
      <c r="N22" s="20">
        <f>IF(H22=0,0,L22/H22)</f>
        <v>-0.6259261508951407</v>
      </c>
      <c r="O22" s="28"/>
      <c r="P22" s="22">
        <f>P12-P17</f>
        <v>31273.399999999998</v>
      </c>
      <c r="Q22" s="14"/>
      <c r="R22" s="20">
        <f>IF(P$12=0,0,P22/P$12)</f>
        <v>0.59543520115030069</v>
      </c>
      <c r="S22" s="14"/>
      <c r="T22" s="22">
        <f>T12-T17</f>
        <v>79560</v>
      </c>
      <c r="U22" s="14"/>
      <c r="V22" s="20">
        <f>IF(T$12=0,0,T22/T$12)</f>
        <v>0.68</v>
      </c>
      <c r="W22" s="15"/>
      <c r="X22" s="22">
        <f>+P22-T22</f>
        <v>-48286.600000000006</v>
      </c>
      <c r="Y22" s="15"/>
      <c r="Z22" s="20">
        <f>IF(T22=0,0,X22/T22)</f>
        <v>-0.60692056309703379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19">
        <f>SUM(OSRRefD22x_0)</f>
        <v>44775.119999999995</v>
      </c>
      <c r="E24" s="19"/>
      <c r="F24" s="34">
        <f t="shared" ref="F24:F34" si="12">IF(D$12=0,0,D24/D$12)</f>
        <v>1.3010263188710347</v>
      </c>
      <c r="G24" s="19"/>
      <c r="H24" s="19">
        <f>SUM(OSRRefH22x_0)</f>
        <v>60052.267669600005</v>
      </c>
      <c r="I24" s="19"/>
      <c r="J24" s="34">
        <f t="shared" ref="J24:J34" si="13">IF(H$12=0,0,H24/H$12)</f>
        <v>0.65274203988695656</v>
      </c>
      <c r="K24" s="4"/>
      <c r="L24" s="19">
        <f t="shared" ref="L24:L34" si="14">+D24-H24</f>
        <v>-15277.14766960001</v>
      </c>
      <c r="M24" s="4"/>
      <c r="N24" s="34">
        <f t="shared" ref="N24:N34" si="15">IF(H24=0,0,L24/H24)</f>
        <v>-0.2543975150722525</v>
      </c>
      <c r="O24" s="10"/>
      <c r="P24" s="19">
        <f>SUM(OSRRefP22x_0)</f>
        <v>85623.91</v>
      </c>
      <c r="Q24" s="19"/>
      <c r="R24" s="34">
        <f t="shared" ref="R24:R34" si="16">IF(P$12=0,0,P24/P$12)</f>
        <v>1.6302509504603031</v>
      </c>
      <c r="S24" s="19"/>
      <c r="T24" s="19">
        <f>SUM(OSRRefT22x_0)</f>
        <v>97630.187706600002</v>
      </c>
      <c r="U24" s="19"/>
      <c r="V24" s="34">
        <f t="shared" ref="V24:V34" si="17">IF(T$12=0,0,T24/T$12)</f>
        <v>0.83444604877435902</v>
      </c>
      <c r="W24" s="4"/>
      <c r="X24" s="19">
        <f t="shared" ref="X24:X34" si="18">+P24-T24</f>
        <v>-12006.277706599998</v>
      </c>
      <c r="Y24" s="4"/>
      <c r="Z24" s="34">
        <f t="shared" ref="Z24:Z34" si="19">IF(T24=0,0,X24/T24)</f>
        <v>-0.12297710358482031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5191.7700000000004</v>
      </c>
      <c r="E25" s="1"/>
      <c r="F25" s="5">
        <f t="shared" si="12"/>
        <v>0.15085675731354989</v>
      </c>
      <c r="G25" s="1"/>
      <c r="H25" s="1">
        <f>SUM(OSRRefH22_0x_0)</f>
        <v>14437.117023446153</v>
      </c>
      <c r="I25" s="1"/>
      <c r="J25" s="5">
        <f t="shared" si="13"/>
        <v>0.1569251850374582</v>
      </c>
      <c r="K25" s="1"/>
      <c r="L25" s="1">
        <f t="shared" si="14"/>
        <v>-9245.3470234461529</v>
      </c>
      <c r="M25" s="1"/>
      <c r="N25" s="5">
        <f t="shared" si="15"/>
        <v>-0.64038734384652651</v>
      </c>
      <c r="O25" s="13"/>
      <c r="P25" s="1">
        <f>SUM(OSRRefP22_0x_0)</f>
        <v>10026.880000000001</v>
      </c>
      <c r="Q25" s="1"/>
      <c r="R25" s="5">
        <f t="shared" si="16"/>
        <v>0.19090848163966589</v>
      </c>
      <c r="S25" s="1"/>
      <c r="T25" s="1">
        <f>SUM(OSRRefT22_0x_0)</f>
        <v>19055.098752753853</v>
      </c>
      <c r="U25" s="1"/>
      <c r="V25" s="5">
        <f t="shared" si="17"/>
        <v>0.16286409190387907</v>
      </c>
      <c r="W25" s="1"/>
      <c r="X25" s="1">
        <f t="shared" si="18"/>
        <v>-9028.2187527538517</v>
      </c>
      <c r="Y25" s="1"/>
      <c r="Z25" s="5">
        <f t="shared" si="19"/>
        <v>-0.47379543238783212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1311.72</v>
      </c>
      <c r="E26" s="2"/>
      <c r="F26" s="7">
        <f t="shared" si="12"/>
        <v>3.8114520809536943E-2</v>
      </c>
      <c r="G26" s="2"/>
      <c r="H26" s="6">
        <v>2076.0432031384598</v>
      </c>
      <c r="I26" s="2"/>
      <c r="J26" s="7">
        <f t="shared" si="13"/>
        <v>2.2565686990635433E-2</v>
      </c>
      <c r="K26" s="2"/>
      <c r="L26" s="6">
        <f t="shared" si="14"/>
        <v>-764.3232031384598</v>
      </c>
      <c r="M26" s="2"/>
      <c r="N26" s="7">
        <f t="shared" si="15"/>
        <v>-0.36816343801660467</v>
      </c>
      <c r="O26" s="11"/>
      <c r="P26" s="6">
        <v>2377.16</v>
      </c>
      <c r="Q26" s="2"/>
      <c r="R26" s="7">
        <f t="shared" si="16"/>
        <v>4.526034082531636E-2</v>
      </c>
      <c r="S26" s="2"/>
      <c r="T26" s="6">
        <v>3068.9416570615372</v>
      </c>
      <c r="U26" s="2"/>
      <c r="V26" s="7">
        <f t="shared" si="17"/>
        <v>2.6230270573175531E-2</v>
      </c>
      <c r="W26" s="2"/>
      <c r="X26" s="6">
        <f t="shared" si="18"/>
        <v>-691.78165706153732</v>
      </c>
      <c r="Y26" s="2"/>
      <c r="Z26" s="7">
        <f t="shared" si="19"/>
        <v>-0.22541375313205114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651.69000000000005</v>
      </c>
      <c r="E27" s="2"/>
      <c r="F27" s="7">
        <f t="shared" si="12"/>
        <v>1.89360931192382E-2</v>
      </c>
      <c r="G27" s="2"/>
      <c r="H27" s="6">
        <v>1052.5346436923101</v>
      </c>
      <c r="I27" s="2"/>
      <c r="J27" s="7">
        <f t="shared" si="13"/>
        <v>1.1440593953177283E-2</v>
      </c>
      <c r="K27" s="2"/>
      <c r="L27" s="6">
        <f t="shared" si="14"/>
        <v>-400.84464369231</v>
      </c>
      <c r="M27" s="2"/>
      <c r="N27" s="7">
        <f t="shared" si="15"/>
        <v>-0.38083748225724895</v>
      </c>
      <c r="O27" s="11"/>
      <c r="P27" s="6">
        <v>1184.3</v>
      </c>
      <c r="Q27" s="2"/>
      <c r="R27" s="7">
        <f t="shared" si="16"/>
        <v>2.2548680627060093E-2</v>
      </c>
      <c r="S27" s="2"/>
      <c r="T27" s="6">
        <v>1555.9249483076951</v>
      </c>
      <c r="U27" s="2"/>
      <c r="V27" s="7">
        <f t="shared" si="17"/>
        <v>1.3298503831689701E-2</v>
      </c>
      <c r="W27" s="2"/>
      <c r="X27" s="6">
        <f t="shared" si="18"/>
        <v>-371.62494830769515</v>
      </c>
      <c r="Y27" s="2"/>
      <c r="Z27" s="7">
        <f t="shared" si="19"/>
        <v>-0.23884503472477497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1376.23</v>
      </c>
      <c r="E28" s="2"/>
      <c r="F28" s="7">
        <f t="shared" si="12"/>
        <v>3.9988981622380564E-2</v>
      </c>
      <c r="G28" s="2"/>
      <c r="H28" s="6">
        <v>1326</v>
      </c>
      <c r="I28" s="2"/>
      <c r="J28" s="7">
        <f t="shared" si="13"/>
        <v>1.4413043478260869E-2</v>
      </c>
      <c r="K28" s="2"/>
      <c r="L28" s="6">
        <f t="shared" si="14"/>
        <v>50.230000000000018</v>
      </c>
      <c r="M28" s="2"/>
      <c r="N28" s="7">
        <f t="shared" si="15"/>
        <v>3.788084464555054E-2</v>
      </c>
      <c r="O28" s="11"/>
      <c r="P28" s="6">
        <v>2752.46</v>
      </c>
      <c r="Q28" s="2"/>
      <c r="R28" s="7">
        <f t="shared" si="16"/>
        <v>5.2405928800774992E-2</v>
      </c>
      <c r="S28" s="2"/>
      <c r="T28" s="6">
        <v>2652</v>
      </c>
      <c r="U28" s="2"/>
      <c r="V28" s="7">
        <f t="shared" si="17"/>
        <v>2.2666666666666668E-2</v>
      </c>
      <c r="W28" s="2"/>
      <c r="X28" s="6">
        <f t="shared" si="18"/>
        <v>100.46000000000004</v>
      </c>
      <c r="Y28" s="2"/>
      <c r="Z28" s="7">
        <f t="shared" si="19"/>
        <v>3.788084464555054E-2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44.74</v>
      </c>
      <c r="E29" s="2"/>
      <c r="F29" s="7">
        <f t="shared" si="12"/>
        <v>1.3000058404375042E-3</v>
      </c>
      <c r="G29" s="2"/>
      <c r="H29" s="6">
        <v>70.530671999999996</v>
      </c>
      <c r="I29" s="2"/>
      <c r="J29" s="7">
        <f t="shared" si="13"/>
        <v>7.6663773913043473E-4</v>
      </c>
      <c r="K29" s="2"/>
      <c r="L29" s="6">
        <f t="shared" si="14"/>
        <v>-25.790671999999994</v>
      </c>
      <c r="M29" s="2"/>
      <c r="N29" s="7">
        <f t="shared" si="15"/>
        <v>-0.36566604668108077</v>
      </c>
      <c r="O29" s="11"/>
      <c r="P29" s="6">
        <v>81.3</v>
      </c>
      <c r="Q29" s="2"/>
      <c r="R29" s="7">
        <f t="shared" si="16"/>
        <v>1.547925132973052E-3</v>
      </c>
      <c r="S29" s="2"/>
      <c r="T29" s="6">
        <v>104.263012</v>
      </c>
      <c r="U29" s="2"/>
      <c r="V29" s="7">
        <f t="shared" si="17"/>
        <v>8.9113685470085474E-4</v>
      </c>
      <c r="W29" s="2"/>
      <c r="X29" s="6">
        <f t="shared" si="18"/>
        <v>-22.963012000000006</v>
      </c>
      <c r="Y29" s="2"/>
      <c r="Z29" s="7">
        <f t="shared" si="19"/>
        <v>-0.22024121075650496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696.67</v>
      </c>
      <c r="E30" s="2"/>
      <c r="F30" s="7">
        <f t="shared" si="12"/>
        <v>2.0243072616396868E-2</v>
      </c>
      <c r="G30" s="2"/>
      <c r="H30" s="6">
        <v>814.17761230769202</v>
      </c>
      <c r="I30" s="2"/>
      <c r="J30" s="7">
        <f t="shared" si="13"/>
        <v>8.8497566555183916E-3</v>
      </c>
      <c r="K30" s="2"/>
      <c r="L30" s="6">
        <f t="shared" si="14"/>
        <v>-117.50761230769206</v>
      </c>
      <c r="M30" s="2"/>
      <c r="N30" s="7">
        <f t="shared" si="15"/>
        <v>-0.14432675442233098</v>
      </c>
      <c r="O30" s="11"/>
      <c r="P30" s="6">
        <v>1393.34</v>
      </c>
      <c r="Q30" s="2"/>
      <c r="R30" s="7">
        <f t="shared" si="16"/>
        <v>2.6528733146084529E-2</v>
      </c>
      <c r="S30" s="2"/>
      <c r="T30" s="6">
        <v>1831.8996276923119</v>
      </c>
      <c r="U30" s="2"/>
      <c r="V30" s="7">
        <f t="shared" si="17"/>
        <v>1.5657261775147965E-2</v>
      </c>
      <c r="W30" s="2"/>
      <c r="X30" s="6">
        <f t="shared" si="18"/>
        <v>-438.55962769231201</v>
      </c>
      <c r="Y30" s="2"/>
      <c r="Z30" s="7">
        <f t="shared" si="19"/>
        <v>-0.23940155948651845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8000</v>
      </c>
      <c r="I31" s="2"/>
      <c r="J31" s="7">
        <f t="shared" si="13"/>
        <v>8.6956521739130432E-2</v>
      </c>
      <c r="K31" s="2"/>
      <c r="L31" s="6">
        <f t="shared" si="14"/>
        <v>-8000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8000</v>
      </c>
      <c r="U31" s="2"/>
      <c r="V31" s="7">
        <f t="shared" si="17"/>
        <v>6.8376068376068383E-2</v>
      </c>
      <c r="W31" s="2"/>
      <c r="X31" s="6">
        <f t="shared" si="18"/>
        <v>-8000</v>
      </c>
      <c r="Y31" s="2"/>
      <c r="Z31" s="7">
        <f t="shared" si="19"/>
        <v>-1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384</v>
      </c>
      <c r="E32" s="2"/>
      <c r="F32" s="7">
        <f t="shared" si="12"/>
        <v>1.1157850753866822E-2</v>
      </c>
      <c r="G32" s="2"/>
      <c r="H32" s="6">
        <v>284.01544615384603</v>
      </c>
      <c r="I32" s="2"/>
      <c r="J32" s="7">
        <f t="shared" si="13"/>
        <v>3.0871244147157176E-3</v>
      </c>
      <c r="K32" s="2"/>
      <c r="L32" s="6">
        <f t="shared" si="14"/>
        <v>99.984553846153972</v>
      </c>
      <c r="M32" s="2"/>
      <c r="N32" s="7">
        <f t="shared" si="15"/>
        <v>0.35203914153314797</v>
      </c>
      <c r="O32" s="11"/>
      <c r="P32" s="6">
        <v>768</v>
      </c>
      <c r="Q32" s="2"/>
      <c r="R32" s="7">
        <f t="shared" si="16"/>
        <v>1.4622466200778646E-2</v>
      </c>
      <c r="S32" s="2"/>
      <c r="T32" s="6">
        <v>639.03475384615399</v>
      </c>
      <c r="U32" s="2"/>
      <c r="V32" s="7">
        <f t="shared" si="17"/>
        <v>5.461835502958581E-3</v>
      </c>
      <c r="W32" s="2"/>
      <c r="X32" s="6">
        <f t="shared" si="18"/>
        <v>128.96524615384601</v>
      </c>
      <c r="Y32" s="2"/>
      <c r="Z32" s="7">
        <f t="shared" si="19"/>
        <v>0.20181257025168631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460.04</v>
      </c>
      <c r="E33" s="2"/>
      <c r="F33" s="7">
        <f t="shared" si="12"/>
        <v>1.3367337658356491E-2</v>
      </c>
      <c r="G33" s="2"/>
      <c r="H33" s="6">
        <v>813.81544615384598</v>
      </c>
      <c r="I33" s="2"/>
      <c r="J33" s="7">
        <f t="shared" si="13"/>
        <v>8.84582006688963E-3</v>
      </c>
      <c r="K33" s="2"/>
      <c r="L33" s="6">
        <f t="shared" si="14"/>
        <v>-353.77544615384596</v>
      </c>
      <c r="M33" s="2"/>
      <c r="N33" s="7">
        <f t="shared" si="15"/>
        <v>-0.43471213015901305</v>
      </c>
      <c r="O33" s="11"/>
      <c r="P33" s="6">
        <v>920.08</v>
      </c>
      <c r="Q33" s="2"/>
      <c r="R33" s="7">
        <f t="shared" si="16"/>
        <v>1.7518019143245335E-2</v>
      </c>
      <c r="S33" s="2"/>
      <c r="T33" s="6">
        <v>1203.034753846154</v>
      </c>
      <c r="U33" s="2"/>
      <c r="V33" s="7">
        <f t="shared" si="17"/>
        <v>1.0282348323471401E-2</v>
      </c>
      <c r="W33" s="2"/>
      <c r="X33" s="6">
        <f t="shared" si="18"/>
        <v>-282.95475384615395</v>
      </c>
      <c r="Y33" s="2"/>
      <c r="Z33" s="7">
        <f t="shared" si="19"/>
        <v>-0.23520081439171678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266.68</v>
      </c>
      <c r="E34" s="2"/>
      <c r="F34" s="7">
        <f t="shared" si="12"/>
        <v>7.7488948933364691E-3</v>
      </c>
      <c r="G34" s="2"/>
      <c r="H34" s="6"/>
      <c r="I34" s="2"/>
      <c r="J34" s="7">
        <f t="shared" si="13"/>
        <v>0</v>
      </c>
      <c r="K34" s="2"/>
      <c r="L34" s="6">
        <f t="shared" si="14"/>
        <v>266.68</v>
      </c>
      <c r="M34" s="2"/>
      <c r="N34" s="7">
        <f t="shared" si="15"/>
        <v>0</v>
      </c>
      <c r="O34" s="11"/>
      <c r="P34" s="6">
        <v>550.24</v>
      </c>
      <c r="Q34" s="2"/>
      <c r="R34" s="7">
        <f t="shared" si="16"/>
        <v>1.0476387763432867E-2</v>
      </c>
      <c r="S34" s="2"/>
      <c r="T34" s="6"/>
      <c r="U34" s="2"/>
      <c r="V34" s="7">
        <f t="shared" si="17"/>
        <v>0</v>
      </c>
      <c r="W34" s="2"/>
      <c r="X34" s="6">
        <f t="shared" si="18"/>
        <v>550.24</v>
      </c>
      <c r="Y34" s="2"/>
      <c r="Z34" s="7">
        <f t="shared" si="19"/>
        <v>0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20083.28</v>
      </c>
      <c r="E35" s="1"/>
      <c r="F35" s="5">
        <f t="shared" ref="F35:F45" si="20">IF(D$12=0,0,D35/D$12)</f>
        <v>0.58355791897947507</v>
      </c>
      <c r="G35" s="1"/>
      <c r="H35" s="1">
        <f>SUM(OSRRefH22_1x_0)</f>
        <v>26559.150646153852</v>
      </c>
      <c r="I35" s="1"/>
      <c r="J35" s="5">
        <f t="shared" ref="J35:J45" si="21">IF(H$12=0,0,H35/H$12)</f>
        <v>0.28868642006688972</v>
      </c>
      <c r="K35" s="1"/>
      <c r="L35" s="1">
        <f t="shared" ref="L35:L45" si="22">+D35-H35</f>
        <v>-6475.8706461538532</v>
      </c>
      <c r="M35" s="1"/>
      <c r="N35" s="5">
        <f t="shared" ref="N35:N45" si="23">IF(H35=0,0,L35/H35)</f>
        <v>-0.24382822826044148</v>
      </c>
      <c r="O35" s="13"/>
      <c r="P35" s="1">
        <f>SUM(OSRRefP22_1x_0)</f>
        <v>37153.620000000003</v>
      </c>
      <c r="Q35" s="1"/>
      <c r="R35" s="5">
        <f t="shared" ref="R35:R45" si="24">IF(P$12=0,0,P35/P$12)</f>
        <v>0.70739264672730939</v>
      </c>
      <c r="S35" s="1"/>
      <c r="T35" s="1">
        <f>SUM(OSRRefT22_1x_0)</f>
        <v>38823.088953846149</v>
      </c>
      <c r="U35" s="1"/>
      <c r="V35" s="5">
        <f t="shared" ref="V35:V45" si="25">IF(T$12=0,0,T35/T$12)</f>
        <v>0.33182127310979614</v>
      </c>
      <c r="W35" s="1"/>
      <c r="X35" s="1">
        <f t="shared" ref="X35:X45" si="26">+P35-T35</f>
        <v>-1669.4689538461462</v>
      </c>
      <c r="Y35" s="1"/>
      <c r="Z35" s="5">
        <f t="shared" ref="Z35:Z45" si="27">IF(T35=0,0,X35/T35)</f>
        <v>-4.3001960916372532E-2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9766.34</v>
      </c>
      <c r="E37" s="2"/>
      <c r="F37" s="7">
        <f t="shared" si="20"/>
        <v>0.2837795940924992</v>
      </c>
      <c r="G37" s="2"/>
      <c r="H37" s="6">
        <v>8899.1506461538502</v>
      </c>
      <c r="I37" s="2"/>
      <c r="J37" s="7">
        <f t="shared" si="21"/>
        <v>9.6729898327759245E-2</v>
      </c>
      <c r="K37" s="2"/>
      <c r="L37" s="6">
        <f t="shared" si="22"/>
        <v>867.18935384614997</v>
      </c>
      <c r="M37" s="2"/>
      <c r="N37" s="7">
        <f t="shared" si="23"/>
        <v>9.7446305645016024E-2</v>
      </c>
      <c r="O37" s="11"/>
      <c r="P37" s="6">
        <v>22025.68</v>
      </c>
      <c r="Q37" s="2"/>
      <c r="R37" s="7">
        <f t="shared" si="24"/>
        <v>0.41936166842339351</v>
      </c>
      <c r="S37" s="2"/>
      <c r="T37" s="6">
        <v>20023.088953846149</v>
      </c>
      <c r="U37" s="2"/>
      <c r="V37" s="7">
        <f t="shared" si="25"/>
        <v>0.17113751242603545</v>
      </c>
      <c r="W37" s="2"/>
      <c r="X37" s="6">
        <f t="shared" si="26"/>
        <v>2002.5910461538515</v>
      </c>
      <c r="Y37" s="2"/>
      <c r="Z37" s="7">
        <f t="shared" si="27"/>
        <v>0.10001409127082675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45.5</v>
      </c>
      <c r="E40" s="2"/>
      <c r="F40" s="7">
        <f t="shared" si="20"/>
        <v>1.3220890867211988E-3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45.5</v>
      </c>
      <c r="M40" s="2"/>
      <c r="N40" s="7">
        <f t="shared" si="23"/>
        <v>0</v>
      </c>
      <c r="O40" s="11"/>
      <c r="P40" s="6">
        <v>45.5</v>
      </c>
      <c r="Q40" s="2"/>
      <c r="R40" s="7">
        <f t="shared" si="24"/>
        <v>8.6630496371800582E-4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45.5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10271.44</v>
      </c>
      <c r="E42" s="2"/>
      <c r="F42" s="7">
        <f t="shared" si="20"/>
        <v>0.29845623580025477</v>
      </c>
      <c r="G42" s="2"/>
      <c r="H42" s="6">
        <v>17660</v>
      </c>
      <c r="I42" s="2"/>
      <c r="J42" s="7">
        <f t="shared" si="21"/>
        <v>0.19195652173913044</v>
      </c>
      <c r="K42" s="2"/>
      <c r="L42" s="6">
        <f t="shared" si="22"/>
        <v>-7388.5599999999995</v>
      </c>
      <c r="M42" s="2"/>
      <c r="N42" s="7">
        <f t="shared" si="23"/>
        <v>-0.41837825594563982</v>
      </c>
      <c r="O42" s="11"/>
      <c r="P42" s="6">
        <v>15082.44</v>
      </c>
      <c r="Q42" s="2"/>
      <c r="R42" s="7">
        <f t="shared" si="24"/>
        <v>0.2871646733401978</v>
      </c>
      <c r="S42" s="2"/>
      <c r="T42" s="6">
        <v>18800</v>
      </c>
      <c r="U42" s="2"/>
      <c r="V42" s="7">
        <f t="shared" si="25"/>
        <v>0.1606837606837607</v>
      </c>
      <c r="W42" s="2"/>
      <c r="X42" s="6">
        <f t="shared" si="26"/>
        <v>-3717.5599999999995</v>
      </c>
      <c r="Y42" s="2"/>
      <c r="Z42" s="7">
        <f t="shared" si="27"/>
        <v>-0.19774255319148934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1.87</v>
      </c>
      <c r="E46" s="1"/>
      <c r="F46" s="5">
        <f t="shared" ref="F46:F54" si="28">IF(D$12=0,0,D46/D$12)</f>
        <v>5.4336408619091034E-5</v>
      </c>
      <c r="G46" s="1"/>
      <c r="H46" s="1">
        <f>SUM(OSRRefH22_2x_0)</f>
        <v>150</v>
      </c>
      <c r="I46" s="1"/>
      <c r="J46" s="5">
        <f t="shared" ref="J46:J54" si="29">IF(H$12=0,0,H46/H$12)</f>
        <v>1.6304347826086956E-3</v>
      </c>
      <c r="K46" s="1"/>
      <c r="L46" s="1">
        <f t="shared" ref="L46:L54" si="30">+D46-H46</f>
        <v>-148.13</v>
      </c>
      <c r="M46" s="1"/>
      <c r="N46" s="5">
        <f t="shared" ref="N46:N54" si="31">IF(H46=0,0,L46/H46)</f>
        <v>-0.98753333333333326</v>
      </c>
      <c r="O46" s="13"/>
      <c r="P46" s="1">
        <f>SUM(OSRRefP22_2x_0)</f>
        <v>65.39</v>
      </c>
      <c r="Q46" s="1"/>
      <c r="R46" s="5">
        <f t="shared" ref="R46:R54" si="32">IF(P$12=0,0,P46/P$12)</f>
        <v>1.2450039907147339E-3</v>
      </c>
      <c r="S46" s="1"/>
      <c r="T46" s="1">
        <f>SUM(OSRRefT22_2x_0)</f>
        <v>300</v>
      </c>
      <c r="U46" s="1"/>
      <c r="V46" s="5">
        <f t="shared" ref="V46:V54" si="33">IF(T$12=0,0,T46/T$12)</f>
        <v>2.5641025641025641E-3</v>
      </c>
      <c r="W46" s="1"/>
      <c r="X46" s="1">
        <f t="shared" ref="X46:X54" si="34">+P46-T46</f>
        <v>-234.61</v>
      </c>
      <c r="Y46" s="1"/>
      <c r="Z46" s="5">
        <f t="shared" ref="Z46:Z54" si="35">IF(T46=0,0,X46/T46)</f>
        <v>-0.78203333333333336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1.87</v>
      </c>
      <c r="E47" s="2"/>
      <c r="F47" s="7">
        <f t="shared" si="28"/>
        <v>5.4336408619091034E-5</v>
      </c>
      <c r="G47" s="2"/>
      <c r="H47" s="6">
        <v>150</v>
      </c>
      <c r="I47" s="2"/>
      <c r="J47" s="7">
        <f t="shared" si="29"/>
        <v>1.6304347826086956E-3</v>
      </c>
      <c r="K47" s="2"/>
      <c r="L47" s="6">
        <f t="shared" si="30"/>
        <v>-148.13</v>
      </c>
      <c r="M47" s="2"/>
      <c r="N47" s="7">
        <f t="shared" si="31"/>
        <v>-0.98753333333333326</v>
      </c>
      <c r="O47" s="11"/>
      <c r="P47" s="6">
        <v>65.39</v>
      </c>
      <c r="Q47" s="2"/>
      <c r="R47" s="7">
        <f t="shared" si="32"/>
        <v>1.2450039907147339E-3</v>
      </c>
      <c r="S47" s="2"/>
      <c r="T47" s="6">
        <v>300</v>
      </c>
      <c r="U47" s="2"/>
      <c r="V47" s="7">
        <f t="shared" si="33"/>
        <v>2.5641025641025641E-3</v>
      </c>
      <c r="W47" s="2"/>
      <c r="X47" s="6">
        <f t="shared" si="34"/>
        <v>-234.61</v>
      </c>
      <c r="Y47" s="2"/>
      <c r="Z47" s="7">
        <f t="shared" si="35"/>
        <v>-0.78203333333333336</v>
      </c>
    </row>
    <row r="48" spans="1:26" s="26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13.71</v>
      </c>
      <c r="E48" s="1"/>
      <c r="F48" s="5">
        <f t="shared" si="28"/>
        <v>3.9837014019665138E-4</v>
      </c>
      <c r="G48" s="1"/>
      <c r="H48" s="1">
        <f>SUM(OSRRefH22_3x_0)</f>
        <v>20</v>
      </c>
      <c r="I48" s="1"/>
      <c r="J48" s="5">
        <f t="shared" si="29"/>
        <v>2.173913043478261E-4</v>
      </c>
      <c r="K48" s="1"/>
      <c r="L48" s="1">
        <f t="shared" si="30"/>
        <v>-6.2899999999999991</v>
      </c>
      <c r="M48" s="1"/>
      <c r="N48" s="5">
        <f t="shared" si="31"/>
        <v>-0.31449999999999995</v>
      </c>
      <c r="O48" s="13"/>
      <c r="P48" s="1">
        <f>SUM(OSRRefP22_3x_0)</f>
        <v>6.16</v>
      </c>
      <c r="Q48" s="1"/>
      <c r="R48" s="5">
        <f t="shared" si="32"/>
        <v>1.172843643187454E-4</v>
      </c>
      <c r="S48" s="1"/>
      <c r="T48" s="1">
        <f>SUM(OSRRefT22_3x_0)</f>
        <v>40</v>
      </c>
      <c r="U48" s="1"/>
      <c r="V48" s="5">
        <f t="shared" si="33"/>
        <v>3.4188034188034188E-4</v>
      </c>
      <c r="W48" s="1"/>
      <c r="X48" s="1">
        <f t="shared" si="34"/>
        <v>-33.840000000000003</v>
      </c>
      <c r="Y48" s="1"/>
      <c r="Z48" s="5">
        <f t="shared" si="35"/>
        <v>-0.84600000000000009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13.71</v>
      </c>
      <c r="E49" s="2"/>
      <c r="F49" s="7">
        <f t="shared" si="28"/>
        <v>3.9837014019665138E-4</v>
      </c>
      <c r="G49" s="2"/>
      <c r="H49" s="6">
        <v>20</v>
      </c>
      <c r="I49" s="2"/>
      <c r="J49" s="7">
        <f t="shared" si="29"/>
        <v>2.173913043478261E-4</v>
      </c>
      <c r="K49" s="2"/>
      <c r="L49" s="6">
        <f t="shared" si="30"/>
        <v>-6.2899999999999991</v>
      </c>
      <c r="M49" s="2"/>
      <c r="N49" s="7">
        <f t="shared" si="31"/>
        <v>-0.31449999999999995</v>
      </c>
      <c r="O49" s="11"/>
      <c r="P49" s="6">
        <v>6.16</v>
      </c>
      <c r="Q49" s="2"/>
      <c r="R49" s="7">
        <f t="shared" si="32"/>
        <v>1.172843643187454E-4</v>
      </c>
      <c r="S49" s="2"/>
      <c r="T49" s="6">
        <v>40</v>
      </c>
      <c r="U49" s="2"/>
      <c r="V49" s="7">
        <f t="shared" si="33"/>
        <v>3.4188034188034188E-4</v>
      </c>
      <c r="W49" s="2"/>
      <c r="X49" s="6">
        <f t="shared" si="34"/>
        <v>-33.840000000000003</v>
      </c>
      <c r="Y49" s="2"/>
      <c r="Z49" s="7">
        <f t="shared" si="35"/>
        <v>-0.84600000000000009</v>
      </c>
    </row>
    <row r="50" spans="1:26" s="26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900.71</v>
      </c>
      <c r="E50" s="1"/>
      <c r="F50" s="5">
        <f t="shared" si="28"/>
        <v>2.6171843105508814E-2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900.71</v>
      </c>
      <c r="M50" s="1"/>
      <c r="N50" s="5">
        <f t="shared" si="31"/>
        <v>0</v>
      </c>
      <c r="O50" s="13"/>
      <c r="P50" s="1">
        <f>SUM(OSRRefP22_4x_0)</f>
        <v>1394.36</v>
      </c>
      <c r="Q50" s="1"/>
      <c r="R50" s="5">
        <f t="shared" si="32"/>
        <v>2.654815360900744E-2</v>
      </c>
      <c r="S50" s="1"/>
      <c r="T50" s="1">
        <f>SUM(OSRRefT22_4x_0)</f>
        <v>0</v>
      </c>
      <c r="U50" s="1"/>
      <c r="V50" s="5">
        <f t="shared" si="33"/>
        <v>0</v>
      </c>
      <c r="W50" s="1"/>
      <c r="X50" s="1">
        <f t="shared" si="34"/>
        <v>1394.36</v>
      </c>
      <c r="Y50" s="1"/>
      <c r="Z50" s="5">
        <f t="shared" si="35"/>
        <v>0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900.71</v>
      </c>
      <c r="E51" s="2"/>
      <c r="F51" s="7">
        <f t="shared" si="28"/>
        <v>2.6171843105508814E-2</v>
      </c>
      <c r="G51" s="2"/>
      <c r="H51" s="6"/>
      <c r="I51" s="2"/>
      <c r="J51" s="7">
        <f t="shared" si="29"/>
        <v>0</v>
      </c>
      <c r="K51" s="2"/>
      <c r="L51" s="6">
        <f t="shared" si="30"/>
        <v>900.71</v>
      </c>
      <c r="M51" s="2"/>
      <c r="N51" s="7">
        <f t="shared" si="31"/>
        <v>0</v>
      </c>
      <c r="O51" s="11"/>
      <c r="P51" s="6">
        <v>1394.36</v>
      </c>
      <c r="Q51" s="2"/>
      <c r="R51" s="7">
        <f t="shared" si="32"/>
        <v>2.654815360900744E-2</v>
      </c>
      <c r="S51" s="2"/>
      <c r="T51" s="6"/>
      <c r="U51" s="2"/>
      <c r="V51" s="7">
        <f t="shared" si="33"/>
        <v>0</v>
      </c>
      <c r="W51" s="2"/>
      <c r="X51" s="6">
        <f t="shared" si="34"/>
        <v>1394.36</v>
      </c>
      <c r="Y51" s="2"/>
      <c r="Z51" s="7">
        <f t="shared" si="35"/>
        <v>0</v>
      </c>
    </row>
    <row r="52" spans="1:26" s="26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5612.57</v>
      </c>
      <c r="E52" s="1"/>
      <c r="F52" s="5">
        <f t="shared" si="28"/>
        <v>0.16308390209799559</v>
      </c>
      <c r="G52" s="1"/>
      <c r="H52" s="1">
        <f>SUM(OSRRefH22_5x_0)</f>
        <v>5651</v>
      </c>
      <c r="I52" s="1"/>
      <c r="J52" s="5">
        <f t="shared" si="29"/>
        <v>6.1423913043478259E-2</v>
      </c>
      <c r="K52" s="1"/>
      <c r="L52" s="1">
        <f t="shared" si="30"/>
        <v>-38.430000000000291</v>
      </c>
      <c r="M52" s="1"/>
      <c r="N52" s="5">
        <f t="shared" si="31"/>
        <v>-6.8005662714564312E-3</v>
      </c>
      <c r="O52" s="13"/>
      <c r="P52" s="1">
        <f>SUM(OSRRefP22_5x_0)</f>
        <v>11225.14</v>
      </c>
      <c r="Q52" s="1"/>
      <c r="R52" s="5">
        <f t="shared" si="32"/>
        <v>0.21372295605339636</v>
      </c>
      <c r="S52" s="1"/>
      <c r="T52" s="1">
        <f>SUM(OSRRefT22_5x_0)</f>
        <v>11302</v>
      </c>
      <c r="U52" s="1"/>
      <c r="V52" s="5">
        <f t="shared" si="33"/>
        <v>9.6598290598290601E-2</v>
      </c>
      <c r="W52" s="1"/>
      <c r="X52" s="1">
        <f t="shared" si="34"/>
        <v>-76.860000000000582</v>
      </c>
      <c r="Y52" s="1"/>
      <c r="Z52" s="5">
        <f t="shared" si="35"/>
        <v>-6.8005662714564312E-3</v>
      </c>
    </row>
    <row r="53" spans="1:26" s="24" customFormat="1" hidden="1" outlineLevel="2" x14ac:dyDescent="0.25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4626.5</v>
      </c>
      <c r="E53" s="2"/>
      <c r="F53" s="7">
        <f t="shared" si="28"/>
        <v>0.13443176175199179</v>
      </c>
      <c r="G53" s="2"/>
      <c r="H53" s="6">
        <v>5165</v>
      </c>
      <c r="I53" s="2"/>
      <c r="J53" s="7">
        <f t="shared" si="29"/>
        <v>5.614130434782609E-2</v>
      </c>
      <c r="K53" s="2"/>
      <c r="L53" s="6">
        <f t="shared" si="30"/>
        <v>-538.5</v>
      </c>
      <c r="M53" s="2"/>
      <c r="N53" s="7">
        <f t="shared" si="31"/>
        <v>-0.1042594385285576</v>
      </c>
      <c r="O53" s="11"/>
      <c r="P53" s="6">
        <v>9253</v>
      </c>
      <c r="Q53" s="2"/>
      <c r="R53" s="7">
        <f t="shared" si="32"/>
        <v>0.17617406218203752</v>
      </c>
      <c r="S53" s="2"/>
      <c r="T53" s="6">
        <v>10330</v>
      </c>
      <c r="U53" s="2"/>
      <c r="V53" s="7">
        <f t="shared" si="33"/>
        <v>8.8290598290598293E-2</v>
      </c>
      <c r="W53" s="2"/>
      <c r="X53" s="6">
        <f t="shared" si="34"/>
        <v>-1077</v>
      </c>
      <c r="Y53" s="2"/>
      <c r="Z53" s="7">
        <f t="shared" si="35"/>
        <v>-0.1042594385285576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986.07</v>
      </c>
      <c r="E54" s="2"/>
      <c r="F54" s="7">
        <f t="shared" si="28"/>
        <v>2.8652140346003795E-2</v>
      </c>
      <c r="G54" s="2"/>
      <c r="H54" s="6">
        <v>486</v>
      </c>
      <c r="I54" s="2"/>
      <c r="J54" s="7">
        <f t="shared" si="29"/>
        <v>5.2826086956521742E-3</v>
      </c>
      <c r="K54" s="2"/>
      <c r="L54" s="6">
        <f t="shared" si="30"/>
        <v>500.07000000000005</v>
      </c>
      <c r="M54" s="2"/>
      <c r="N54" s="7">
        <f t="shared" si="31"/>
        <v>1.0289506172839507</v>
      </c>
      <c r="O54" s="11"/>
      <c r="P54" s="6">
        <v>1972.14</v>
      </c>
      <c r="Q54" s="2"/>
      <c r="R54" s="7">
        <f t="shared" si="32"/>
        <v>3.754889387135886E-2</v>
      </c>
      <c r="S54" s="2"/>
      <c r="T54" s="6">
        <v>972</v>
      </c>
      <c r="U54" s="2"/>
      <c r="V54" s="7">
        <f t="shared" si="33"/>
        <v>8.3076923076923076E-3</v>
      </c>
      <c r="W54" s="2"/>
      <c r="X54" s="6">
        <f t="shared" si="34"/>
        <v>1000.1400000000001</v>
      </c>
      <c r="Y54" s="2"/>
      <c r="Z54" s="7">
        <f t="shared" si="35"/>
        <v>1.0289506172839507</v>
      </c>
    </row>
    <row r="55" spans="1:26" s="26" customFormat="1" outlineLevel="1" collapsed="1" x14ac:dyDescent="0.25">
      <c r="A55" s="25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66" si="36">IF(D$12=0,0,D55/D$12)</f>
        <v>0</v>
      </c>
      <c r="G55" s="1"/>
      <c r="H55" s="1">
        <f>SUM(OSRRefH22_6x_0)</f>
        <v>100</v>
      </c>
      <c r="I55" s="1"/>
      <c r="J55" s="5">
        <f t="shared" ref="J55:J66" si="37">IF(H$12=0,0,H55/H$12)</f>
        <v>1.0869565217391304E-3</v>
      </c>
      <c r="K55" s="1"/>
      <c r="L55" s="1">
        <f t="shared" ref="L55:L66" si="38">+D55-H55</f>
        <v>-100</v>
      </c>
      <c r="M55" s="1"/>
      <c r="N55" s="5">
        <f t="shared" ref="N55:N66" si="39">IF(H55=0,0,L55/H55)</f>
        <v>-1</v>
      </c>
      <c r="O55" s="13"/>
      <c r="P55" s="1">
        <f>SUM(OSRRefP22_6x_0)</f>
        <v>0</v>
      </c>
      <c r="Q55" s="1"/>
      <c r="R55" s="5">
        <f t="shared" ref="R55:R66" si="40">IF(P$12=0,0,P55/P$12)</f>
        <v>0</v>
      </c>
      <c r="S55" s="1"/>
      <c r="T55" s="1">
        <f>SUM(OSRRefT22_6x_0)</f>
        <v>150</v>
      </c>
      <c r="U55" s="1"/>
      <c r="V55" s="5">
        <f t="shared" ref="V55:V66" si="41">IF(T$12=0,0,T55/T$12)</f>
        <v>1.2820512820512821E-3</v>
      </c>
      <c r="W55" s="1"/>
      <c r="X55" s="1">
        <f t="shared" ref="X55:X66" si="42">+P55-T55</f>
        <v>-150</v>
      </c>
      <c r="Y55" s="1"/>
      <c r="Z55" s="5">
        <f t="shared" ref="Z55:Z66" si="43">IF(T55=0,0,X55/T55)</f>
        <v>-1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100</v>
      </c>
      <c r="I56" s="2"/>
      <c r="J56" s="7">
        <f t="shared" si="37"/>
        <v>1.0869565217391304E-3</v>
      </c>
      <c r="K56" s="2"/>
      <c r="L56" s="6">
        <f t="shared" si="38"/>
        <v>-100</v>
      </c>
      <c r="M56" s="2"/>
      <c r="N56" s="7">
        <f t="shared" si="39"/>
        <v>-1</v>
      </c>
      <c r="O56" s="11"/>
      <c r="P56" s="6"/>
      <c r="Q56" s="2"/>
      <c r="R56" s="7">
        <f t="shared" si="40"/>
        <v>0</v>
      </c>
      <c r="S56" s="2"/>
      <c r="T56" s="6">
        <v>150</v>
      </c>
      <c r="U56" s="2"/>
      <c r="V56" s="7">
        <f t="shared" si="41"/>
        <v>1.2820512820512821E-3</v>
      </c>
      <c r="W56" s="2"/>
      <c r="X56" s="6">
        <f t="shared" si="42"/>
        <v>-150</v>
      </c>
      <c r="Y56" s="2"/>
      <c r="Z56" s="7">
        <f t="shared" si="43"/>
        <v>-1</v>
      </c>
    </row>
    <row r="57" spans="1:26" s="26" customFormat="1" outlineLevel="1" collapsed="1" x14ac:dyDescent="0.25">
      <c r="A57" s="25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SUM(OSRRefD22_7x_0)</f>
        <v>424.06</v>
      </c>
      <c r="E57" s="1"/>
      <c r="F57" s="5">
        <f t="shared" si="36"/>
        <v>1.2321870288241573E-2</v>
      </c>
      <c r="G57" s="1"/>
      <c r="H57" s="1">
        <f>SUM(OSRRefH22_7x_0)</f>
        <v>115</v>
      </c>
      <c r="I57" s="1"/>
      <c r="J57" s="5">
        <f t="shared" si="37"/>
        <v>1.25E-3</v>
      </c>
      <c r="K57" s="1"/>
      <c r="L57" s="1">
        <f t="shared" si="38"/>
        <v>309.06</v>
      </c>
      <c r="M57" s="1"/>
      <c r="N57" s="5">
        <f t="shared" si="39"/>
        <v>2.6874782608695651</v>
      </c>
      <c r="O57" s="13"/>
      <c r="P57" s="1">
        <f>SUM(OSRRefP22_7x_0)</f>
        <v>832.71</v>
      </c>
      <c r="Q57" s="1"/>
      <c r="R57" s="5">
        <f t="shared" si="40"/>
        <v>1.5854523216211443E-2</v>
      </c>
      <c r="S57" s="1"/>
      <c r="T57" s="1">
        <f>SUM(OSRRefT22_7x_0)</f>
        <v>230</v>
      </c>
      <c r="U57" s="1"/>
      <c r="V57" s="5">
        <f t="shared" si="41"/>
        <v>1.965811965811966E-3</v>
      </c>
      <c r="W57" s="1"/>
      <c r="X57" s="1">
        <f t="shared" si="42"/>
        <v>602.71</v>
      </c>
      <c r="Y57" s="1"/>
      <c r="Z57" s="5">
        <f t="shared" si="43"/>
        <v>2.6204782608695654</v>
      </c>
    </row>
    <row r="58" spans="1:26" s="24" customFormat="1" hidden="1" outlineLevel="2" x14ac:dyDescent="0.25">
      <c r="A58" s="27"/>
      <c r="B58" s="11" t="str">
        <f>CONCATENATE("          ", "6351", " - ", "EQUIPMENT RENTAL")</f>
        <v xml:space="preserve">          6351 - EQUIPMENT RENTAL</v>
      </c>
      <c r="C58" s="11"/>
      <c r="D58" s="6">
        <v>424.06</v>
      </c>
      <c r="E58" s="2"/>
      <c r="F58" s="7">
        <f t="shared" si="36"/>
        <v>1.2321870288241573E-2</v>
      </c>
      <c r="G58" s="2"/>
      <c r="H58" s="6">
        <v>115</v>
      </c>
      <c r="I58" s="2"/>
      <c r="J58" s="7">
        <f t="shared" si="37"/>
        <v>1.25E-3</v>
      </c>
      <c r="K58" s="2"/>
      <c r="L58" s="6">
        <f t="shared" si="38"/>
        <v>309.06</v>
      </c>
      <c r="M58" s="2"/>
      <c r="N58" s="7">
        <f t="shared" si="39"/>
        <v>2.6874782608695651</v>
      </c>
      <c r="O58" s="11"/>
      <c r="P58" s="6">
        <v>832.71</v>
      </c>
      <c r="Q58" s="2"/>
      <c r="R58" s="7">
        <f t="shared" si="40"/>
        <v>1.5854523216211443E-2</v>
      </c>
      <c r="S58" s="2"/>
      <c r="T58" s="6">
        <v>230</v>
      </c>
      <c r="U58" s="2"/>
      <c r="V58" s="7">
        <f t="shared" si="41"/>
        <v>1.965811965811966E-3</v>
      </c>
      <c r="W58" s="2"/>
      <c r="X58" s="6">
        <f t="shared" si="42"/>
        <v>602.71</v>
      </c>
      <c r="Y58" s="2"/>
      <c r="Z58" s="7">
        <f t="shared" si="43"/>
        <v>2.6204782608695654</v>
      </c>
    </row>
    <row r="59" spans="1:26" s="26" customFormat="1" outlineLevel="1" collapsed="1" x14ac:dyDescent="0.25">
      <c r="A59" s="25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SUM(OSRRefD22_8x_0)</f>
        <v>615.51</v>
      </c>
      <c r="E59" s="1"/>
      <c r="F59" s="5">
        <f t="shared" si="36"/>
        <v>1.7884814368522309E-2</v>
      </c>
      <c r="G59" s="1"/>
      <c r="H59" s="1">
        <f>SUM(OSRRefH22_8x_0)</f>
        <v>1000</v>
      </c>
      <c r="I59" s="1"/>
      <c r="J59" s="5">
        <f t="shared" si="37"/>
        <v>1.0869565217391304E-2</v>
      </c>
      <c r="K59" s="1"/>
      <c r="L59" s="1">
        <f t="shared" si="38"/>
        <v>-384.49</v>
      </c>
      <c r="M59" s="1"/>
      <c r="N59" s="5">
        <f t="shared" si="39"/>
        <v>-0.38449</v>
      </c>
      <c r="O59" s="13"/>
      <c r="P59" s="1">
        <f>SUM(OSRRefP22_8x_0)</f>
        <v>2393.5</v>
      </c>
      <c r="Q59" s="1"/>
      <c r="R59" s="5">
        <f t="shared" si="40"/>
        <v>4.5571449025473554E-2</v>
      </c>
      <c r="S59" s="1"/>
      <c r="T59" s="1">
        <f>SUM(OSRRefT22_8x_0)</f>
        <v>2000</v>
      </c>
      <c r="U59" s="1"/>
      <c r="V59" s="5">
        <f t="shared" si="41"/>
        <v>1.7094017094017096E-2</v>
      </c>
      <c r="W59" s="1"/>
      <c r="X59" s="1">
        <f t="shared" si="42"/>
        <v>393.5</v>
      </c>
      <c r="Y59" s="1"/>
      <c r="Z59" s="5">
        <f t="shared" si="43"/>
        <v>0.19675000000000001</v>
      </c>
    </row>
    <row r="60" spans="1:26" s="24" customFormat="1" hidden="1" outlineLevel="2" x14ac:dyDescent="0.25">
      <c r="A60" s="27"/>
      <c r="B60" s="11" t="str">
        <f>CONCATENATE("          ", "6279", " - ", "GENERAL EXPENSE")</f>
        <v xml:space="preserve">          6279 - GENERAL EXPENSE</v>
      </c>
      <c r="C60" s="11"/>
      <c r="D60" s="6">
        <v>615.51</v>
      </c>
      <c r="E60" s="2"/>
      <c r="F60" s="7">
        <f t="shared" si="36"/>
        <v>1.7884814368522309E-2</v>
      </c>
      <c r="G60" s="2"/>
      <c r="H60" s="6">
        <v>1000</v>
      </c>
      <c r="I60" s="2"/>
      <c r="J60" s="7">
        <f t="shared" si="37"/>
        <v>1.0869565217391304E-2</v>
      </c>
      <c r="K60" s="2"/>
      <c r="L60" s="6">
        <f t="shared" si="38"/>
        <v>-384.49</v>
      </c>
      <c r="M60" s="2"/>
      <c r="N60" s="7">
        <f t="shared" si="39"/>
        <v>-0.38449</v>
      </c>
      <c r="O60" s="11"/>
      <c r="P60" s="6">
        <v>2393.5</v>
      </c>
      <c r="Q60" s="2"/>
      <c r="R60" s="7">
        <f t="shared" si="40"/>
        <v>4.5571449025473554E-2</v>
      </c>
      <c r="S60" s="2"/>
      <c r="T60" s="6">
        <v>2000</v>
      </c>
      <c r="U60" s="2"/>
      <c r="V60" s="7">
        <f t="shared" si="41"/>
        <v>1.7094017094017096E-2</v>
      </c>
      <c r="W60" s="2"/>
      <c r="X60" s="6">
        <f t="shared" si="42"/>
        <v>393.5</v>
      </c>
      <c r="Y60" s="2"/>
      <c r="Z60" s="7">
        <f t="shared" si="43"/>
        <v>0.19675000000000001</v>
      </c>
    </row>
    <row r="61" spans="1:26" s="26" customFormat="1" outlineLevel="1" collapsed="1" x14ac:dyDescent="0.25">
      <c r="A61" s="25"/>
      <c r="B61" s="13" t="str">
        <f>CONCATENATE("     ","Rent                                              ")</f>
        <v xml:space="preserve">     Rent                                              </v>
      </c>
      <c r="C61" s="13"/>
      <c r="D61" s="1">
        <f>SUM(OSRRefD22_9x_0)</f>
        <v>1850</v>
      </c>
      <c r="E61" s="1"/>
      <c r="F61" s="5">
        <f t="shared" si="36"/>
        <v>5.3755270558993803E-2</v>
      </c>
      <c r="G61" s="1"/>
      <c r="H61" s="1">
        <f>SUM(OSRRefH22_9x_0)</f>
        <v>1850</v>
      </c>
      <c r="I61" s="1"/>
      <c r="J61" s="5">
        <f t="shared" si="37"/>
        <v>2.0108695652173911E-2</v>
      </c>
      <c r="K61" s="1"/>
      <c r="L61" s="1">
        <f t="shared" si="38"/>
        <v>0</v>
      </c>
      <c r="M61" s="1"/>
      <c r="N61" s="5">
        <f t="shared" si="39"/>
        <v>0</v>
      </c>
      <c r="O61" s="13"/>
      <c r="P61" s="1">
        <f>SUM(OSRRefP22_9x_0)</f>
        <v>3700</v>
      </c>
      <c r="Q61" s="1"/>
      <c r="R61" s="5">
        <f t="shared" si="40"/>
        <v>7.0446777269376287E-2</v>
      </c>
      <c r="S61" s="1"/>
      <c r="T61" s="1">
        <f>SUM(OSRRefT22_9x_0)</f>
        <v>3700</v>
      </c>
      <c r="U61" s="1"/>
      <c r="V61" s="5">
        <f t="shared" si="41"/>
        <v>3.1623931623931623E-2</v>
      </c>
      <c r="W61" s="1"/>
      <c r="X61" s="1">
        <f t="shared" si="42"/>
        <v>0</v>
      </c>
      <c r="Y61" s="1"/>
      <c r="Z61" s="5">
        <f t="shared" si="43"/>
        <v>0</v>
      </c>
    </row>
    <row r="62" spans="1:26" s="24" customFormat="1" hidden="1" outlineLevel="2" x14ac:dyDescent="0.25">
      <c r="A62" s="27"/>
      <c r="B62" s="11" t="str">
        <f>CONCATENATE("          ", "6273", " - ", "RENT")</f>
        <v xml:space="preserve">          6273 - RENT</v>
      </c>
      <c r="C62" s="11"/>
      <c r="D62" s="6">
        <v>1850</v>
      </c>
      <c r="E62" s="2"/>
      <c r="F62" s="7">
        <f t="shared" si="36"/>
        <v>5.3755270558993803E-2</v>
      </c>
      <c r="G62" s="2"/>
      <c r="H62" s="6">
        <v>1850</v>
      </c>
      <c r="I62" s="2"/>
      <c r="J62" s="7">
        <f t="shared" si="37"/>
        <v>2.0108695652173911E-2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>
        <v>3700</v>
      </c>
      <c r="Q62" s="2"/>
      <c r="R62" s="7">
        <f t="shared" si="40"/>
        <v>7.0446777269376287E-2</v>
      </c>
      <c r="S62" s="2"/>
      <c r="T62" s="6">
        <v>3700</v>
      </c>
      <c r="U62" s="2"/>
      <c r="V62" s="7">
        <f t="shared" si="41"/>
        <v>3.1623931623931623E-2</v>
      </c>
      <c r="W62" s="2"/>
      <c r="X62" s="6">
        <f t="shared" si="42"/>
        <v>0</v>
      </c>
      <c r="Y62" s="2"/>
      <c r="Z62" s="7">
        <f t="shared" si="43"/>
        <v>0</v>
      </c>
    </row>
    <row r="63" spans="1:26" s="26" customFormat="1" outlineLevel="1" collapsed="1" x14ac:dyDescent="0.25">
      <c r="A63" s="25"/>
      <c r="B63" s="13" t="str">
        <f>CONCATENATE("     ","Repair and Maintenance                            ")</f>
        <v xml:space="preserve">     Repair and Maintenance                            </v>
      </c>
      <c r="C63" s="13"/>
      <c r="D63" s="1">
        <f>SUM(OSRRefD22_10x_0)</f>
        <v>3395.75</v>
      </c>
      <c r="E63" s="1"/>
      <c r="F63" s="5">
        <f t="shared" si="36"/>
        <v>9.8669978378758488E-2</v>
      </c>
      <c r="G63" s="1"/>
      <c r="H63" s="1">
        <f>SUM(OSRRefH22_10x_0)</f>
        <v>1000</v>
      </c>
      <c r="I63" s="1"/>
      <c r="J63" s="5">
        <f t="shared" si="37"/>
        <v>1.0869565217391304E-2</v>
      </c>
      <c r="K63" s="1"/>
      <c r="L63" s="1">
        <f t="shared" si="38"/>
        <v>2395.75</v>
      </c>
      <c r="M63" s="1"/>
      <c r="N63" s="5">
        <f t="shared" si="39"/>
        <v>2.39575</v>
      </c>
      <c r="O63" s="13"/>
      <c r="P63" s="1">
        <f>SUM(OSRRefP22_10x_0)</f>
        <v>6159</v>
      </c>
      <c r="Q63" s="1"/>
      <c r="R63" s="5">
        <f t="shared" si="40"/>
        <v>0.11726532464921313</v>
      </c>
      <c r="S63" s="1"/>
      <c r="T63" s="1">
        <f>SUM(OSRRefT22_10x_0)</f>
        <v>2500</v>
      </c>
      <c r="U63" s="1"/>
      <c r="V63" s="5">
        <f t="shared" si="41"/>
        <v>2.1367521367521368E-2</v>
      </c>
      <c r="W63" s="1"/>
      <c r="X63" s="1">
        <f t="shared" si="42"/>
        <v>3659</v>
      </c>
      <c r="Y63" s="1"/>
      <c r="Z63" s="5">
        <f t="shared" si="43"/>
        <v>1.4636</v>
      </c>
    </row>
    <row r="64" spans="1:26" s="24" customFormat="1" hidden="1" outlineLevel="2" x14ac:dyDescent="0.25">
      <c r="A64" s="27"/>
      <c r="B64" s="11" t="str">
        <f>CONCATENATE("          ", "6372", " - ", "COMPUTER HARDWARE MAINTENANCE")</f>
        <v xml:space="preserve">          6372 - COMPUTER HARDWARE MAINTENANCE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/>
      <c r="Q64" s="2"/>
      <c r="R64" s="7">
        <f t="shared" si="40"/>
        <v>0</v>
      </c>
      <c r="S64" s="2"/>
      <c r="T64" s="6">
        <v>200</v>
      </c>
      <c r="U64" s="2"/>
      <c r="V64" s="7">
        <f t="shared" si="41"/>
        <v>1.7094017094017094E-3</v>
      </c>
      <c r="W64" s="2"/>
      <c r="X64" s="6">
        <f t="shared" si="42"/>
        <v>-200</v>
      </c>
      <c r="Y64" s="2"/>
      <c r="Z64" s="7">
        <f t="shared" si="43"/>
        <v>-1</v>
      </c>
    </row>
    <row r="65" spans="1:26" s="24" customFormat="1" hidden="1" outlineLevel="2" x14ac:dyDescent="0.25">
      <c r="A65" s="27"/>
      <c r="B65" s="11" t="str">
        <f>CONCATENATE("          ", "6373", " - ", "MAINTENANCE CONTRACTS")</f>
        <v xml:space="preserve">          6373 - MAINTENANCE CONTRACTS</v>
      </c>
      <c r="C65" s="11"/>
      <c r="D65" s="6">
        <v>1000</v>
      </c>
      <c r="E65" s="2"/>
      <c r="F65" s="7">
        <f t="shared" si="36"/>
        <v>2.9056903004861512E-2</v>
      </c>
      <c r="G65" s="2"/>
      <c r="H65" s="6">
        <v>1000</v>
      </c>
      <c r="I65" s="2"/>
      <c r="J65" s="7">
        <f t="shared" si="37"/>
        <v>1.0869565217391304E-2</v>
      </c>
      <c r="K65" s="2"/>
      <c r="L65" s="6">
        <f t="shared" si="38"/>
        <v>0</v>
      </c>
      <c r="M65" s="2"/>
      <c r="N65" s="7">
        <f t="shared" si="39"/>
        <v>0</v>
      </c>
      <c r="O65" s="11"/>
      <c r="P65" s="6">
        <v>2000</v>
      </c>
      <c r="Q65" s="2"/>
      <c r="R65" s="7">
        <f t="shared" si="40"/>
        <v>3.8079339064527727E-2</v>
      </c>
      <c r="S65" s="2"/>
      <c r="T65" s="6">
        <v>2000</v>
      </c>
      <c r="U65" s="2"/>
      <c r="V65" s="7">
        <f t="shared" si="41"/>
        <v>1.7094017094017096E-2</v>
      </c>
      <c r="W65" s="2"/>
      <c r="X65" s="6">
        <f t="shared" si="42"/>
        <v>0</v>
      </c>
      <c r="Y65" s="2"/>
      <c r="Z65" s="7">
        <f t="shared" si="43"/>
        <v>0</v>
      </c>
    </row>
    <row r="66" spans="1:26" s="24" customFormat="1" hidden="1" outlineLevel="2" x14ac:dyDescent="0.25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2395.75</v>
      </c>
      <c r="E66" s="2"/>
      <c r="F66" s="7">
        <f t="shared" si="36"/>
        <v>6.9613075373896965E-2</v>
      </c>
      <c r="G66" s="2"/>
      <c r="H66" s="6"/>
      <c r="I66" s="2"/>
      <c r="J66" s="7">
        <f t="shared" si="37"/>
        <v>0</v>
      </c>
      <c r="K66" s="2"/>
      <c r="L66" s="6">
        <f t="shared" si="38"/>
        <v>2395.75</v>
      </c>
      <c r="M66" s="2"/>
      <c r="N66" s="7">
        <f t="shared" si="39"/>
        <v>0</v>
      </c>
      <c r="O66" s="11"/>
      <c r="P66" s="6">
        <v>4159</v>
      </c>
      <c r="Q66" s="2"/>
      <c r="R66" s="7">
        <f t="shared" si="40"/>
        <v>7.9185985584685412E-2</v>
      </c>
      <c r="S66" s="2"/>
      <c r="T66" s="6">
        <v>300</v>
      </c>
      <c r="U66" s="2"/>
      <c r="V66" s="7">
        <f t="shared" si="41"/>
        <v>2.5641025641025641E-3</v>
      </c>
      <c r="W66" s="2"/>
      <c r="X66" s="6">
        <f t="shared" si="42"/>
        <v>3859</v>
      </c>
      <c r="Y66" s="2"/>
      <c r="Z66" s="7">
        <f t="shared" si="43"/>
        <v>12.863333333333333</v>
      </c>
    </row>
    <row r="67" spans="1:26" s="26" customFormat="1" outlineLevel="1" collapsed="1" x14ac:dyDescent="0.25">
      <c r="A67" s="25"/>
      <c r="B67" s="13" t="str">
        <f>CONCATENATE("     ","Royalty &amp; Commissions                             ")</f>
        <v xml:space="preserve">     Royalty &amp; Commissions                             </v>
      </c>
      <c r="C67" s="13"/>
      <c r="D67" s="1">
        <f>SUM(OSRRefD22_11x_0)</f>
        <v>5972.96</v>
      </c>
      <c r="E67" s="1"/>
      <c r="F67" s="5">
        <f t="shared" ref="F67:F72" si="44">IF(D$12=0,0,D67/D$12)</f>
        <v>0.17355571937191763</v>
      </c>
      <c r="G67" s="1"/>
      <c r="H67" s="1">
        <f>SUM(OSRRefH22_11x_0)</f>
        <v>7360</v>
      </c>
      <c r="I67" s="1"/>
      <c r="J67" s="5">
        <f t="shared" ref="J67:J72" si="45">IF(H$12=0,0,H67/H$12)</f>
        <v>0.08</v>
      </c>
      <c r="K67" s="1"/>
      <c r="L67" s="1">
        <f t="shared" ref="L67:L72" si="46">+D67-H67</f>
        <v>-1387.04</v>
      </c>
      <c r="M67" s="1"/>
      <c r="N67" s="5">
        <f t="shared" ref="N67:N72" si="47">IF(H67=0,0,L67/H67)</f>
        <v>-0.18845652173913044</v>
      </c>
      <c r="O67" s="13"/>
      <c r="P67" s="1">
        <f>SUM(OSRRefP22_11x_0)</f>
        <v>7421.52</v>
      </c>
      <c r="Q67" s="1"/>
      <c r="R67" s="5">
        <f t="shared" ref="R67:R72" si="48">IF(P$12=0,0,P67/P$12)</f>
        <v>0.1413032882270869</v>
      </c>
      <c r="S67" s="1"/>
      <c r="T67" s="1">
        <f>SUM(OSRRefT22_11x_0)</f>
        <v>9360</v>
      </c>
      <c r="U67" s="1"/>
      <c r="V67" s="5">
        <f t="shared" ref="V67:V72" si="49">IF(T$12=0,0,T67/T$12)</f>
        <v>0.08</v>
      </c>
      <c r="W67" s="1"/>
      <c r="X67" s="1">
        <f t="shared" ref="X67:X72" si="50">+P67-T67</f>
        <v>-1938.4799999999996</v>
      </c>
      <c r="Y67" s="1"/>
      <c r="Z67" s="5">
        <f t="shared" ref="Z67:Z72" si="51">IF(T67=0,0,X67/T67)</f>
        <v>-0.20710256410256406</v>
      </c>
    </row>
    <row r="68" spans="1:26" s="24" customFormat="1" hidden="1" outlineLevel="2" x14ac:dyDescent="0.25">
      <c r="A68" s="27"/>
      <c r="B68" s="11" t="str">
        <f>CONCATENATE("          ", "6259", " - ", "ROYALTY &amp; COMMISSIONS")</f>
        <v xml:space="preserve">          6259 - ROYALTY &amp; COMMISSIONS</v>
      </c>
      <c r="C68" s="11"/>
      <c r="D68" s="6">
        <v>5972.96</v>
      </c>
      <c r="E68" s="2"/>
      <c r="F68" s="7">
        <f t="shared" si="44"/>
        <v>0.17355571937191763</v>
      </c>
      <c r="G68" s="2"/>
      <c r="H68" s="6">
        <v>7360</v>
      </c>
      <c r="I68" s="2"/>
      <c r="J68" s="7">
        <f t="shared" si="45"/>
        <v>0.08</v>
      </c>
      <c r="K68" s="2"/>
      <c r="L68" s="6">
        <f t="shared" si="46"/>
        <v>-1387.04</v>
      </c>
      <c r="M68" s="2"/>
      <c r="N68" s="7">
        <f t="shared" si="47"/>
        <v>-0.18845652173913044</v>
      </c>
      <c r="O68" s="11"/>
      <c r="P68" s="6">
        <v>7421.52</v>
      </c>
      <c r="Q68" s="2"/>
      <c r="R68" s="7">
        <f t="shared" si="48"/>
        <v>0.1413032882270869</v>
      </c>
      <c r="S68" s="2"/>
      <c r="T68" s="6">
        <v>9360</v>
      </c>
      <c r="U68" s="2"/>
      <c r="V68" s="7">
        <f t="shared" si="49"/>
        <v>0.08</v>
      </c>
      <c r="W68" s="2"/>
      <c r="X68" s="6">
        <f t="shared" si="50"/>
        <v>-1938.4799999999996</v>
      </c>
      <c r="Y68" s="2"/>
      <c r="Z68" s="7">
        <f t="shared" si="51"/>
        <v>-0.20710256410256406</v>
      </c>
    </row>
    <row r="69" spans="1:26" s="26" customFormat="1" outlineLevel="1" collapsed="1" x14ac:dyDescent="0.25">
      <c r="A69" s="25"/>
      <c r="B69" s="13" t="str">
        <f>CONCATENATE("     ","Services                                          ")</f>
        <v xml:space="preserve">     Services                                          </v>
      </c>
      <c r="C69" s="13"/>
      <c r="D69" s="1">
        <f>SUM(OSRRefD22_12x_0)</f>
        <v>308.96999999999997</v>
      </c>
      <c r="E69" s="1"/>
      <c r="F69" s="5">
        <f t="shared" si="44"/>
        <v>8.9777113214120612E-3</v>
      </c>
      <c r="G69" s="1"/>
      <c r="H69" s="1">
        <f>SUM(OSRRefH22_12x_0)</f>
        <v>360</v>
      </c>
      <c r="I69" s="1"/>
      <c r="J69" s="5">
        <f t="shared" si="45"/>
        <v>3.9130434782608699E-3</v>
      </c>
      <c r="K69" s="1"/>
      <c r="L69" s="1">
        <f t="shared" si="46"/>
        <v>-51.03000000000003</v>
      </c>
      <c r="M69" s="1"/>
      <c r="N69" s="5">
        <f t="shared" si="47"/>
        <v>-0.14175000000000007</v>
      </c>
      <c r="O69" s="13"/>
      <c r="P69" s="1">
        <f>SUM(OSRRefP22_12x_0)</f>
        <v>711.93999999999994</v>
      </c>
      <c r="Q69" s="1"/>
      <c r="R69" s="5">
        <f t="shared" si="48"/>
        <v>1.3555102326799934E-2</v>
      </c>
      <c r="S69" s="1"/>
      <c r="T69" s="1">
        <f>SUM(OSRRefT22_12x_0)</f>
        <v>720</v>
      </c>
      <c r="U69" s="1"/>
      <c r="V69" s="5">
        <f t="shared" si="49"/>
        <v>6.1538461538461538E-3</v>
      </c>
      <c r="W69" s="1"/>
      <c r="X69" s="1">
        <f t="shared" si="50"/>
        <v>-8.0600000000000591</v>
      </c>
      <c r="Y69" s="1"/>
      <c r="Z69" s="5">
        <f t="shared" si="51"/>
        <v>-1.1194444444444526E-2</v>
      </c>
    </row>
    <row r="70" spans="1:26" s="24" customFormat="1" hidden="1" outlineLevel="2" x14ac:dyDescent="0.25">
      <c r="A70" s="27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96.96</v>
      </c>
      <c r="E70" s="2"/>
      <c r="F70" s="7">
        <f t="shared" si="44"/>
        <v>2.8173573153513721E-3</v>
      </c>
      <c r="G70" s="2"/>
      <c r="H70" s="6">
        <v>100</v>
      </c>
      <c r="I70" s="2"/>
      <c r="J70" s="7">
        <f t="shared" si="45"/>
        <v>1.0869565217391304E-3</v>
      </c>
      <c r="K70" s="2"/>
      <c r="L70" s="6">
        <f t="shared" si="46"/>
        <v>-3.0400000000000063</v>
      </c>
      <c r="M70" s="2"/>
      <c r="N70" s="7">
        <f t="shared" si="47"/>
        <v>-3.0400000000000062E-2</v>
      </c>
      <c r="O70" s="11"/>
      <c r="P70" s="6">
        <v>193.92</v>
      </c>
      <c r="Q70" s="2"/>
      <c r="R70" s="7">
        <f t="shared" si="48"/>
        <v>3.692172715696608E-3</v>
      </c>
      <c r="S70" s="2"/>
      <c r="T70" s="6">
        <v>200</v>
      </c>
      <c r="U70" s="2"/>
      <c r="V70" s="7">
        <f t="shared" si="49"/>
        <v>1.7094017094017094E-3</v>
      </c>
      <c r="W70" s="2"/>
      <c r="X70" s="6">
        <f t="shared" si="50"/>
        <v>-6.0800000000000125</v>
      </c>
      <c r="Y70" s="2"/>
      <c r="Z70" s="7">
        <f t="shared" si="51"/>
        <v>-3.0400000000000062E-2</v>
      </c>
    </row>
    <row r="71" spans="1:26" s="24" customFormat="1" hidden="1" outlineLevel="2" x14ac:dyDescent="0.25">
      <c r="A71" s="27"/>
      <c r="B71" s="11" t="str">
        <f>CONCATENATE("          ", "6284", " - ", "TRASH REMOVAL EXPENSE")</f>
        <v xml:space="preserve">          6284 - TRASH REMOVAL EXPENSE</v>
      </c>
      <c r="C71" s="11"/>
      <c r="D71" s="6"/>
      <c r="E71" s="2"/>
      <c r="F71" s="7">
        <f t="shared" si="44"/>
        <v>0</v>
      </c>
      <c r="G71" s="2"/>
      <c r="H71" s="6">
        <v>40</v>
      </c>
      <c r="I71" s="2"/>
      <c r="J71" s="7">
        <f t="shared" si="45"/>
        <v>4.3478260869565219E-4</v>
      </c>
      <c r="K71" s="2"/>
      <c r="L71" s="6">
        <f t="shared" si="46"/>
        <v>-40</v>
      </c>
      <c r="M71" s="2"/>
      <c r="N71" s="7">
        <f t="shared" si="47"/>
        <v>-1</v>
      </c>
      <c r="O71" s="11"/>
      <c r="P71" s="6">
        <v>94</v>
      </c>
      <c r="Q71" s="2"/>
      <c r="R71" s="7">
        <f t="shared" si="48"/>
        <v>1.7897289360328031E-3</v>
      </c>
      <c r="S71" s="2"/>
      <c r="T71" s="6">
        <v>80</v>
      </c>
      <c r="U71" s="2"/>
      <c r="V71" s="7">
        <f t="shared" si="49"/>
        <v>6.8376068376068376E-4</v>
      </c>
      <c r="W71" s="2"/>
      <c r="X71" s="6">
        <f t="shared" si="50"/>
        <v>14</v>
      </c>
      <c r="Y71" s="2"/>
      <c r="Z71" s="7">
        <f t="shared" si="51"/>
        <v>0.17499999999999999</v>
      </c>
    </row>
    <row r="72" spans="1:26" s="24" customFormat="1" hidden="1" outlineLevel="2" x14ac:dyDescent="0.25">
      <c r="A72" s="27"/>
      <c r="B72" s="11" t="str">
        <f>CONCATENATE("          ", "6286", " - ", "LAUNDRY EXPENSE")</f>
        <v xml:space="preserve">          6286 - LAUNDRY EXPENSE</v>
      </c>
      <c r="C72" s="11"/>
      <c r="D72" s="6">
        <v>212.01</v>
      </c>
      <c r="E72" s="2"/>
      <c r="F72" s="7">
        <f t="shared" si="44"/>
        <v>6.1603540060606891E-3</v>
      </c>
      <c r="G72" s="2"/>
      <c r="H72" s="6">
        <v>220</v>
      </c>
      <c r="I72" s="2"/>
      <c r="J72" s="7">
        <f t="shared" si="45"/>
        <v>2.3913043478260869E-3</v>
      </c>
      <c r="K72" s="2"/>
      <c r="L72" s="6">
        <f t="shared" si="46"/>
        <v>-7.9900000000000091</v>
      </c>
      <c r="M72" s="2"/>
      <c r="N72" s="7">
        <f t="shared" si="47"/>
        <v>-3.6318181818181861E-2</v>
      </c>
      <c r="O72" s="11"/>
      <c r="P72" s="6">
        <v>424.02</v>
      </c>
      <c r="Q72" s="2"/>
      <c r="R72" s="7">
        <f t="shared" si="48"/>
        <v>8.0732006750705229E-3</v>
      </c>
      <c r="S72" s="2"/>
      <c r="T72" s="6">
        <v>440</v>
      </c>
      <c r="U72" s="2"/>
      <c r="V72" s="7">
        <f t="shared" si="49"/>
        <v>3.7606837606837607E-3</v>
      </c>
      <c r="W72" s="2"/>
      <c r="X72" s="6">
        <f t="shared" si="50"/>
        <v>-15.980000000000018</v>
      </c>
      <c r="Y72" s="2"/>
      <c r="Z72" s="7">
        <f t="shared" si="51"/>
        <v>-3.6318181818181861E-2</v>
      </c>
    </row>
    <row r="73" spans="1:26" s="26" customFormat="1" outlineLevel="1" collapsed="1" x14ac:dyDescent="0.25">
      <c r="A73" s="25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SUM(OSRRefD22_13x_0)</f>
        <v>30.68</v>
      </c>
      <c r="E73" s="1"/>
      <c r="F73" s="5">
        <f t="shared" ref="F73:F84" si="52">IF(D$12=0,0,D73/D$12)</f>
        <v>8.9146578418915125E-4</v>
      </c>
      <c r="G73" s="1"/>
      <c r="H73" s="1">
        <f>SUM(OSRRefH22_13x_0)</f>
        <v>0</v>
      </c>
      <c r="I73" s="1"/>
      <c r="J73" s="5">
        <f t="shared" ref="J73:J84" si="53">IF(H$12=0,0,H73/H$12)</f>
        <v>0</v>
      </c>
      <c r="K73" s="1"/>
      <c r="L73" s="1">
        <f t="shared" ref="L73:L84" si="54">+D73-H73</f>
        <v>30.68</v>
      </c>
      <c r="M73" s="1"/>
      <c r="N73" s="5">
        <f t="shared" ref="N73:N84" si="55">IF(H73=0,0,L73/H73)</f>
        <v>0</v>
      </c>
      <c r="O73" s="13"/>
      <c r="P73" s="1">
        <f>SUM(OSRRefP22_13x_0)</f>
        <v>30.68</v>
      </c>
      <c r="Q73" s="1"/>
      <c r="R73" s="5">
        <f t="shared" ref="R73:R84" si="56">IF(P$12=0,0,P73/P$12)</f>
        <v>5.8413706124985532E-4</v>
      </c>
      <c r="S73" s="1"/>
      <c r="T73" s="1">
        <f>SUM(OSRRefT22_13x_0)</f>
        <v>0</v>
      </c>
      <c r="U73" s="1"/>
      <c r="V73" s="5">
        <f t="shared" ref="V73:V84" si="57">IF(T$12=0,0,T73/T$12)</f>
        <v>0</v>
      </c>
      <c r="W73" s="1"/>
      <c r="X73" s="1">
        <f t="shared" ref="X73:X84" si="58">+P73-T73</f>
        <v>30.68</v>
      </c>
      <c r="Y73" s="1"/>
      <c r="Z73" s="5">
        <f t="shared" ref="Z73:Z84" si="59">IF(T73=0,0,X73/T73)</f>
        <v>0</v>
      </c>
    </row>
    <row r="74" spans="1:26" s="24" customFormat="1" hidden="1" outlineLevel="2" x14ac:dyDescent="0.25">
      <c r="A74" s="27"/>
      <c r="B74" s="11" t="str">
        <f>CONCATENATE("          ", "6275", " - ", "SUBSCRIPTIONS")</f>
        <v xml:space="preserve">          6275 - SUBSCRIPTIONS</v>
      </c>
      <c r="C74" s="11"/>
      <c r="D74" s="6">
        <v>30.68</v>
      </c>
      <c r="E74" s="2"/>
      <c r="F74" s="7">
        <f t="shared" si="52"/>
        <v>8.9146578418915125E-4</v>
      </c>
      <c r="G74" s="2"/>
      <c r="H74" s="6"/>
      <c r="I74" s="2"/>
      <c r="J74" s="7">
        <f t="shared" si="53"/>
        <v>0</v>
      </c>
      <c r="K74" s="2"/>
      <c r="L74" s="6">
        <f t="shared" si="54"/>
        <v>30.68</v>
      </c>
      <c r="M74" s="2"/>
      <c r="N74" s="7">
        <f t="shared" si="55"/>
        <v>0</v>
      </c>
      <c r="O74" s="11"/>
      <c r="P74" s="6">
        <v>30.68</v>
      </c>
      <c r="Q74" s="2"/>
      <c r="R74" s="7">
        <f t="shared" si="56"/>
        <v>5.8413706124985532E-4</v>
      </c>
      <c r="S74" s="2"/>
      <c r="T74" s="6"/>
      <c r="U74" s="2"/>
      <c r="V74" s="7">
        <f t="shared" si="57"/>
        <v>0</v>
      </c>
      <c r="W74" s="2"/>
      <c r="X74" s="6">
        <f t="shared" si="58"/>
        <v>30.68</v>
      </c>
      <c r="Y74" s="2"/>
      <c r="Z74" s="7">
        <f t="shared" si="59"/>
        <v>0</v>
      </c>
    </row>
    <row r="75" spans="1:26" s="26" customFormat="1" outlineLevel="1" collapsed="1" x14ac:dyDescent="0.25">
      <c r="A75" s="25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SUM(OSRRefD22_14x_0)</f>
        <v>283.38</v>
      </c>
      <c r="E75" s="1"/>
      <c r="F75" s="5">
        <f t="shared" si="52"/>
        <v>8.2341451735176551E-3</v>
      </c>
      <c r="G75" s="1"/>
      <c r="H75" s="1">
        <f>SUM(OSRRefH22_14x_0)</f>
        <v>550</v>
      </c>
      <c r="I75" s="1"/>
      <c r="J75" s="5">
        <f t="shared" si="53"/>
        <v>5.9782608695652176E-3</v>
      </c>
      <c r="K75" s="1"/>
      <c r="L75" s="1">
        <f t="shared" si="54"/>
        <v>-266.62</v>
      </c>
      <c r="M75" s="1"/>
      <c r="N75" s="5">
        <f t="shared" si="55"/>
        <v>-0.4847636363636364</v>
      </c>
      <c r="O75" s="13"/>
      <c r="P75" s="1">
        <f>SUM(OSRRefP22_14x_0)</f>
        <v>3791.1099999999992</v>
      </c>
      <c r="Q75" s="1"/>
      <c r="R75" s="5">
        <f t="shared" si="56"/>
        <v>7.2181481560460836E-2</v>
      </c>
      <c r="S75" s="1"/>
      <c r="T75" s="1">
        <f>SUM(OSRRefT22_14x_0)</f>
        <v>8150</v>
      </c>
      <c r="U75" s="1"/>
      <c r="V75" s="5">
        <f t="shared" si="57"/>
        <v>6.965811965811966E-2</v>
      </c>
      <c r="W75" s="1"/>
      <c r="X75" s="1">
        <f t="shared" si="58"/>
        <v>-4358.8900000000012</v>
      </c>
      <c r="Y75" s="1"/>
      <c r="Z75" s="5">
        <f t="shared" si="59"/>
        <v>-0.53483312883435596</v>
      </c>
    </row>
    <row r="76" spans="1:26" s="24" customFormat="1" hidden="1" outlineLevel="2" x14ac:dyDescent="0.25">
      <c r="A76" s="27"/>
      <c r="B76" s="11" t="str">
        <f>CONCATENATE("          ", "6237", " - ", "JANITORIAL SUPPLIES")</f>
        <v xml:space="preserve">          6237 - JANITORIAL SUPPLIES</v>
      </c>
      <c r="C76" s="11"/>
      <c r="D76" s="6">
        <v>182.63</v>
      </c>
      <c r="E76" s="2"/>
      <c r="F76" s="7">
        <f t="shared" si="52"/>
        <v>5.3066621957778585E-3</v>
      </c>
      <c r="G76" s="2"/>
      <c r="H76" s="6">
        <v>100</v>
      </c>
      <c r="I76" s="2"/>
      <c r="J76" s="7">
        <f t="shared" si="53"/>
        <v>1.0869565217391304E-3</v>
      </c>
      <c r="K76" s="2"/>
      <c r="L76" s="6">
        <f t="shared" si="54"/>
        <v>82.63</v>
      </c>
      <c r="M76" s="2"/>
      <c r="N76" s="7">
        <f t="shared" si="55"/>
        <v>0.82629999999999992</v>
      </c>
      <c r="O76" s="11"/>
      <c r="P76" s="6">
        <v>323.97000000000003</v>
      </c>
      <c r="Q76" s="2"/>
      <c r="R76" s="7">
        <f t="shared" si="56"/>
        <v>6.1682817383675245E-3</v>
      </c>
      <c r="S76" s="2"/>
      <c r="T76" s="6">
        <v>200</v>
      </c>
      <c r="U76" s="2"/>
      <c r="V76" s="7">
        <f t="shared" si="57"/>
        <v>1.7094017094017094E-3</v>
      </c>
      <c r="W76" s="2"/>
      <c r="X76" s="6">
        <f t="shared" si="58"/>
        <v>123.97000000000003</v>
      </c>
      <c r="Y76" s="2"/>
      <c r="Z76" s="7">
        <f t="shared" si="59"/>
        <v>0.61985000000000012</v>
      </c>
    </row>
    <row r="77" spans="1:26" s="24" customFormat="1" hidden="1" outlineLevel="2" x14ac:dyDescent="0.25">
      <c r="A77" s="27"/>
      <c r="B77" s="11" t="str">
        <f>CONCATENATE("          ", "6239", " - ", "KITCHEN SUPPLIES")</f>
        <v xml:space="preserve">          6239 - KITCHEN SUPPLIES</v>
      </c>
      <c r="C77" s="11"/>
      <c r="D77" s="6">
        <v>27.67</v>
      </c>
      <c r="E77" s="2"/>
      <c r="F77" s="7">
        <f t="shared" si="52"/>
        <v>8.040045061445181E-4</v>
      </c>
      <c r="G77" s="2"/>
      <c r="H77" s="6"/>
      <c r="I77" s="2"/>
      <c r="J77" s="7">
        <f t="shared" si="53"/>
        <v>0</v>
      </c>
      <c r="K77" s="2"/>
      <c r="L77" s="6">
        <f t="shared" si="54"/>
        <v>27.67</v>
      </c>
      <c r="M77" s="2"/>
      <c r="N77" s="7">
        <f t="shared" si="55"/>
        <v>0</v>
      </c>
      <c r="O77" s="11"/>
      <c r="P77" s="6">
        <v>2167.9699999999998</v>
      </c>
      <c r="Q77" s="2"/>
      <c r="R77" s="7">
        <f t="shared" si="56"/>
        <v>4.1277432355862086E-2</v>
      </c>
      <c r="S77" s="2"/>
      <c r="T77" s="6">
        <v>4900</v>
      </c>
      <c r="U77" s="2"/>
      <c r="V77" s="7">
        <f t="shared" si="57"/>
        <v>4.1880341880341877E-2</v>
      </c>
      <c r="W77" s="2"/>
      <c r="X77" s="6">
        <f t="shared" si="58"/>
        <v>-2732.03</v>
      </c>
      <c r="Y77" s="2"/>
      <c r="Z77" s="7">
        <f t="shared" si="59"/>
        <v>-0.55755714285714286</v>
      </c>
    </row>
    <row r="78" spans="1:26" s="24" customFormat="1" hidden="1" outlineLevel="2" x14ac:dyDescent="0.25">
      <c r="A78" s="27"/>
      <c r="B78" s="11" t="str">
        <f>CONCATENATE("          ", "6241", " - ", "OFFICE EXPENSE")</f>
        <v xml:space="preserve">          6241 - OFFICE EXPENSE</v>
      </c>
      <c r="C78" s="11"/>
      <c r="D78" s="6">
        <v>62</v>
      </c>
      <c r="E78" s="2"/>
      <c r="F78" s="7">
        <f t="shared" si="52"/>
        <v>1.8015279863014138E-3</v>
      </c>
      <c r="G78" s="2"/>
      <c r="H78" s="6">
        <v>200</v>
      </c>
      <c r="I78" s="2"/>
      <c r="J78" s="7">
        <f t="shared" si="53"/>
        <v>2.1739130434782609E-3</v>
      </c>
      <c r="K78" s="2"/>
      <c r="L78" s="6">
        <f t="shared" si="54"/>
        <v>-138</v>
      </c>
      <c r="M78" s="2"/>
      <c r="N78" s="7">
        <f t="shared" si="55"/>
        <v>-0.69</v>
      </c>
      <c r="O78" s="11"/>
      <c r="P78" s="6">
        <v>185.87</v>
      </c>
      <c r="Q78" s="2"/>
      <c r="R78" s="7">
        <f t="shared" si="56"/>
        <v>3.5389033759618844E-3</v>
      </c>
      <c r="S78" s="2"/>
      <c r="T78" s="6">
        <v>250</v>
      </c>
      <c r="U78" s="2"/>
      <c r="V78" s="7">
        <f t="shared" si="57"/>
        <v>2.136752136752137E-3</v>
      </c>
      <c r="W78" s="2"/>
      <c r="X78" s="6">
        <f t="shared" si="58"/>
        <v>-64.13</v>
      </c>
      <c r="Y78" s="2"/>
      <c r="Z78" s="7">
        <f t="shared" si="59"/>
        <v>-0.25651999999999997</v>
      </c>
    </row>
    <row r="79" spans="1:26" s="24" customFormat="1" hidden="1" outlineLevel="2" x14ac:dyDescent="0.25">
      <c r="A79" s="27"/>
      <c r="B79" s="11" t="str">
        <f>CONCATENATE("          ", "6243", " - ", "PAPER SUPPLIES")</f>
        <v xml:space="preserve">          6243 - PAPER SUPPLIES</v>
      </c>
      <c r="C79" s="11"/>
      <c r="D79" s="6">
        <v>964.28</v>
      </c>
      <c r="E79" s="2"/>
      <c r="F79" s="7">
        <f t="shared" si="52"/>
        <v>2.8018990429527858E-2</v>
      </c>
      <c r="G79" s="2"/>
      <c r="H79" s="6"/>
      <c r="I79" s="2"/>
      <c r="J79" s="7">
        <f t="shared" si="53"/>
        <v>0</v>
      </c>
      <c r="K79" s="2"/>
      <c r="L79" s="6">
        <f t="shared" si="54"/>
        <v>964.28</v>
      </c>
      <c r="M79" s="2"/>
      <c r="N79" s="7">
        <f t="shared" si="55"/>
        <v>0</v>
      </c>
      <c r="O79" s="11"/>
      <c r="P79" s="6">
        <v>2043.49</v>
      </c>
      <c r="Q79" s="2"/>
      <c r="R79" s="7">
        <f t="shared" si="56"/>
        <v>3.8907374292485884E-2</v>
      </c>
      <c r="S79" s="2"/>
      <c r="T79" s="6"/>
      <c r="U79" s="2"/>
      <c r="V79" s="7">
        <f t="shared" si="57"/>
        <v>0</v>
      </c>
      <c r="W79" s="2"/>
      <c r="X79" s="6">
        <f t="shared" si="58"/>
        <v>2043.49</v>
      </c>
      <c r="Y79" s="2"/>
      <c r="Z79" s="7">
        <f t="shared" si="59"/>
        <v>0</v>
      </c>
    </row>
    <row r="80" spans="1:26" s="24" customFormat="1" hidden="1" outlineLevel="2" x14ac:dyDescent="0.25">
      <c r="A80" s="27"/>
      <c r="B80" s="11" t="str">
        <f>CONCATENATE("          ", "6244", " - ", "SAFETY SUPPLY EXPENSE")</f>
        <v xml:space="preserve">          6244 - SAFETY SUPPLY EXPENSE</v>
      </c>
      <c r="C80" s="11"/>
      <c r="D80" s="6"/>
      <c r="E80" s="2"/>
      <c r="F80" s="7">
        <f t="shared" si="52"/>
        <v>0</v>
      </c>
      <c r="G80" s="2"/>
      <c r="H80" s="6">
        <v>50</v>
      </c>
      <c r="I80" s="2"/>
      <c r="J80" s="7">
        <f t="shared" si="53"/>
        <v>5.4347826086956522E-4</v>
      </c>
      <c r="K80" s="2"/>
      <c r="L80" s="6">
        <f t="shared" si="54"/>
        <v>-50</v>
      </c>
      <c r="M80" s="2"/>
      <c r="N80" s="7">
        <f t="shared" si="55"/>
        <v>-1</v>
      </c>
      <c r="O80" s="11"/>
      <c r="P80" s="6"/>
      <c r="Q80" s="2"/>
      <c r="R80" s="7">
        <f t="shared" si="56"/>
        <v>0</v>
      </c>
      <c r="S80" s="2"/>
      <c r="T80" s="6">
        <v>100</v>
      </c>
      <c r="U80" s="2"/>
      <c r="V80" s="7">
        <f t="shared" si="57"/>
        <v>8.547008547008547E-4</v>
      </c>
      <c r="W80" s="2"/>
      <c r="X80" s="6">
        <f t="shared" si="58"/>
        <v>-100</v>
      </c>
      <c r="Y80" s="2"/>
      <c r="Z80" s="7">
        <f t="shared" si="59"/>
        <v>-1</v>
      </c>
    </row>
    <row r="81" spans="1:26" s="24" customFormat="1" hidden="1" outlineLevel="2" x14ac:dyDescent="0.25">
      <c r="A81" s="27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52"/>
        <v>0</v>
      </c>
      <c r="G81" s="2"/>
      <c r="H81" s="6">
        <v>100</v>
      </c>
      <c r="I81" s="2"/>
      <c r="J81" s="7">
        <f t="shared" si="53"/>
        <v>1.0869565217391304E-3</v>
      </c>
      <c r="K81" s="2"/>
      <c r="L81" s="6">
        <f t="shared" si="54"/>
        <v>-100</v>
      </c>
      <c r="M81" s="2"/>
      <c r="N81" s="7">
        <f t="shared" si="55"/>
        <v>-1</v>
      </c>
      <c r="O81" s="11"/>
      <c r="P81" s="6">
        <v>23.01</v>
      </c>
      <c r="Q81" s="2"/>
      <c r="R81" s="7">
        <f t="shared" si="56"/>
        <v>4.3810279593739152E-4</v>
      </c>
      <c r="S81" s="2"/>
      <c r="T81" s="6">
        <v>150</v>
      </c>
      <c r="U81" s="2"/>
      <c r="V81" s="7">
        <f t="shared" si="57"/>
        <v>1.2820512820512821E-3</v>
      </c>
      <c r="W81" s="2"/>
      <c r="X81" s="6">
        <f t="shared" si="58"/>
        <v>-126.99</v>
      </c>
      <c r="Y81" s="2"/>
      <c r="Z81" s="7">
        <f t="shared" si="59"/>
        <v>-0.84660000000000002</v>
      </c>
    </row>
    <row r="82" spans="1:26" s="24" customFormat="1" hidden="1" outlineLevel="2" x14ac:dyDescent="0.25">
      <c r="A82" s="27"/>
      <c r="B82" s="11" t="str">
        <f>CONCATENATE("          ", "6246", " - ", "REPLACEMENTS")</f>
        <v xml:space="preserve">          6246 - REPLACEMENTS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/>
      <c r="Q82" s="2"/>
      <c r="R82" s="7">
        <f t="shared" si="56"/>
        <v>0</v>
      </c>
      <c r="S82" s="2"/>
      <c r="T82" s="6">
        <v>2400</v>
      </c>
      <c r="U82" s="2"/>
      <c r="V82" s="7">
        <f t="shared" si="57"/>
        <v>2.0512820512820513E-2</v>
      </c>
      <c r="W82" s="2"/>
      <c r="X82" s="6">
        <f t="shared" si="58"/>
        <v>-2400</v>
      </c>
      <c r="Y82" s="2"/>
      <c r="Z82" s="7">
        <f t="shared" si="59"/>
        <v>-1</v>
      </c>
    </row>
    <row r="83" spans="1:26" s="24" customFormat="1" hidden="1" outlineLevel="2" x14ac:dyDescent="0.25">
      <c r="A83" s="27"/>
      <c r="B83" s="11" t="str">
        <f>CONCATENATE("          ", "6247", " - ", "STORE SUPPLIES")</f>
        <v xml:space="preserve">          6247 - STORE SUPPLIES</v>
      </c>
      <c r="C83" s="11"/>
      <c r="D83" s="6">
        <v>-970.8</v>
      </c>
      <c r="E83" s="2"/>
      <c r="F83" s="7">
        <f t="shared" si="52"/>
        <v>-2.8208441437119557E-2</v>
      </c>
      <c r="G83" s="2"/>
      <c r="H83" s="6">
        <v>100</v>
      </c>
      <c r="I83" s="2"/>
      <c r="J83" s="7">
        <f t="shared" si="53"/>
        <v>1.0869565217391304E-3</v>
      </c>
      <c r="K83" s="2"/>
      <c r="L83" s="6">
        <f t="shared" si="54"/>
        <v>-1070.8</v>
      </c>
      <c r="M83" s="2"/>
      <c r="N83" s="7">
        <f t="shared" si="55"/>
        <v>-10.708</v>
      </c>
      <c r="O83" s="11"/>
      <c r="P83" s="6">
        <v>-970.8</v>
      </c>
      <c r="Q83" s="2"/>
      <c r="R83" s="7">
        <f t="shared" si="56"/>
        <v>-1.8483711181921759E-2</v>
      </c>
      <c r="S83" s="2"/>
      <c r="T83" s="6">
        <v>150</v>
      </c>
      <c r="U83" s="2"/>
      <c r="V83" s="7">
        <f t="shared" si="57"/>
        <v>1.2820512820512821E-3</v>
      </c>
      <c r="W83" s="2"/>
      <c r="X83" s="6">
        <f t="shared" si="58"/>
        <v>-1120.8</v>
      </c>
      <c r="Y83" s="2"/>
      <c r="Z83" s="7">
        <f t="shared" si="59"/>
        <v>-7.4719999999999995</v>
      </c>
    </row>
    <row r="84" spans="1:26" s="24" customFormat="1" hidden="1" outlineLevel="2" x14ac:dyDescent="0.25">
      <c r="A84" s="27"/>
      <c r="B84" s="11" t="str">
        <f>CONCATENATE("          ", "6248", " - ", "UNIFORMS")</f>
        <v xml:space="preserve">          6248 - UNIFORMS</v>
      </c>
      <c r="C84" s="11"/>
      <c r="D84" s="6">
        <v>17.600000000000001</v>
      </c>
      <c r="E84" s="2"/>
      <c r="F84" s="7">
        <f t="shared" si="52"/>
        <v>5.1140149288556264E-4</v>
      </c>
      <c r="G84" s="2"/>
      <c r="H84" s="6"/>
      <c r="I84" s="2"/>
      <c r="J84" s="7">
        <f t="shared" si="53"/>
        <v>0</v>
      </c>
      <c r="K84" s="2"/>
      <c r="L84" s="6">
        <f t="shared" si="54"/>
        <v>17.600000000000001</v>
      </c>
      <c r="M84" s="2"/>
      <c r="N84" s="7">
        <f t="shared" si="55"/>
        <v>0</v>
      </c>
      <c r="O84" s="11"/>
      <c r="P84" s="6">
        <v>17.600000000000001</v>
      </c>
      <c r="Q84" s="2"/>
      <c r="R84" s="7">
        <f t="shared" si="56"/>
        <v>3.3509818376784402E-4</v>
      </c>
      <c r="S84" s="2"/>
      <c r="T84" s="6"/>
      <c r="U84" s="2"/>
      <c r="V84" s="7">
        <f t="shared" si="57"/>
        <v>0</v>
      </c>
      <c r="W84" s="2"/>
      <c r="X84" s="6">
        <f t="shared" si="58"/>
        <v>17.600000000000001</v>
      </c>
      <c r="Y84" s="2"/>
      <c r="Z84" s="7">
        <f t="shared" si="59"/>
        <v>0</v>
      </c>
    </row>
    <row r="85" spans="1:26" s="26" customFormat="1" outlineLevel="1" collapsed="1" x14ac:dyDescent="0.25">
      <c r="A85" s="25"/>
      <c r="B85" s="13" t="str">
        <f>CONCATENATE("     ","Telephone/Data Lines                              ")</f>
        <v xml:space="preserve">     Telephone/Data Lines                              </v>
      </c>
      <c r="C85" s="13"/>
      <c r="D85" s="1">
        <f>SUM(OSRRefD22_15x_0)</f>
        <v>89.9</v>
      </c>
      <c r="E85" s="1"/>
      <c r="F85" s="5">
        <f t="shared" ref="F85:F90" si="60">IF(D$12=0,0,D85/D$12)</f>
        <v>2.6122155801370501E-3</v>
      </c>
      <c r="G85" s="1"/>
      <c r="H85" s="1">
        <f>SUM(OSRRefH22_15x_0)</f>
        <v>50</v>
      </c>
      <c r="I85" s="1"/>
      <c r="J85" s="5">
        <f t="shared" ref="J85:J90" si="61">IF(H$12=0,0,H85/H$12)</f>
        <v>5.4347826086956522E-4</v>
      </c>
      <c r="K85" s="1"/>
      <c r="L85" s="1">
        <f t="shared" ref="L85:L90" si="62">+D85-H85</f>
        <v>39.900000000000006</v>
      </c>
      <c r="M85" s="1"/>
      <c r="N85" s="5">
        <f t="shared" ref="N85:N90" si="63">IF(H85=0,0,L85/H85)</f>
        <v>0.79800000000000015</v>
      </c>
      <c r="O85" s="13"/>
      <c r="P85" s="1">
        <f>SUM(OSRRefP22_15x_0)</f>
        <v>167.95</v>
      </c>
      <c r="Q85" s="1"/>
      <c r="R85" s="5">
        <f t="shared" ref="R85:R90" si="64">IF(P$12=0,0,P85/P$12)</f>
        <v>3.1977124979437155E-3</v>
      </c>
      <c r="S85" s="1"/>
      <c r="T85" s="1">
        <f>SUM(OSRRefT22_15x_0)</f>
        <v>100</v>
      </c>
      <c r="U85" s="1"/>
      <c r="V85" s="5">
        <f t="shared" ref="V85:V90" si="65">IF(T$12=0,0,T85/T$12)</f>
        <v>8.547008547008547E-4</v>
      </c>
      <c r="W85" s="1"/>
      <c r="X85" s="1">
        <f t="shared" ref="X85:X90" si="66">+P85-T85</f>
        <v>67.949999999999989</v>
      </c>
      <c r="Y85" s="1"/>
      <c r="Z85" s="5">
        <f t="shared" ref="Z85:Z90" si="67">IF(T85=0,0,X85/T85)</f>
        <v>0.67949999999999988</v>
      </c>
    </row>
    <row r="86" spans="1:26" s="24" customFormat="1" hidden="1" outlineLevel="2" x14ac:dyDescent="0.25">
      <c r="A86" s="27"/>
      <c r="B86" s="11" t="str">
        <f>CONCATENATE("          ", "6309", " - ", "TELEPHONE")</f>
        <v xml:space="preserve">          6309 - TELEPHONE</v>
      </c>
      <c r="C86" s="11"/>
      <c r="D86" s="6">
        <v>89.9</v>
      </c>
      <c r="E86" s="2"/>
      <c r="F86" s="7">
        <f t="shared" si="60"/>
        <v>2.6122155801370501E-3</v>
      </c>
      <c r="G86" s="2"/>
      <c r="H86" s="6">
        <v>50</v>
      </c>
      <c r="I86" s="2"/>
      <c r="J86" s="7">
        <f t="shared" si="61"/>
        <v>5.4347826086956522E-4</v>
      </c>
      <c r="K86" s="2"/>
      <c r="L86" s="6">
        <f t="shared" si="62"/>
        <v>39.900000000000006</v>
      </c>
      <c r="M86" s="2"/>
      <c r="N86" s="7">
        <f t="shared" si="63"/>
        <v>0.79800000000000015</v>
      </c>
      <c r="O86" s="11"/>
      <c r="P86" s="6">
        <v>167.95</v>
      </c>
      <c r="Q86" s="2"/>
      <c r="R86" s="7">
        <f t="shared" si="64"/>
        <v>3.1977124979437155E-3</v>
      </c>
      <c r="S86" s="2"/>
      <c r="T86" s="6">
        <v>100</v>
      </c>
      <c r="U86" s="2"/>
      <c r="V86" s="7">
        <f t="shared" si="65"/>
        <v>8.547008547008547E-4</v>
      </c>
      <c r="W86" s="2"/>
      <c r="X86" s="6">
        <f t="shared" si="66"/>
        <v>67.949999999999989</v>
      </c>
      <c r="Y86" s="2"/>
      <c r="Z86" s="7">
        <f t="shared" si="67"/>
        <v>0.67949999999999988</v>
      </c>
    </row>
    <row r="87" spans="1:26" s="26" customFormat="1" outlineLevel="1" collapsed="1" x14ac:dyDescent="0.25">
      <c r="A87" s="25"/>
      <c r="B87" s="13" t="str">
        <f>CONCATENATE("     ","Training                                          ")</f>
        <v xml:space="preserve">     Training                                          </v>
      </c>
      <c r="C87" s="13"/>
      <c r="D87" s="1">
        <f>SUM(OSRRefD22_16x_0)</f>
        <v>0</v>
      </c>
      <c r="E87" s="1"/>
      <c r="F87" s="5">
        <f t="shared" si="60"/>
        <v>0</v>
      </c>
      <c r="G87" s="1"/>
      <c r="H87" s="1">
        <f>SUM(OSRRefH22_16x_0)</f>
        <v>500</v>
      </c>
      <c r="I87" s="1"/>
      <c r="J87" s="5">
        <f t="shared" si="61"/>
        <v>5.434782608695652E-3</v>
      </c>
      <c r="K87" s="1"/>
      <c r="L87" s="1">
        <f t="shared" si="62"/>
        <v>-500</v>
      </c>
      <c r="M87" s="1"/>
      <c r="N87" s="5">
        <f t="shared" si="63"/>
        <v>-1</v>
      </c>
      <c r="O87" s="13"/>
      <c r="P87" s="1">
        <f>SUM(OSRRefP22_16x_0)</f>
        <v>237.95</v>
      </c>
      <c r="Q87" s="1"/>
      <c r="R87" s="5">
        <f t="shared" si="64"/>
        <v>4.5304893652021857E-3</v>
      </c>
      <c r="S87" s="1"/>
      <c r="T87" s="1">
        <f>SUM(OSRRefT22_16x_0)</f>
        <v>500</v>
      </c>
      <c r="U87" s="1"/>
      <c r="V87" s="5">
        <f t="shared" si="65"/>
        <v>4.2735042735042739E-3</v>
      </c>
      <c r="W87" s="1"/>
      <c r="X87" s="1">
        <f t="shared" si="66"/>
        <v>-262.05</v>
      </c>
      <c r="Y87" s="1"/>
      <c r="Z87" s="5">
        <f t="shared" si="67"/>
        <v>-0.52410000000000001</v>
      </c>
    </row>
    <row r="88" spans="1:26" s="24" customFormat="1" hidden="1" outlineLevel="2" x14ac:dyDescent="0.25">
      <c r="A88" s="27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0"/>
        <v>0</v>
      </c>
      <c r="G88" s="2"/>
      <c r="H88" s="6">
        <v>500</v>
      </c>
      <c r="I88" s="2"/>
      <c r="J88" s="7">
        <f t="shared" si="61"/>
        <v>5.434782608695652E-3</v>
      </c>
      <c r="K88" s="2"/>
      <c r="L88" s="6">
        <f t="shared" si="62"/>
        <v>-500</v>
      </c>
      <c r="M88" s="2"/>
      <c r="N88" s="7">
        <f t="shared" si="63"/>
        <v>-1</v>
      </c>
      <c r="O88" s="11"/>
      <c r="P88" s="6">
        <v>237.95</v>
      </c>
      <c r="Q88" s="2"/>
      <c r="R88" s="7">
        <f t="shared" si="64"/>
        <v>4.5304893652021857E-3</v>
      </c>
      <c r="S88" s="2"/>
      <c r="T88" s="6">
        <v>500</v>
      </c>
      <c r="U88" s="2"/>
      <c r="V88" s="7">
        <f t="shared" si="65"/>
        <v>4.2735042735042739E-3</v>
      </c>
      <c r="W88" s="2"/>
      <c r="X88" s="6">
        <f t="shared" si="66"/>
        <v>-262.05</v>
      </c>
      <c r="Y88" s="2"/>
      <c r="Z88" s="7">
        <f t="shared" si="67"/>
        <v>-0.52410000000000001</v>
      </c>
    </row>
    <row r="89" spans="1:26" s="26" customFormat="1" outlineLevel="1" collapsed="1" x14ac:dyDescent="0.25">
      <c r="A89" s="25"/>
      <c r="B89" s="13" t="str">
        <f>CONCATENATE("     ","Utilities                                         ")</f>
        <v xml:space="preserve">     Utilities                                         </v>
      </c>
      <c r="C89" s="13"/>
      <c r="D89" s="1">
        <f>SUM(OSRRefD22_17x_0)</f>
        <v>0</v>
      </c>
      <c r="E89" s="1"/>
      <c r="F89" s="5">
        <f t="shared" si="60"/>
        <v>0</v>
      </c>
      <c r="G89" s="1"/>
      <c r="H89" s="1">
        <f>SUM(OSRRefH22_17x_0)</f>
        <v>350</v>
      </c>
      <c r="I89" s="1"/>
      <c r="J89" s="5">
        <f t="shared" si="61"/>
        <v>3.8043478260869567E-3</v>
      </c>
      <c r="K89" s="1"/>
      <c r="L89" s="1">
        <f t="shared" si="62"/>
        <v>-350</v>
      </c>
      <c r="M89" s="1"/>
      <c r="N89" s="5">
        <f t="shared" si="63"/>
        <v>-1</v>
      </c>
      <c r="O89" s="13"/>
      <c r="P89" s="1">
        <f>SUM(OSRRefP22_17x_0)</f>
        <v>306</v>
      </c>
      <c r="Q89" s="1"/>
      <c r="R89" s="5">
        <f t="shared" si="64"/>
        <v>5.8261388768727418E-3</v>
      </c>
      <c r="S89" s="1"/>
      <c r="T89" s="1">
        <f>SUM(OSRRefT22_17x_0)</f>
        <v>700</v>
      </c>
      <c r="U89" s="1"/>
      <c r="V89" s="5">
        <f t="shared" si="65"/>
        <v>5.9829059829059833E-3</v>
      </c>
      <c r="W89" s="1"/>
      <c r="X89" s="1">
        <f t="shared" si="66"/>
        <v>-394</v>
      </c>
      <c r="Y89" s="1"/>
      <c r="Z89" s="5">
        <f t="shared" si="67"/>
        <v>-0.56285714285714283</v>
      </c>
    </row>
    <row r="90" spans="1:26" s="24" customFormat="1" hidden="1" outlineLevel="2" x14ac:dyDescent="0.25">
      <c r="A90" s="27"/>
      <c r="B90" s="11" t="str">
        <f>CONCATENATE("          ", "6274", " - ", "UTILITIES")</f>
        <v xml:space="preserve">          6274 - UTILITIES</v>
      </c>
      <c r="C90" s="11"/>
      <c r="D90" s="6"/>
      <c r="E90" s="2"/>
      <c r="F90" s="7">
        <f t="shared" si="60"/>
        <v>0</v>
      </c>
      <c r="G90" s="2"/>
      <c r="H90" s="6">
        <v>350</v>
      </c>
      <c r="I90" s="2"/>
      <c r="J90" s="7">
        <f t="shared" si="61"/>
        <v>3.8043478260869567E-3</v>
      </c>
      <c r="K90" s="2"/>
      <c r="L90" s="6">
        <f t="shared" si="62"/>
        <v>-350</v>
      </c>
      <c r="M90" s="2"/>
      <c r="N90" s="7">
        <f t="shared" si="63"/>
        <v>-1</v>
      </c>
      <c r="O90" s="11"/>
      <c r="P90" s="6">
        <v>306</v>
      </c>
      <c r="Q90" s="2"/>
      <c r="R90" s="7">
        <f t="shared" si="64"/>
        <v>5.8261388768727418E-3</v>
      </c>
      <c r="S90" s="2"/>
      <c r="T90" s="6">
        <v>700</v>
      </c>
      <c r="U90" s="2"/>
      <c r="V90" s="7">
        <f t="shared" si="65"/>
        <v>5.9829059829059833E-3</v>
      </c>
      <c r="W90" s="2"/>
      <c r="X90" s="6">
        <f t="shared" si="66"/>
        <v>-394</v>
      </c>
      <c r="Y90" s="2"/>
      <c r="Z90" s="7">
        <f t="shared" si="67"/>
        <v>-0.56285714285714283</v>
      </c>
    </row>
    <row r="91" spans="1:26" s="63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8" t="s">
        <v>0</v>
      </c>
      <c r="C92" s="10"/>
      <c r="D92" s="4">
        <f>SUM(0)</f>
        <v>0</v>
      </c>
      <c r="E92" s="4"/>
      <c r="F92" s="12">
        <f>IF(D$12=0,0,D92/D$12)</f>
        <v>0</v>
      </c>
      <c r="G92" s="4"/>
      <c r="H92" s="4">
        <f>SUM(0)</f>
        <v>0</v>
      </c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>
        <f>SUM(0)</f>
        <v>0</v>
      </c>
      <c r="Q92" s="4"/>
      <c r="R92" s="12">
        <f>IF(P$12=0,0,P92/P$12)</f>
        <v>0</v>
      </c>
      <c r="S92" s="4"/>
      <c r="T92" s="4">
        <f>SUM(0)</f>
        <v>0</v>
      </c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9" t="s">
        <v>3</v>
      </c>
      <c r="C94" s="29"/>
      <c r="D94" s="22">
        <f>+D22-D24+D92</f>
        <v>-21373.059999999998</v>
      </c>
      <c r="E94" s="14"/>
      <c r="F94" s="20">
        <f>IF(D$12=0,0,D94/D$12)</f>
        <v>-0.62103493133708532</v>
      </c>
      <c r="G94" s="14"/>
      <c r="H94" s="22">
        <f>+H22-H24+H92</f>
        <v>2507.7323303999947</v>
      </c>
      <c r="I94" s="14"/>
      <c r="J94" s="20">
        <f>IF(H$12=0,0,H94/H$12)</f>
        <v>2.725796011304342E-2</v>
      </c>
      <c r="K94" s="15"/>
      <c r="L94" s="22">
        <f>+D94-H94</f>
        <v>-23880.792330399992</v>
      </c>
      <c r="M94" s="15"/>
      <c r="N94" s="20">
        <f>IF(H94=0,0,L94/H94)</f>
        <v>-9.5228633618129805</v>
      </c>
      <c r="O94" s="28"/>
      <c r="P94" s="22">
        <f>+P22-P24+P92</f>
        <v>-54350.510000000009</v>
      </c>
      <c r="Q94" s="14"/>
      <c r="R94" s="20">
        <f>IF(P$12=0,0,P94/P$12)</f>
        <v>-1.0348157493100025</v>
      </c>
      <c r="S94" s="14"/>
      <c r="T94" s="22">
        <f>+T22-T24+T92</f>
        <v>-18070.187706600002</v>
      </c>
      <c r="U94" s="14"/>
      <c r="V94" s="20">
        <f>IF(T$12=0,0,T94/T$12)</f>
        <v>-0.154446048774359</v>
      </c>
      <c r="W94" s="15"/>
      <c r="X94" s="22">
        <f>+P94-T94</f>
        <v>-36280.322293400008</v>
      </c>
      <c r="Y94" s="15"/>
      <c r="Z94" s="20">
        <f>IF(T94=0,0,X94/T94)</f>
        <v>2.0077446279182198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2"/>
      <c r="B96" s="10" t="s">
        <v>14</v>
      </c>
      <c r="C96" s="10"/>
      <c r="D96" s="4">
        <v>2783.62</v>
      </c>
      <c r="E96" s="4"/>
      <c r="F96" s="12">
        <f>IF(D$12=0,0,D96/D$12)</f>
        <v>8.0883376342392607E-2</v>
      </c>
      <c r="G96" s="4"/>
      <c r="H96" s="4">
        <v>12908</v>
      </c>
      <c r="I96" s="4"/>
      <c r="J96" s="12">
        <f>IF(H$12=0,0,H96/H$12)</f>
        <v>0.14030434782608694</v>
      </c>
      <c r="K96" s="4"/>
      <c r="L96" s="4">
        <f>+D96-H96</f>
        <v>-10124.380000000001</v>
      </c>
      <c r="M96" s="4"/>
      <c r="N96" s="12">
        <f>IF(H96=0,0,L96/H96)</f>
        <v>-0.78434924078091117</v>
      </c>
      <c r="O96" s="10"/>
      <c r="P96" s="4">
        <v>6548.53</v>
      </c>
      <c r="Q96" s="4"/>
      <c r="R96" s="12">
        <f>IF(P$12=0,0,P96/P$12)</f>
        <v>0.12468184712211587</v>
      </c>
      <c r="S96" s="4"/>
      <c r="T96" s="4">
        <v>19001</v>
      </c>
      <c r="U96" s="4"/>
      <c r="V96" s="12">
        <f>IF(T$12=0,0,T96/T$12)</f>
        <v>0.16240170940170939</v>
      </c>
      <c r="W96" s="4"/>
      <c r="X96" s="4">
        <f>+P96-T96</f>
        <v>-12452.470000000001</v>
      </c>
      <c r="Y96" s="4"/>
      <c r="Z96" s="12">
        <f>IF(T96=0,0,X96/T96)</f>
        <v>-0.65535866533340359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4</v>
      </c>
      <c r="C98" s="29"/>
      <c r="D98" s="31">
        <f>+D94-D96</f>
        <v>-24156.679999999997</v>
      </c>
      <c r="E98" s="14"/>
      <c r="F98" s="32">
        <f>IF(D$12=0,0,D98/D$12)</f>
        <v>-0.70191830767947794</v>
      </c>
      <c r="G98" s="14"/>
      <c r="H98" s="31">
        <f>+H94-H96</f>
        <v>-10400.267669600005</v>
      </c>
      <c r="I98" s="14"/>
      <c r="J98" s="32">
        <f>IF(H$12=0,0,H98/H$12)</f>
        <v>-0.11304638771304354</v>
      </c>
      <c r="K98" s="15"/>
      <c r="L98" s="31">
        <f>D98-H98</f>
        <v>-13756.412330399991</v>
      </c>
      <c r="M98" s="15"/>
      <c r="N98" s="32">
        <f>IF(H98=0,0,L98/H98)</f>
        <v>1.3226979119595164</v>
      </c>
      <c r="O98" s="28"/>
      <c r="P98" s="31">
        <f>+P94-P96</f>
        <v>-60899.040000000008</v>
      </c>
      <c r="Q98" s="14"/>
      <c r="R98" s="32">
        <f>IF(P$12=0,0,P98/P$12)</f>
        <v>-1.1594975964321184</v>
      </c>
      <c r="S98" s="14"/>
      <c r="T98" s="31">
        <f>+T94-T96</f>
        <v>-37071.187706600002</v>
      </c>
      <c r="U98" s="14"/>
      <c r="V98" s="32">
        <f>IF(T$12=0,0,T98/T$12)</f>
        <v>-0.31684775817606842</v>
      </c>
      <c r="W98" s="15"/>
      <c r="X98" s="31">
        <f>P98-T98</f>
        <v>-23827.852293400007</v>
      </c>
      <c r="Y98" s="15"/>
      <c r="Z98" s="32">
        <f>IF(T98=0,0,X98/T98)</f>
        <v>0.64275934404868806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5</v>
      </c>
      <c r="C101" s="29"/>
      <c r="D101" s="33">
        <f>SUM(D98:D100)</f>
        <v>-24156.679999999997</v>
      </c>
      <c r="E101" s="14"/>
      <c r="F101" s="35">
        <f>IF(D$12=0,0,D101/D$12)</f>
        <v>-0.70191830767947794</v>
      </c>
      <c r="G101" s="14"/>
      <c r="H101" s="33">
        <f>SUM(H98:H100)</f>
        <v>-10400.267669600005</v>
      </c>
      <c r="I101" s="14"/>
      <c r="J101" s="35">
        <f>IF(H$12=0,0,H101/H$12)</f>
        <v>-0.11304638771304354</v>
      </c>
      <c r="K101" s="15"/>
      <c r="L101" s="33">
        <f>+D101-H101</f>
        <v>-13756.412330399991</v>
      </c>
      <c r="M101" s="15"/>
      <c r="N101" s="35">
        <f>IF(H101=0,0,L101/H101)</f>
        <v>1.3226979119595164</v>
      </c>
      <c r="O101" s="28"/>
      <c r="P101" s="33">
        <f>SUM(P98:P100)</f>
        <v>-60899.040000000008</v>
      </c>
      <c r="Q101" s="14"/>
      <c r="R101" s="35">
        <f>IF(P$12=0,0,P101/P$12)</f>
        <v>-1.1594975964321184</v>
      </c>
      <c r="S101" s="14"/>
      <c r="T101" s="33">
        <f>SUM(T98:T100)</f>
        <v>-37071.187706600002</v>
      </c>
      <c r="U101" s="14"/>
      <c r="V101" s="35">
        <f>IF(T$12=0,0,T101/T$12)</f>
        <v>-0.31684775817606842</v>
      </c>
      <c r="W101" s="15"/>
      <c r="X101" s="33">
        <f>+P101-T101</f>
        <v>-23827.852293400007</v>
      </c>
      <c r="Y101" s="15"/>
      <c r="Z101" s="35">
        <f>IF(T101=0,0,X101/T101)</f>
        <v>0.64275934404868806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61">
        <v>43732.706261840278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62" t="s">
        <v>314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8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300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","406", " - ", "OPA! Greek")</f>
        <v>Department 406 - OPA! Greek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15720.03</v>
      </c>
      <c r="E12" s="4"/>
      <c r="F12" s="12"/>
      <c r="G12" s="4"/>
      <c r="H12" s="4">
        <f>SUM(OSRRefH13x_0)</f>
        <v>35000</v>
      </c>
      <c r="I12" s="4"/>
      <c r="J12" s="12"/>
      <c r="K12" s="4"/>
      <c r="L12" s="4">
        <f t="shared" ref="L12:L16" si="0">+D12-H12</f>
        <v>-19279.97</v>
      </c>
      <c r="M12" s="4"/>
      <c r="N12" s="12">
        <f t="shared" ref="N12:N16" si="1">IF(H12=0,0,L12/H12)</f>
        <v>-0.5508562857142858</v>
      </c>
      <c r="O12" s="10"/>
      <c r="P12" s="4">
        <f>SUM(OSRRefP13x_0)</f>
        <v>15720.03</v>
      </c>
      <c r="Q12" s="4"/>
      <c r="R12" s="12"/>
      <c r="S12" s="4"/>
      <c r="T12" s="4">
        <f>SUM(OSRRefT13x_0)</f>
        <v>35000</v>
      </c>
      <c r="U12" s="4"/>
      <c r="V12" s="12"/>
      <c r="W12" s="4"/>
      <c r="X12" s="4">
        <f t="shared" ref="X12:X16" si="2">+P12-T12</f>
        <v>-19279.97</v>
      </c>
      <c r="Y12" s="4"/>
      <c r="Z12" s="12">
        <f t="shared" ref="Z12:Z16" si="3">IF(T12=0,0,X12/T12)</f>
        <v>-0.5508562857142858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10000</v>
      </c>
      <c r="I13" s="2"/>
      <c r="J13" s="21"/>
      <c r="K13" s="2"/>
      <c r="L13" s="2">
        <f t="shared" si="0"/>
        <v>-10000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10000</v>
      </c>
      <c r="U13" s="2"/>
      <c r="V13" s="21"/>
      <c r="W13" s="2"/>
      <c r="X13" s="2">
        <f t="shared" si="2"/>
        <v>-10000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"4051", " - ", "TAXABLE SALES-FOOD")</f>
        <v xml:space="preserve">          4051 - TAXABLE SALES-FOOD</v>
      </c>
      <c r="C14" s="11"/>
      <c r="D14" s="2">
        <f>--3894.93</f>
        <v>3894.93</v>
      </c>
      <c r="E14" s="2"/>
      <c r="F14" s="21"/>
      <c r="G14" s="2"/>
      <c r="H14" s="2"/>
      <c r="I14" s="2"/>
      <c r="J14" s="21"/>
      <c r="K14" s="2"/>
      <c r="L14" s="2">
        <f t="shared" si="0"/>
        <v>3894.93</v>
      </c>
      <c r="M14" s="2"/>
      <c r="N14" s="21">
        <f t="shared" si="1"/>
        <v>0</v>
      </c>
      <c r="O14" s="11"/>
      <c r="P14" s="2">
        <f>--3894.93</f>
        <v>3894.93</v>
      </c>
      <c r="Q14" s="2"/>
      <c r="R14" s="21"/>
      <c r="S14" s="2"/>
      <c r="T14" s="2"/>
      <c r="U14" s="2"/>
      <c r="V14" s="21"/>
      <c r="W14" s="2"/>
      <c r="X14" s="2">
        <f t="shared" si="2"/>
        <v>3894.93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1"/>
      <c r="G15" s="2"/>
      <c r="H15" s="2">
        <v>25000</v>
      </c>
      <c r="I15" s="2"/>
      <c r="J15" s="21"/>
      <c r="K15" s="2"/>
      <c r="L15" s="2">
        <f t="shared" si="0"/>
        <v>-25000</v>
      </c>
      <c r="M15" s="2"/>
      <c r="N15" s="21">
        <f t="shared" si="1"/>
        <v>-1</v>
      </c>
      <c r="O15" s="11"/>
      <c r="P15" s="2">
        <f>0</f>
        <v>0</v>
      </c>
      <c r="Q15" s="2"/>
      <c r="R15" s="21"/>
      <c r="S15" s="2"/>
      <c r="T15" s="2">
        <v>25000</v>
      </c>
      <c r="U15" s="2"/>
      <c r="V15" s="21"/>
      <c r="W15" s="2"/>
      <c r="X15" s="2">
        <f t="shared" si="2"/>
        <v>-25000</v>
      </c>
      <c r="Y15" s="2"/>
      <c r="Z15" s="21">
        <f t="shared" si="3"/>
        <v>-1</v>
      </c>
    </row>
    <row r="16" spans="1:26" s="24" customFormat="1" hidden="1" outlineLevel="1" x14ac:dyDescent="0.25">
      <c r="A16" s="46"/>
      <c r="B16" s="11" t="str">
        <f>CONCATENATE("          ", "4151", " - ", "NON-TAXABLE SALES-FOOD")</f>
        <v xml:space="preserve">          4151 - NON-TAXABLE SALES-FOOD</v>
      </c>
      <c r="C16" s="11"/>
      <c r="D16" s="2">
        <f>--11825.1</f>
        <v>11825.1</v>
      </c>
      <c r="E16" s="2"/>
      <c r="F16" s="21"/>
      <c r="G16" s="2"/>
      <c r="H16" s="2"/>
      <c r="I16" s="2"/>
      <c r="J16" s="21"/>
      <c r="K16" s="2"/>
      <c r="L16" s="2">
        <f t="shared" si="0"/>
        <v>11825.1</v>
      </c>
      <c r="M16" s="2"/>
      <c r="N16" s="21">
        <f t="shared" si="1"/>
        <v>0</v>
      </c>
      <c r="O16" s="11"/>
      <c r="P16" s="2">
        <f>--11825.1</f>
        <v>11825.1</v>
      </c>
      <c r="Q16" s="2"/>
      <c r="R16" s="21"/>
      <c r="S16" s="2"/>
      <c r="T16" s="2"/>
      <c r="U16" s="2"/>
      <c r="V16" s="21"/>
      <c r="W16" s="2"/>
      <c r="X16" s="2">
        <f t="shared" si="2"/>
        <v>11825.1</v>
      </c>
      <c r="Y16" s="2"/>
      <c r="Z16" s="21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5030.41</v>
      </c>
      <c r="E18" s="4"/>
      <c r="F18" s="12">
        <f t="shared" ref="F18:F21" si="4">IF(D$12=0,0,D18/D$12)</f>
        <v>0.32000002544524403</v>
      </c>
      <c r="G18" s="4"/>
      <c r="H18" s="4">
        <f>SUM(OSRRefH16x_0)</f>
        <v>11200</v>
      </c>
      <c r="I18" s="4"/>
      <c r="J18" s="12">
        <f t="shared" ref="J18:J21" si="5">IF(H$12=0,0,H18/H$12)</f>
        <v>0.32</v>
      </c>
      <c r="K18" s="4"/>
      <c r="L18" s="4">
        <f t="shared" ref="L18:L21" si="6">+D18-H18</f>
        <v>-6169.59</v>
      </c>
      <c r="M18" s="4"/>
      <c r="N18" s="12">
        <f t="shared" ref="N18:N21" si="7">IF(H18=0,0,L18/H18)</f>
        <v>-0.55085625000000005</v>
      </c>
      <c r="O18" s="10"/>
      <c r="P18" s="4">
        <f>SUM(OSRRefP16x_0)</f>
        <v>5030.6900000000005</v>
      </c>
      <c r="Q18" s="4"/>
      <c r="R18" s="12">
        <f t="shared" ref="R18:R21" si="8">IF(P$12=0,0,P18/P$12)</f>
        <v>0.32001783711608695</v>
      </c>
      <c r="S18" s="4"/>
      <c r="T18" s="4">
        <f>SUM(OSRRefT16x_0)</f>
        <v>11200</v>
      </c>
      <c r="U18" s="4"/>
      <c r="V18" s="12">
        <f t="shared" ref="V18:V21" si="9">IF(T$12=0,0,T18/T$12)</f>
        <v>0.32</v>
      </c>
      <c r="W18" s="4"/>
      <c r="X18" s="4">
        <f t="shared" ref="X18:X21" si="10">+P18-T18</f>
        <v>-6169.3099999999995</v>
      </c>
      <c r="Y18" s="4"/>
      <c r="Z18" s="12">
        <f t="shared" ref="Z18:Z21" si="11">IF(T18=0,0,X18/T18)</f>
        <v>-0.55083124999999999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1">
        <f t="shared" si="4"/>
        <v>0</v>
      </c>
      <c r="G19" s="2"/>
      <c r="H19" s="2">
        <v>11200</v>
      </c>
      <c r="I19" s="2"/>
      <c r="J19" s="21">
        <f t="shared" si="5"/>
        <v>0.32</v>
      </c>
      <c r="K19" s="2"/>
      <c r="L19" s="2">
        <f t="shared" si="6"/>
        <v>-11200</v>
      </c>
      <c r="M19" s="2"/>
      <c r="N19" s="21">
        <f t="shared" si="7"/>
        <v>-1</v>
      </c>
      <c r="O19" s="11"/>
      <c r="P19" s="2"/>
      <c r="Q19" s="2"/>
      <c r="R19" s="21">
        <f t="shared" si="8"/>
        <v>0</v>
      </c>
      <c r="S19" s="2"/>
      <c r="T19" s="2">
        <v>11200</v>
      </c>
      <c r="U19" s="2"/>
      <c r="V19" s="21">
        <f t="shared" si="9"/>
        <v>0.32</v>
      </c>
      <c r="W19" s="2"/>
      <c r="X19" s="2">
        <f t="shared" si="10"/>
        <v>-11200</v>
      </c>
      <c r="Y19" s="2"/>
      <c r="Z19" s="21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10079.41</v>
      </c>
      <c r="E20" s="2"/>
      <c r="F20" s="21">
        <f t="shared" si="4"/>
        <v>0.64118261860823422</v>
      </c>
      <c r="G20" s="2"/>
      <c r="H20" s="2"/>
      <c r="I20" s="2"/>
      <c r="J20" s="21">
        <f t="shared" si="5"/>
        <v>0</v>
      </c>
      <c r="K20" s="2"/>
      <c r="L20" s="2">
        <f t="shared" si="6"/>
        <v>10079.41</v>
      </c>
      <c r="M20" s="2"/>
      <c r="N20" s="21">
        <f t="shared" si="7"/>
        <v>0</v>
      </c>
      <c r="O20" s="11"/>
      <c r="P20" s="2">
        <v>10390.69</v>
      </c>
      <c r="Q20" s="2"/>
      <c r="R20" s="21">
        <f t="shared" si="8"/>
        <v>0.66098410753669046</v>
      </c>
      <c r="S20" s="2"/>
      <c r="T20" s="2"/>
      <c r="U20" s="2"/>
      <c r="V20" s="21">
        <f t="shared" si="9"/>
        <v>0</v>
      </c>
      <c r="W20" s="2"/>
      <c r="X20" s="2">
        <f t="shared" si="10"/>
        <v>10390.69</v>
      </c>
      <c r="Y20" s="2"/>
      <c r="Z20" s="21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-5049</v>
      </c>
      <c r="E21" s="2"/>
      <c r="F21" s="21">
        <f t="shared" si="4"/>
        <v>-0.32118259316299014</v>
      </c>
      <c r="G21" s="2"/>
      <c r="H21" s="2"/>
      <c r="I21" s="2"/>
      <c r="J21" s="21">
        <f t="shared" si="5"/>
        <v>0</v>
      </c>
      <c r="K21" s="2"/>
      <c r="L21" s="2">
        <f t="shared" si="6"/>
        <v>-5049</v>
      </c>
      <c r="M21" s="2"/>
      <c r="N21" s="21">
        <f t="shared" si="7"/>
        <v>0</v>
      </c>
      <c r="O21" s="11"/>
      <c r="P21" s="2">
        <v>-5360</v>
      </c>
      <c r="Q21" s="2"/>
      <c r="R21" s="21">
        <f t="shared" si="8"/>
        <v>-0.34096627042060351</v>
      </c>
      <c r="S21" s="2"/>
      <c r="T21" s="2"/>
      <c r="U21" s="2"/>
      <c r="V21" s="21">
        <f t="shared" si="9"/>
        <v>0</v>
      </c>
      <c r="W21" s="2"/>
      <c r="X21" s="2">
        <f t="shared" si="10"/>
        <v>-5360</v>
      </c>
      <c r="Y21" s="2"/>
      <c r="Z21" s="21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10689.62</v>
      </c>
      <c r="E23" s="14"/>
      <c r="F23" s="20">
        <f>IF(D$12=0,0,D23/D$12)</f>
        <v>0.67999997455475591</v>
      </c>
      <c r="G23" s="14"/>
      <c r="H23" s="22">
        <f>H12-H18</f>
        <v>23800</v>
      </c>
      <c r="I23" s="14"/>
      <c r="J23" s="20">
        <f>IF(H$12=0,0,H23/H$12)</f>
        <v>0.68</v>
      </c>
      <c r="K23" s="15"/>
      <c r="L23" s="22">
        <f>+D23-H23</f>
        <v>-13110.38</v>
      </c>
      <c r="M23" s="15"/>
      <c r="N23" s="20">
        <f>IF(H23=0,0,L23/H23)</f>
        <v>-0.55085630252100837</v>
      </c>
      <c r="O23" s="28"/>
      <c r="P23" s="22">
        <f>P12-P18</f>
        <v>10689.34</v>
      </c>
      <c r="Q23" s="14"/>
      <c r="R23" s="20">
        <f>IF(P$12=0,0,P23/P$12)</f>
        <v>0.679982162883913</v>
      </c>
      <c r="S23" s="14"/>
      <c r="T23" s="22">
        <f>T12-T18</f>
        <v>23800</v>
      </c>
      <c r="U23" s="14"/>
      <c r="V23" s="20">
        <f>IF(T$12=0,0,T23/T$12)</f>
        <v>0.68</v>
      </c>
      <c r="W23" s="15"/>
      <c r="X23" s="22">
        <f>+P23-T23</f>
        <v>-13110.66</v>
      </c>
      <c r="Y23" s="15"/>
      <c r="Z23" s="20">
        <f>IF(T23=0,0,X23/T23)</f>
        <v>-0.55086806722689075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19">
        <f>SUM(OSRRefD22x_0)</f>
        <v>20295.969999999998</v>
      </c>
      <c r="E25" s="19"/>
      <c r="F25" s="34">
        <f t="shared" ref="F25:F35" si="12">IF(D$12=0,0,D25/D$12)</f>
        <v>1.2910897752739656</v>
      </c>
      <c r="G25" s="19"/>
      <c r="H25" s="19">
        <f>SUM(OSRRefH22x_0)</f>
        <v>18874.323699999997</v>
      </c>
      <c r="I25" s="19"/>
      <c r="J25" s="34">
        <f t="shared" ref="J25:J35" si="13">IF(H$12=0,0,H25/H$12)</f>
        <v>0.53926639142857136</v>
      </c>
      <c r="K25" s="4"/>
      <c r="L25" s="19">
        <f t="shared" ref="L25:L35" si="14">+D25-H25</f>
        <v>1421.6463000000003</v>
      </c>
      <c r="M25" s="4"/>
      <c r="N25" s="34">
        <f t="shared" ref="N25:N35" si="15">IF(H25=0,0,L25/H25)</f>
        <v>7.5321708083241179E-2</v>
      </c>
      <c r="O25" s="10"/>
      <c r="P25" s="19">
        <f>SUM(OSRRefP22x_0)</f>
        <v>31826.249999999993</v>
      </c>
      <c r="Q25" s="19"/>
      <c r="R25" s="34">
        <f t="shared" ref="R25:R35" si="16">IF(P$12=0,0,P25/P$12)</f>
        <v>2.0245667470100241</v>
      </c>
      <c r="S25" s="19"/>
      <c r="T25" s="19">
        <f>SUM(OSRRefT22x_0)</f>
        <v>32078.740075000002</v>
      </c>
      <c r="U25" s="19"/>
      <c r="V25" s="34">
        <f t="shared" ref="V25:V35" si="17">IF(T$12=0,0,T25/T$12)</f>
        <v>0.91653543071428578</v>
      </c>
      <c r="W25" s="4"/>
      <c r="X25" s="19">
        <f t="shared" ref="X25:X35" si="18">+P25-T25</f>
        <v>-252.4900750000088</v>
      </c>
      <c r="Y25" s="4"/>
      <c r="Z25" s="34">
        <f t="shared" ref="Z25:Z35" si="19">IF(T25=0,0,X25/T25)</f>
        <v>-7.8709473754171068E-3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2071.4100000000003</v>
      </c>
      <c r="E26" s="1"/>
      <c r="F26" s="5">
        <f t="shared" si="12"/>
        <v>0.13176883250222807</v>
      </c>
      <c r="G26" s="1"/>
      <c r="H26" s="1">
        <f>SUM(OSRRefH22_0x_0)</f>
        <v>2094.785238461538</v>
      </c>
      <c r="I26" s="1"/>
      <c r="J26" s="5">
        <f t="shared" si="13"/>
        <v>5.9851006813186801E-2</v>
      </c>
      <c r="K26" s="1"/>
      <c r="L26" s="1">
        <f t="shared" si="14"/>
        <v>-23.37523846153772</v>
      </c>
      <c r="M26" s="1"/>
      <c r="N26" s="5">
        <f t="shared" si="15"/>
        <v>-1.1158775626424153E-2</v>
      </c>
      <c r="O26" s="13"/>
      <c r="P26" s="1">
        <f>SUM(OSRRefP22_0x_0)</f>
        <v>3778.79</v>
      </c>
      <c r="Q26" s="1"/>
      <c r="R26" s="5">
        <f t="shared" si="16"/>
        <v>0.24038058451542393</v>
      </c>
      <c r="S26" s="1"/>
      <c r="T26" s="1">
        <f>SUM(OSRRefT22_0x_0)</f>
        <v>3960.5285365384611</v>
      </c>
      <c r="U26" s="1"/>
      <c r="V26" s="5">
        <f t="shared" si="17"/>
        <v>0.11315795818681318</v>
      </c>
      <c r="W26" s="1"/>
      <c r="X26" s="1">
        <f t="shared" si="18"/>
        <v>-181.73853653846118</v>
      </c>
      <c r="Y26" s="1"/>
      <c r="Z26" s="5">
        <f t="shared" si="19"/>
        <v>-4.5887445289638625E-2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679.1</v>
      </c>
      <c r="E27" s="2"/>
      <c r="F27" s="7">
        <f t="shared" si="12"/>
        <v>4.319966310496863E-2</v>
      </c>
      <c r="G27" s="2"/>
      <c r="H27" s="6">
        <v>530.82385384615407</v>
      </c>
      <c r="I27" s="2"/>
      <c r="J27" s="7">
        <f t="shared" si="13"/>
        <v>1.5166395824175831E-2</v>
      </c>
      <c r="K27" s="2"/>
      <c r="L27" s="6">
        <f t="shared" si="14"/>
        <v>148.27614615384596</v>
      </c>
      <c r="M27" s="2"/>
      <c r="N27" s="7">
        <f t="shared" si="15"/>
        <v>0.27933210815507187</v>
      </c>
      <c r="O27" s="11"/>
      <c r="P27" s="6">
        <v>1047.3399999999999</v>
      </c>
      <c r="Q27" s="2"/>
      <c r="R27" s="7">
        <f t="shared" si="16"/>
        <v>6.6624554787745302E-2</v>
      </c>
      <c r="S27" s="2"/>
      <c r="T27" s="6">
        <v>962.85042115384601</v>
      </c>
      <c r="U27" s="2"/>
      <c r="V27" s="7">
        <f t="shared" si="17"/>
        <v>2.7510012032967029E-2</v>
      </c>
      <c r="W27" s="2"/>
      <c r="X27" s="6">
        <f t="shared" si="18"/>
        <v>84.489578846153904</v>
      </c>
      <c r="Y27" s="2"/>
      <c r="Z27" s="7">
        <f t="shared" si="19"/>
        <v>8.7749433338674312E-2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391.04</v>
      </c>
      <c r="E28" s="2"/>
      <c r="F28" s="7">
        <f t="shared" si="12"/>
        <v>2.4875270594267314E-2</v>
      </c>
      <c r="G28" s="2"/>
      <c r="H28" s="6">
        <v>385.52276923076897</v>
      </c>
      <c r="I28" s="2"/>
      <c r="J28" s="7">
        <f t="shared" si="13"/>
        <v>1.1014936263736256E-2</v>
      </c>
      <c r="K28" s="2"/>
      <c r="L28" s="6">
        <f t="shared" si="14"/>
        <v>5.5172307692310483</v>
      </c>
      <c r="M28" s="2"/>
      <c r="N28" s="7">
        <f t="shared" si="15"/>
        <v>1.4311037400565321E-2</v>
      </c>
      <c r="O28" s="11"/>
      <c r="P28" s="6">
        <v>641.42999999999995</v>
      </c>
      <c r="Q28" s="2"/>
      <c r="R28" s="7">
        <f t="shared" si="16"/>
        <v>4.0803357245501437E-2</v>
      </c>
      <c r="S28" s="2"/>
      <c r="T28" s="6">
        <v>604.55623076923098</v>
      </c>
      <c r="U28" s="2"/>
      <c r="V28" s="7">
        <f t="shared" si="17"/>
        <v>1.7273035164835172E-2</v>
      </c>
      <c r="W28" s="2"/>
      <c r="X28" s="6">
        <f t="shared" si="18"/>
        <v>36.873769230768971</v>
      </c>
      <c r="Y28" s="2"/>
      <c r="Z28" s="7">
        <f t="shared" si="19"/>
        <v>6.0993117520021546E-2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34.97</v>
      </c>
      <c r="E29" s="2"/>
      <c r="F29" s="7">
        <f t="shared" si="12"/>
        <v>2.2245504620538254E-3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34.97</v>
      </c>
      <c r="M29" s="2"/>
      <c r="N29" s="7">
        <f t="shared" si="15"/>
        <v>0</v>
      </c>
      <c r="O29" s="11"/>
      <c r="P29" s="6">
        <v>69.94</v>
      </c>
      <c r="Q29" s="2"/>
      <c r="R29" s="7">
        <f t="shared" si="16"/>
        <v>4.4491009241076507E-3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69.94</v>
      </c>
      <c r="Y29" s="2"/>
      <c r="Z29" s="7">
        <f t="shared" si="19"/>
        <v>0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26.2</v>
      </c>
      <c r="E30" s="2"/>
      <c r="F30" s="7">
        <f t="shared" si="12"/>
        <v>1.6666634860111589E-3</v>
      </c>
      <c r="G30" s="2"/>
      <c r="H30" s="6">
        <v>25.834</v>
      </c>
      <c r="I30" s="2"/>
      <c r="J30" s="7">
        <f t="shared" si="13"/>
        <v>7.3811428571428567E-4</v>
      </c>
      <c r="K30" s="2"/>
      <c r="L30" s="6">
        <f t="shared" si="14"/>
        <v>0.36599999999999966</v>
      </c>
      <c r="M30" s="2"/>
      <c r="N30" s="7">
        <f t="shared" si="15"/>
        <v>1.4167376325772226E-2</v>
      </c>
      <c r="O30" s="11"/>
      <c r="P30" s="6">
        <v>42.98</v>
      </c>
      <c r="Q30" s="2"/>
      <c r="R30" s="7">
        <f t="shared" si="16"/>
        <v>2.7340914743801377E-3</v>
      </c>
      <c r="S30" s="2"/>
      <c r="T30" s="6">
        <v>40.511499999999998</v>
      </c>
      <c r="U30" s="2"/>
      <c r="V30" s="7">
        <f t="shared" si="17"/>
        <v>1.1574714285714285E-3</v>
      </c>
      <c r="W30" s="2"/>
      <c r="X30" s="6">
        <f t="shared" si="18"/>
        <v>2.4684999999999988</v>
      </c>
      <c r="Y30" s="2"/>
      <c r="Z30" s="7">
        <f t="shared" si="19"/>
        <v>6.0933315231477457E-2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315.45</v>
      </c>
      <c r="E31" s="2"/>
      <c r="F31" s="7">
        <f t="shared" si="12"/>
        <v>2.006675559779466E-2</v>
      </c>
      <c r="G31" s="2"/>
      <c r="H31" s="6">
        <v>388.38923076923101</v>
      </c>
      <c r="I31" s="2"/>
      <c r="J31" s="7">
        <f t="shared" si="13"/>
        <v>1.1096835164835171E-2</v>
      </c>
      <c r="K31" s="2"/>
      <c r="L31" s="6">
        <f t="shared" si="14"/>
        <v>-72.939230769231017</v>
      </c>
      <c r="M31" s="2"/>
      <c r="N31" s="7">
        <f t="shared" si="15"/>
        <v>-0.18779931313947598</v>
      </c>
      <c r="O31" s="11"/>
      <c r="P31" s="6">
        <v>630.9</v>
      </c>
      <c r="Q31" s="2"/>
      <c r="R31" s="7">
        <f t="shared" si="16"/>
        <v>4.0133511195589319E-2</v>
      </c>
      <c r="S31" s="2"/>
      <c r="T31" s="6">
        <v>873.87576923076995</v>
      </c>
      <c r="U31" s="2"/>
      <c r="V31" s="7">
        <f t="shared" si="17"/>
        <v>2.4967879120879142E-2</v>
      </c>
      <c r="W31" s="2"/>
      <c r="X31" s="6">
        <f t="shared" si="18"/>
        <v>-242.97576923076997</v>
      </c>
      <c r="Y31" s="2"/>
      <c r="Z31" s="7">
        <f t="shared" si="19"/>
        <v>-0.27804383390175658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173.88</v>
      </c>
      <c r="E33" s="2"/>
      <c r="F33" s="7">
        <f t="shared" si="12"/>
        <v>1.1061047593420623E-2</v>
      </c>
      <c r="G33" s="2"/>
      <c r="H33" s="6">
        <v>225.80769230769201</v>
      </c>
      <c r="I33" s="2"/>
      <c r="J33" s="7">
        <f t="shared" si="13"/>
        <v>6.4516483516483432E-3</v>
      </c>
      <c r="K33" s="2"/>
      <c r="L33" s="6">
        <f t="shared" si="14"/>
        <v>-51.927692307692013</v>
      </c>
      <c r="M33" s="2"/>
      <c r="N33" s="7">
        <f t="shared" si="15"/>
        <v>-0.22996423096576293</v>
      </c>
      <c r="O33" s="11"/>
      <c r="P33" s="6">
        <v>417.71</v>
      </c>
      <c r="Q33" s="2"/>
      <c r="R33" s="7">
        <f t="shared" si="16"/>
        <v>2.6571832242050425E-2</v>
      </c>
      <c r="S33" s="2"/>
      <c r="T33" s="6">
        <v>508.06730769230705</v>
      </c>
      <c r="U33" s="2"/>
      <c r="V33" s="7">
        <f t="shared" si="17"/>
        <v>1.4516208791208773E-2</v>
      </c>
      <c r="W33" s="2"/>
      <c r="X33" s="6">
        <f t="shared" si="18"/>
        <v>-90.357307692307074</v>
      </c>
      <c r="Y33" s="2"/>
      <c r="Z33" s="7">
        <f t="shared" si="19"/>
        <v>-0.1778451522549622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208.3</v>
      </c>
      <c r="E34" s="2"/>
      <c r="F34" s="7">
        <f t="shared" si="12"/>
        <v>1.3250610844890246E-2</v>
      </c>
      <c r="G34" s="2"/>
      <c r="H34" s="6">
        <v>388.407692307692</v>
      </c>
      <c r="I34" s="2"/>
      <c r="J34" s="7">
        <f t="shared" si="13"/>
        <v>1.1097362637362629E-2</v>
      </c>
      <c r="K34" s="2"/>
      <c r="L34" s="6">
        <f t="shared" si="14"/>
        <v>-180.10769230769199</v>
      </c>
      <c r="M34" s="2"/>
      <c r="N34" s="7">
        <f t="shared" si="15"/>
        <v>-0.46370784069078835</v>
      </c>
      <c r="O34" s="11"/>
      <c r="P34" s="6">
        <v>538.42999999999995</v>
      </c>
      <c r="Q34" s="2"/>
      <c r="R34" s="7">
        <f t="shared" si="16"/>
        <v>3.4251206899732378E-2</v>
      </c>
      <c r="S34" s="2"/>
      <c r="T34" s="6">
        <v>670.66730769230708</v>
      </c>
      <c r="U34" s="2"/>
      <c r="V34" s="7">
        <f t="shared" si="17"/>
        <v>1.9161923076923059E-2</v>
      </c>
      <c r="W34" s="2"/>
      <c r="X34" s="6">
        <f t="shared" si="18"/>
        <v>-132.23730769230713</v>
      </c>
      <c r="Y34" s="2"/>
      <c r="Z34" s="7">
        <f t="shared" si="19"/>
        <v>-0.19717273553607564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242.47</v>
      </c>
      <c r="E35" s="2"/>
      <c r="F35" s="7">
        <f t="shared" si="12"/>
        <v>1.5424270818821592E-2</v>
      </c>
      <c r="G35" s="2"/>
      <c r="H35" s="6">
        <v>150</v>
      </c>
      <c r="I35" s="2"/>
      <c r="J35" s="7">
        <f t="shared" si="13"/>
        <v>4.2857142857142859E-3</v>
      </c>
      <c r="K35" s="2"/>
      <c r="L35" s="6">
        <f t="shared" si="14"/>
        <v>92.47</v>
      </c>
      <c r="M35" s="2"/>
      <c r="N35" s="7">
        <f t="shared" si="15"/>
        <v>0.61646666666666661</v>
      </c>
      <c r="O35" s="11"/>
      <c r="P35" s="6">
        <v>390.06</v>
      </c>
      <c r="Q35" s="2"/>
      <c r="R35" s="7">
        <f t="shared" si="16"/>
        <v>2.4812929746317276E-2</v>
      </c>
      <c r="S35" s="2"/>
      <c r="T35" s="6">
        <v>300</v>
      </c>
      <c r="U35" s="2"/>
      <c r="V35" s="7">
        <f t="shared" si="17"/>
        <v>8.5714285714285719E-3</v>
      </c>
      <c r="W35" s="2"/>
      <c r="X35" s="6">
        <f t="shared" si="18"/>
        <v>90.06</v>
      </c>
      <c r="Y35" s="2"/>
      <c r="Z35" s="7">
        <f t="shared" si="19"/>
        <v>0.30020000000000002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12461.9</v>
      </c>
      <c r="E36" s="1"/>
      <c r="F36" s="5">
        <f t="shared" ref="F36:F46" si="20">IF(D$12=0,0,D36/D$12)</f>
        <v>0.79274021741688783</v>
      </c>
      <c r="G36" s="1"/>
      <c r="H36" s="1">
        <f>SUM(OSRRefH22_1x_0)</f>
        <v>9484.5384615384592</v>
      </c>
      <c r="I36" s="1"/>
      <c r="J36" s="5">
        <f t="shared" ref="J36:J46" si="21">IF(H$12=0,0,H36/H$12)</f>
        <v>0.27098681318681311</v>
      </c>
      <c r="K36" s="1"/>
      <c r="L36" s="1">
        <f t="shared" ref="L36:L46" si="22">+D36-H36</f>
        <v>2977.3615384615405</v>
      </c>
      <c r="M36" s="1"/>
      <c r="N36" s="5">
        <f t="shared" ref="N36:N46" si="23">IF(H36=0,0,L36/H36)</f>
        <v>0.31391738781336453</v>
      </c>
      <c r="O36" s="13"/>
      <c r="P36" s="1">
        <f>SUM(OSRRefP22_1x_0)</f>
        <v>17265.440000000002</v>
      </c>
      <c r="Q36" s="1"/>
      <c r="R36" s="5">
        <f t="shared" ref="R36:R46" si="24">IF(P$12=0,0,P36/P$12)</f>
        <v>1.0983083365616988</v>
      </c>
      <c r="S36" s="1"/>
      <c r="T36" s="1">
        <f>SUM(OSRRefT22_1x_0)</f>
        <v>14565.211538461541</v>
      </c>
      <c r="U36" s="1"/>
      <c r="V36" s="5">
        <f t="shared" ref="V36:V46" si="25">IF(T$12=0,0,T36/T$12)</f>
        <v>0.41614890109890118</v>
      </c>
      <c r="W36" s="1"/>
      <c r="X36" s="1">
        <f t="shared" ref="X36:X46" si="26">+P36-T36</f>
        <v>2700.2284615384615</v>
      </c>
      <c r="Y36" s="1"/>
      <c r="Z36" s="5">
        <f t="shared" ref="Z36:Z46" si="27">IF(T36=0,0,X36/T36)</f>
        <v>0.18538889424352809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4064.5384615384596</v>
      </c>
      <c r="I37" s="2"/>
      <c r="J37" s="7">
        <f t="shared" si="21"/>
        <v>0.11612967032967028</v>
      </c>
      <c r="K37" s="2"/>
      <c r="L37" s="6">
        <f t="shared" si="22"/>
        <v>-4064.5384615384596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9145.2115384615408</v>
      </c>
      <c r="U37" s="2"/>
      <c r="V37" s="7">
        <f t="shared" si="25"/>
        <v>0.26129175824175832</v>
      </c>
      <c r="W37" s="2"/>
      <c r="X37" s="6">
        <f t="shared" si="26"/>
        <v>-9145.2115384615408</v>
      </c>
      <c r="Y37" s="2"/>
      <c r="Z37" s="7">
        <f t="shared" si="27"/>
        <v>-1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4645.3999999999996</v>
      </c>
      <c r="E38" s="2"/>
      <c r="F38" s="7">
        <f t="shared" si="20"/>
        <v>0.29550834190519987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4645.3999999999996</v>
      </c>
      <c r="M38" s="2"/>
      <c r="N38" s="7">
        <f t="shared" si="23"/>
        <v>0</v>
      </c>
      <c r="O38" s="11"/>
      <c r="P38" s="6">
        <v>9064.94</v>
      </c>
      <c r="Q38" s="2"/>
      <c r="R38" s="7">
        <f t="shared" si="24"/>
        <v>0.57664902675122121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9064.94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2420</v>
      </c>
      <c r="I40" s="2"/>
      <c r="J40" s="7">
        <f t="shared" si="21"/>
        <v>6.9142857142857145E-2</v>
      </c>
      <c r="K40" s="2"/>
      <c r="L40" s="6">
        <f t="shared" si="22"/>
        <v>-2420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2420</v>
      </c>
      <c r="U40" s="2"/>
      <c r="V40" s="7">
        <f t="shared" si="25"/>
        <v>6.9142857142857145E-2</v>
      </c>
      <c r="W40" s="2"/>
      <c r="X40" s="6">
        <f t="shared" si="26"/>
        <v>-2420</v>
      </c>
      <c r="Y40" s="2"/>
      <c r="Z40" s="7">
        <f t="shared" si="27"/>
        <v>-1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3561</v>
      </c>
      <c r="E41" s="2"/>
      <c r="F41" s="7">
        <f t="shared" si="20"/>
        <v>0.22652628525518081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3561</v>
      </c>
      <c r="M41" s="2"/>
      <c r="N41" s="7">
        <f t="shared" si="23"/>
        <v>0</v>
      </c>
      <c r="O41" s="11"/>
      <c r="P41" s="6">
        <v>3729</v>
      </c>
      <c r="Q41" s="2"/>
      <c r="R41" s="7">
        <f t="shared" si="24"/>
        <v>0.2372132877609012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3729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>
        <v>110.5</v>
      </c>
      <c r="E42" s="2"/>
      <c r="F42" s="7">
        <f t="shared" si="20"/>
        <v>7.0292486719172927E-3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110.5</v>
      </c>
      <c r="M42" s="2"/>
      <c r="N42" s="7">
        <f t="shared" si="23"/>
        <v>0</v>
      </c>
      <c r="O42" s="11"/>
      <c r="P42" s="6">
        <v>110.5</v>
      </c>
      <c r="Q42" s="2"/>
      <c r="R42" s="7">
        <f t="shared" si="24"/>
        <v>7.0292486719172927E-3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110.5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4013</v>
      </c>
      <c r="E43" s="2"/>
      <c r="F43" s="7">
        <f t="shared" si="20"/>
        <v>0.25527941104438095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4013</v>
      </c>
      <c r="M43" s="2"/>
      <c r="N43" s="7">
        <f t="shared" si="23"/>
        <v>0</v>
      </c>
      <c r="O43" s="11"/>
      <c r="P43" s="6">
        <v>4229</v>
      </c>
      <c r="Q43" s="2"/>
      <c r="R43" s="7">
        <f t="shared" si="24"/>
        <v>0.26901984283745006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4229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>
        <v>132</v>
      </c>
      <c r="E44" s="2"/>
      <c r="F44" s="7">
        <f t="shared" si="20"/>
        <v>8.3969305402088919E-3</v>
      </c>
      <c r="G44" s="2"/>
      <c r="H44" s="6">
        <v>3000</v>
      </c>
      <c r="I44" s="2"/>
      <c r="J44" s="7">
        <f t="shared" si="21"/>
        <v>8.5714285714285715E-2</v>
      </c>
      <c r="K44" s="2"/>
      <c r="L44" s="6">
        <f t="shared" si="22"/>
        <v>-2868</v>
      </c>
      <c r="M44" s="2"/>
      <c r="N44" s="7">
        <f t="shared" si="23"/>
        <v>-0.95599999999999996</v>
      </c>
      <c r="O44" s="11"/>
      <c r="P44" s="6">
        <v>132</v>
      </c>
      <c r="Q44" s="2"/>
      <c r="R44" s="7">
        <f t="shared" si="24"/>
        <v>8.3969305402088919E-3</v>
      </c>
      <c r="S44" s="2"/>
      <c r="T44" s="6">
        <v>3000</v>
      </c>
      <c r="U44" s="2"/>
      <c r="V44" s="7">
        <f t="shared" si="25"/>
        <v>8.5714285714285715E-2</v>
      </c>
      <c r="W44" s="2"/>
      <c r="X44" s="6">
        <f t="shared" si="26"/>
        <v>-2868</v>
      </c>
      <c r="Y44" s="2"/>
      <c r="Z44" s="7">
        <f t="shared" si="27"/>
        <v>-0.95599999999999996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221.32</v>
      </c>
      <c r="E47" s="1"/>
      <c r="F47" s="5">
        <f t="shared" ref="F47:F61" si="28">IF(D$12=0,0,D47/D$12)</f>
        <v>1.4078853539083575E-2</v>
      </c>
      <c r="G47" s="1"/>
      <c r="H47" s="1">
        <f>SUM(OSRRefH22_2x_0)</f>
        <v>200</v>
      </c>
      <c r="I47" s="1"/>
      <c r="J47" s="5">
        <f t="shared" ref="J47:J61" si="29">IF(H$12=0,0,H47/H$12)</f>
        <v>5.7142857142857143E-3</v>
      </c>
      <c r="K47" s="1"/>
      <c r="L47" s="1">
        <f t="shared" ref="L47:L61" si="30">+D47-H47</f>
        <v>21.319999999999993</v>
      </c>
      <c r="M47" s="1"/>
      <c r="N47" s="5">
        <f t="shared" ref="N47:N61" si="31">IF(H47=0,0,L47/H47)</f>
        <v>0.10659999999999997</v>
      </c>
      <c r="O47" s="13"/>
      <c r="P47" s="1">
        <f>SUM(OSRRefP22_2x_0)</f>
        <v>310.32</v>
      </c>
      <c r="Q47" s="1"/>
      <c r="R47" s="5">
        <f t="shared" ref="R47:R61" si="32">IF(P$12=0,0,P47/P$12)</f>
        <v>1.9740420342709269E-2</v>
      </c>
      <c r="S47" s="1"/>
      <c r="T47" s="1">
        <f>SUM(OSRRefT22_2x_0)</f>
        <v>200</v>
      </c>
      <c r="U47" s="1"/>
      <c r="V47" s="5">
        <f t="shared" ref="V47:V61" si="33">IF(T$12=0,0,T47/T$12)</f>
        <v>5.7142857142857143E-3</v>
      </c>
      <c r="W47" s="1"/>
      <c r="X47" s="1">
        <f t="shared" ref="X47:X61" si="34">+P47-T47</f>
        <v>110.32</v>
      </c>
      <c r="Y47" s="1"/>
      <c r="Z47" s="5">
        <f t="shared" ref="Z47:Z61" si="35">IF(T47=0,0,X47/T47)</f>
        <v>0.55159999999999998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221.32</v>
      </c>
      <c r="E48" s="2"/>
      <c r="F48" s="7">
        <f t="shared" si="28"/>
        <v>1.4078853539083575E-2</v>
      </c>
      <c r="G48" s="2"/>
      <c r="H48" s="6">
        <v>200</v>
      </c>
      <c r="I48" s="2"/>
      <c r="J48" s="7">
        <f t="shared" si="29"/>
        <v>5.7142857142857143E-3</v>
      </c>
      <c r="K48" s="2"/>
      <c r="L48" s="6">
        <f t="shared" si="30"/>
        <v>21.319999999999993</v>
      </c>
      <c r="M48" s="2"/>
      <c r="N48" s="7">
        <f t="shared" si="31"/>
        <v>0.10659999999999997</v>
      </c>
      <c r="O48" s="11"/>
      <c r="P48" s="6">
        <v>310.32</v>
      </c>
      <c r="Q48" s="2"/>
      <c r="R48" s="7">
        <f t="shared" si="32"/>
        <v>1.9740420342709269E-2</v>
      </c>
      <c r="S48" s="2"/>
      <c r="T48" s="6">
        <v>200</v>
      </c>
      <c r="U48" s="2"/>
      <c r="V48" s="7">
        <f t="shared" si="33"/>
        <v>5.7142857142857143E-3</v>
      </c>
      <c r="W48" s="2"/>
      <c r="X48" s="6">
        <f t="shared" si="34"/>
        <v>110.32</v>
      </c>
      <c r="Y48" s="2"/>
      <c r="Z48" s="7">
        <f t="shared" si="35"/>
        <v>0.55159999999999998</v>
      </c>
    </row>
    <row r="49" spans="1:26" s="26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-17.52</v>
      </c>
      <c r="E49" s="1"/>
      <c r="F49" s="5">
        <f t="shared" si="28"/>
        <v>-1.114501689882271E-3</v>
      </c>
      <c r="G49" s="1"/>
      <c r="H49" s="1">
        <f>SUM(OSRRefH22_3x_0)</f>
        <v>25</v>
      </c>
      <c r="I49" s="1"/>
      <c r="J49" s="5">
        <f t="shared" si="29"/>
        <v>7.1428571428571429E-4</v>
      </c>
      <c r="K49" s="1"/>
      <c r="L49" s="1">
        <f t="shared" si="30"/>
        <v>-42.519999999999996</v>
      </c>
      <c r="M49" s="1"/>
      <c r="N49" s="5">
        <f t="shared" si="31"/>
        <v>-1.7007999999999999</v>
      </c>
      <c r="O49" s="13"/>
      <c r="P49" s="1">
        <f>SUM(OSRRefP22_3x_0)</f>
        <v>-17.52</v>
      </c>
      <c r="Q49" s="1"/>
      <c r="R49" s="5">
        <f t="shared" si="32"/>
        <v>-1.114501689882271E-3</v>
      </c>
      <c r="S49" s="1"/>
      <c r="T49" s="1">
        <f>SUM(OSRRefT22_3x_0)</f>
        <v>25</v>
      </c>
      <c r="U49" s="1"/>
      <c r="V49" s="5">
        <f t="shared" si="33"/>
        <v>7.1428571428571429E-4</v>
      </c>
      <c r="W49" s="1"/>
      <c r="X49" s="1">
        <f t="shared" si="34"/>
        <v>-42.519999999999996</v>
      </c>
      <c r="Y49" s="1"/>
      <c r="Z49" s="5">
        <f t="shared" si="35"/>
        <v>-1.7007999999999999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-17.52</v>
      </c>
      <c r="E50" s="2"/>
      <c r="F50" s="7">
        <f t="shared" si="28"/>
        <v>-1.114501689882271E-3</v>
      </c>
      <c r="G50" s="2"/>
      <c r="H50" s="6">
        <v>25</v>
      </c>
      <c r="I50" s="2"/>
      <c r="J50" s="7">
        <f t="shared" si="29"/>
        <v>7.1428571428571429E-4</v>
      </c>
      <c r="K50" s="2"/>
      <c r="L50" s="6">
        <f t="shared" si="30"/>
        <v>-42.519999999999996</v>
      </c>
      <c r="M50" s="2"/>
      <c r="N50" s="7">
        <f t="shared" si="31"/>
        <v>-1.7007999999999999</v>
      </c>
      <c r="O50" s="11"/>
      <c r="P50" s="6">
        <v>-17.52</v>
      </c>
      <c r="Q50" s="2"/>
      <c r="R50" s="7">
        <f t="shared" si="32"/>
        <v>-1.114501689882271E-3</v>
      </c>
      <c r="S50" s="2"/>
      <c r="T50" s="6">
        <v>25</v>
      </c>
      <c r="U50" s="2"/>
      <c r="V50" s="7">
        <f t="shared" si="33"/>
        <v>7.1428571428571429E-4</v>
      </c>
      <c r="W50" s="2"/>
      <c r="X50" s="6">
        <f t="shared" si="34"/>
        <v>-42.519999999999996</v>
      </c>
      <c r="Y50" s="2"/>
      <c r="Z50" s="7">
        <f t="shared" si="35"/>
        <v>-1.7007999999999999</v>
      </c>
    </row>
    <row r="51" spans="1:26" s="26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502.11</v>
      </c>
      <c r="E51" s="1"/>
      <c r="F51" s="5">
        <f t="shared" si="28"/>
        <v>3.1940778738971873E-2</v>
      </c>
      <c r="G51" s="1"/>
      <c r="H51" s="1">
        <f>SUM(OSRRefH22_4x_0)</f>
        <v>812</v>
      </c>
      <c r="I51" s="1"/>
      <c r="J51" s="5">
        <f t="shared" si="29"/>
        <v>2.3199999999999998E-2</v>
      </c>
      <c r="K51" s="1"/>
      <c r="L51" s="1">
        <f t="shared" si="30"/>
        <v>-309.89</v>
      </c>
      <c r="M51" s="1"/>
      <c r="N51" s="5">
        <f t="shared" si="31"/>
        <v>-0.38163793103448274</v>
      </c>
      <c r="O51" s="13"/>
      <c r="P51" s="1">
        <f>SUM(OSRRefP22_4x_0)</f>
        <v>502.11</v>
      </c>
      <c r="Q51" s="1"/>
      <c r="R51" s="5">
        <f t="shared" si="32"/>
        <v>3.1940778738971873E-2</v>
      </c>
      <c r="S51" s="1"/>
      <c r="T51" s="1">
        <f>SUM(OSRRefT22_4x_0)</f>
        <v>812</v>
      </c>
      <c r="U51" s="1"/>
      <c r="V51" s="5">
        <f t="shared" si="33"/>
        <v>2.3199999999999998E-2</v>
      </c>
      <c r="W51" s="1"/>
      <c r="X51" s="1">
        <f t="shared" si="34"/>
        <v>-309.89</v>
      </c>
      <c r="Y51" s="1"/>
      <c r="Z51" s="5">
        <f t="shared" si="35"/>
        <v>-0.38163793103448274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502.11</v>
      </c>
      <c r="E52" s="2"/>
      <c r="F52" s="7">
        <f t="shared" si="28"/>
        <v>3.1940778738971873E-2</v>
      </c>
      <c r="G52" s="2"/>
      <c r="H52" s="6">
        <v>812</v>
      </c>
      <c r="I52" s="2"/>
      <c r="J52" s="7">
        <f t="shared" si="29"/>
        <v>2.3199999999999998E-2</v>
      </c>
      <c r="K52" s="2"/>
      <c r="L52" s="6">
        <f t="shared" si="30"/>
        <v>-309.89</v>
      </c>
      <c r="M52" s="2"/>
      <c r="N52" s="7">
        <f t="shared" si="31"/>
        <v>-0.38163793103448274</v>
      </c>
      <c r="O52" s="11"/>
      <c r="P52" s="6">
        <v>502.11</v>
      </c>
      <c r="Q52" s="2"/>
      <c r="R52" s="7">
        <f t="shared" si="32"/>
        <v>3.1940778738971873E-2</v>
      </c>
      <c r="S52" s="2"/>
      <c r="T52" s="6">
        <v>812</v>
      </c>
      <c r="U52" s="2"/>
      <c r="V52" s="7">
        <f t="shared" si="33"/>
        <v>2.3199999999999998E-2</v>
      </c>
      <c r="W52" s="2"/>
      <c r="X52" s="6">
        <f t="shared" si="34"/>
        <v>-309.89</v>
      </c>
      <c r="Y52" s="2"/>
      <c r="Z52" s="7">
        <f t="shared" si="35"/>
        <v>-0.38163793103448274</v>
      </c>
    </row>
    <row r="53" spans="1:26" s="26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2775.32</v>
      </c>
      <c r="E53" s="1"/>
      <c r="F53" s="5">
        <f t="shared" si="28"/>
        <v>0.17654673687009503</v>
      </c>
      <c r="G53" s="1"/>
      <c r="H53" s="1">
        <f>SUM(OSRRefH22_5x_0)</f>
        <v>2656</v>
      </c>
      <c r="I53" s="1"/>
      <c r="J53" s="5">
        <f t="shared" si="29"/>
        <v>7.5885714285714292E-2</v>
      </c>
      <c r="K53" s="1"/>
      <c r="L53" s="1">
        <f t="shared" si="30"/>
        <v>119.32000000000016</v>
      </c>
      <c r="M53" s="1"/>
      <c r="N53" s="5">
        <f t="shared" si="31"/>
        <v>4.4924698795180781E-2</v>
      </c>
      <c r="O53" s="13"/>
      <c r="P53" s="1">
        <f>SUM(OSRRefP22_5x_0)</f>
        <v>5550.64</v>
      </c>
      <c r="Q53" s="1"/>
      <c r="R53" s="5">
        <f t="shared" si="32"/>
        <v>0.35309347374019007</v>
      </c>
      <c r="S53" s="1"/>
      <c r="T53" s="1">
        <f>SUM(OSRRefT22_5x_0)</f>
        <v>5312</v>
      </c>
      <c r="U53" s="1"/>
      <c r="V53" s="5">
        <f t="shared" si="33"/>
        <v>0.15177142857142858</v>
      </c>
      <c r="W53" s="1"/>
      <c r="X53" s="1">
        <f t="shared" si="34"/>
        <v>238.64000000000033</v>
      </c>
      <c r="Y53" s="1"/>
      <c r="Z53" s="5">
        <f t="shared" si="35"/>
        <v>4.4924698795180781E-2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2775.32</v>
      </c>
      <c r="E54" s="2"/>
      <c r="F54" s="7">
        <f t="shared" si="28"/>
        <v>0.17654673687009503</v>
      </c>
      <c r="G54" s="2"/>
      <c r="H54" s="6">
        <v>2656</v>
      </c>
      <c r="I54" s="2"/>
      <c r="J54" s="7">
        <f t="shared" si="29"/>
        <v>7.5885714285714292E-2</v>
      </c>
      <c r="K54" s="2"/>
      <c r="L54" s="6">
        <f t="shared" si="30"/>
        <v>119.32000000000016</v>
      </c>
      <c r="M54" s="2"/>
      <c r="N54" s="7">
        <f t="shared" si="31"/>
        <v>4.4924698795180781E-2</v>
      </c>
      <c r="O54" s="11"/>
      <c r="P54" s="6">
        <v>5550.64</v>
      </c>
      <c r="Q54" s="2"/>
      <c r="R54" s="7">
        <f t="shared" si="32"/>
        <v>0.35309347374019007</v>
      </c>
      <c r="S54" s="2"/>
      <c r="T54" s="6">
        <v>5312</v>
      </c>
      <c r="U54" s="2"/>
      <c r="V54" s="7">
        <f t="shared" si="33"/>
        <v>0.15177142857142858</v>
      </c>
      <c r="W54" s="2"/>
      <c r="X54" s="6">
        <f t="shared" si="34"/>
        <v>238.64000000000033</v>
      </c>
      <c r="Y54" s="2"/>
      <c r="Z54" s="7">
        <f t="shared" si="35"/>
        <v>4.4924698795180781E-2</v>
      </c>
    </row>
    <row r="55" spans="1:26" s="26" customFormat="1" outlineLevel="1" collapsed="1" x14ac:dyDescent="0.25">
      <c r="A55" s="25"/>
      <c r="B55" s="13" t="str">
        <f>CONCATENATE("     ","Equipment Rental                                  ")</f>
        <v xml:space="preserve">     Equipment Rental                                  </v>
      </c>
      <c r="C55" s="13"/>
      <c r="D55" s="1">
        <f>SUM(OSRRefD22_6x_0)</f>
        <v>95.66</v>
      </c>
      <c r="E55" s="1"/>
      <c r="F55" s="5">
        <f t="shared" si="28"/>
        <v>6.0852301172453225E-3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95.66</v>
      </c>
      <c r="M55" s="1"/>
      <c r="N55" s="5">
        <f t="shared" si="31"/>
        <v>0</v>
      </c>
      <c r="O55" s="13"/>
      <c r="P55" s="1">
        <f>SUM(OSRRefP22_6x_0)</f>
        <v>95.66</v>
      </c>
      <c r="Q55" s="1"/>
      <c r="R55" s="5">
        <f t="shared" si="32"/>
        <v>6.0852301172453225E-3</v>
      </c>
      <c r="S55" s="1"/>
      <c r="T55" s="1">
        <f>SUM(OSRRefT22_6x_0)</f>
        <v>0</v>
      </c>
      <c r="U55" s="1"/>
      <c r="V55" s="5">
        <f t="shared" si="33"/>
        <v>0</v>
      </c>
      <c r="W55" s="1"/>
      <c r="X55" s="1">
        <f t="shared" si="34"/>
        <v>95.66</v>
      </c>
      <c r="Y55" s="1"/>
      <c r="Z55" s="5">
        <f t="shared" si="35"/>
        <v>0</v>
      </c>
    </row>
    <row r="56" spans="1:26" s="24" customFormat="1" hidden="1" outlineLevel="2" x14ac:dyDescent="0.25">
      <c r="A56" s="27"/>
      <c r="B56" s="11" t="str">
        <f>CONCATENATE("          ", "6351", " - ", "EQUIPMENT RENTAL")</f>
        <v xml:space="preserve">          6351 - EQUIPMENT RENTAL</v>
      </c>
      <c r="C56" s="11"/>
      <c r="D56" s="6">
        <v>95.66</v>
      </c>
      <c r="E56" s="2"/>
      <c r="F56" s="7">
        <f t="shared" si="28"/>
        <v>6.0852301172453225E-3</v>
      </c>
      <c r="G56" s="2"/>
      <c r="H56" s="6"/>
      <c r="I56" s="2"/>
      <c r="J56" s="7">
        <f t="shared" si="29"/>
        <v>0</v>
      </c>
      <c r="K56" s="2"/>
      <c r="L56" s="6">
        <f t="shared" si="30"/>
        <v>95.66</v>
      </c>
      <c r="M56" s="2"/>
      <c r="N56" s="7">
        <f t="shared" si="31"/>
        <v>0</v>
      </c>
      <c r="O56" s="11"/>
      <c r="P56" s="6">
        <v>95.66</v>
      </c>
      <c r="Q56" s="2"/>
      <c r="R56" s="7">
        <f t="shared" si="32"/>
        <v>6.0852301172453225E-3</v>
      </c>
      <c r="S56" s="2"/>
      <c r="T56" s="6"/>
      <c r="U56" s="2"/>
      <c r="V56" s="7">
        <f t="shared" si="33"/>
        <v>0</v>
      </c>
      <c r="W56" s="2"/>
      <c r="X56" s="6">
        <f t="shared" si="34"/>
        <v>95.66</v>
      </c>
      <c r="Y56" s="2"/>
      <c r="Z56" s="7">
        <f t="shared" si="35"/>
        <v>0</v>
      </c>
    </row>
    <row r="57" spans="1:26" s="26" customFormat="1" outlineLevel="1" collapsed="1" x14ac:dyDescent="0.25">
      <c r="A57" s="25"/>
      <c r="B57" s="13" t="str">
        <f>CONCATENATE("     ","General                                           ")</f>
        <v xml:space="preserve">     General                                           </v>
      </c>
      <c r="C57" s="13"/>
      <c r="D57" s="1">
        <f>SUM(OSRRefD22_7x_0)</f>
        <v>0</v>
      </c>
      <c r="E57" s="1"/>
      <c r="F57" s="5">
        <f t="shared" si="28"/>
        <v>0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0</v>
      </c>
      <c r="M57" s="1"/>
      <c r="N57" s="5">
        <f t="shared" si="31"/>
        <v>0</v>
      </c>
      <c r="O57" s="13"/>
      <c r="P57" s="1">
        <f>SUM(OSRRefP22_7x_0)</f>
        <v>749.55</v>
      </c>
      <c r="Q57" s="1"/>
      <c r="R57" s="5">
        <f t="shared" si="32"/>
        <v>4.7681206715254353E-2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749.55</v>
      </c>
      <c r="Y57" s="1"/>
      <c r="Z57" s="5">
        <f t="shared" si="35"/>
        <v>0</v>
      </c>
    </row>
    <row r="58" spans="1:26" s="24" customFormat="1" hidden="1" outlineLevel="2" x14ac:dyDescent="0.25">
      <c r="A58" s="27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>
        <v>749.55</v>
      </c>
      <c r="Q58" s="2"/>
      <c r="R58" s="7">
        <f t="shared" si="32"/>
        <v>4.7681206715254353E-2</v>
      </c>
      <c r="S58" s="2"/>
      <c r="T58" s="6"/>
      <c r="U58" s="2"/>
      <c r="V58" s="7">
        <f t="shared" si="33"/>
        <v>0</v>
      </c>
      <c r="W58" s="2"/>
      <c r="X58" s="6">
        <f t="shared" si="34"/>
        <v>749.55</v>
      </c>
      <c r="Y58" s="2"/>
      <c r="Z58" s="7">
        <f t="shared" si="35"/>
        <v>0</v>
      </c>
    </row>
    <row r="59" spans="1:26" s="26" customFormat="1" outlineLevel="1" collapsed="1" x14ac:dyDescent="0.25">
      <c r="A59" s="25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SUM(OSRRefD22_8x_0)</f>
        <v>730</v>
      </c>
      <c r="E59" s="1"/>
      <c r="F59" s="5">
        <f t="shared" si="28"/>
        <v>4.6437570411761296E-2</v>
      </c>
      <c r="G59" s="1"/>
      <c r="H59" s="1">
        <f>SUM(OSRRefH22_8x_0)</f>
        <v>450</v>
      </c>
      <c r="I59" s="1"/>
      <c r="J59" s="5">
        <f t="shared" si="29"/>
        <v>1.2857142857142857E-2</v>
      </c>
      <c r="K59" s="1"/>
      <c r="L59" s="1">
        <f t="shared" si="30"/>
        <v>280</v>
      </c>
      <c r="M59" s="1"/>
      <c r="N59" s="5">
        <f t="shared" si="31"/>
        <v>0.62222222222222223</v>
      </c>
      <c r="O59" s="13"/>
      <c r="P59" s="1">
        <f>SUM(OSRRefP22_8x_0)</f>
        <v>1016.28</v>
      </c>
      <c r="Q59" s="1"/>
      <c r="R59" s="5">
        <f t="shared" si="32"/>
        <v>6.4648731586390104E-2</v>
      </c>
      <c r="S59" s="1"/>
      <c r="T59" s="1">
        <f>SUM(OSRRefT22_8x_0)</f>
        <v>500</v>
      </c>
      <c r="U59" s="1"/>
      <c r="V59" s="5">
        <f t="shared" si="33"/>
        <v>1.4285714285714285E-2</v>
      </c>
      <c r="W59" s="1"/>
      <c r="X59" s="1">
        <f t="shared" si="34"/>
        <v>516.28</v>
      </c>
      <c r="Y59" s="1"/>
      <c r="Z59" s="5">
        <f t="shared" si="35"/>
        <v>1.0325599999999999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8"/>
        <v>0</v>
      </c>
      <c r="G60" s="2"/>
      <c r="H60" s="6">
        <v>50</v>
      </c>
      <c r="I60" s="2"/>
      <c r="J60" s="7">
        <f t="shared" si="29"/>
        <v>1.4285714285714286E-3</v>
      </c>
      <c r="K60" s="2"/>
      <c r="L60" s="6">
        <f t="shared" si="30"/>
        <v>-50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100</v>
      </c>
      <c r="U60" s="2"/>
      <c r="V60" s="7">
        <f t="shared" si="33"/>
        <v>2.8571428571428571E-3</v>
      </c>
      <c r="W60" s="2"/>
      <c r="X60" s="6">
        <f t="shared" si="34"/>
        <v>-100</v>
      </c>
      <c r="Y60" s="2"/>
      <c r="Z60" s="7">
        <f t="shared" si="35"/>
        <v>-1</v>
      </c>
    </row>
    <row r="61" spans="1:26" s="24" customFormat="1" hidden="1" outlineLevel="2" x14ac:dyDescent="0.25">
      <c r="A61" s="27"/>
      <c r="B61" s="11" t="str">
        <f>CONCATENATE("          ", "6375", " - ", "OUTSIDE REPAIRS &amp; MAINTENANCE")</f>
        <v xml:space="preserve">          6375 - OUTSIDE REPAIRS &amp; MAINTENANCE</v>
      </c>
      <c r="C61" s="11"/>
      <c r="D61" s="6">
        <v>730</v>
      </c>
      <c r="E61" s="2"/>
      <c r="F61" s="7">
        <f t="shared" si="28"/>
        <v>4.6437570411761296E-2</v>
      </c>
      <c r="G61" s="2"/>
      <c r="H61" s="6">
        <v>400</v>
      </c>
      <c r="I61" s="2"/>
      <c r="J61" s="7">
        <f t="shared" si="29"/>
        <v>1.1428571428571429E-2</v>
      </c>
      <c r="K61" s="2"/>
      <c r="L61" s="6">
        <f t="shared" si="30"/>
        <v>330</v>
      </c>
      <c r="M61" s="2"/>
      <c r="N61" s="7">
        <f t="shared" si="31"/>
        <v>0.82499999999999996</v>
      </c>
      <c r="O61" s="11"/>
      <c r="P61" s="6">
        <v>1016.28</v>
      </c>
      <c r="Q61" s="2"/>
      <c r="R61" s="7">
        <f t="shared" si="32"/>
        <v>6.4648731586390104E-2</v>
      </c>
      <c r="S61" s="2"/>
      <c r="T61" s="6">
        <v>400</v>
      </c>
      <c r="U61" s="2"/>
      <c r="V61" s="7">
        <f t="shared" si="33"/>
        <v>1.1428571428571429E-2</v>
      </c>
      <c r="W61" s="2"/>
      <c r="X61" s="6">
        <f t="shared" si="34"/>
        <v>616.28</v>
      </c>
      <c r="Y61" s="2"/>
      <c r="Z61" s="7">
        <f t="shared" si="35"/>
        <v>1.5407</v>
      </c>
    </row>
    <row r="62" spans="1:26" s="26" customFormat="1" outlineLevel="1" collapsed="1" x14ac:dyDescent="0.25">
      <c r="A62" s="25"/>
      <c r="B62" s="13" t="str">
        <f>CONCATENATE("     ","Services                                          ")</f>
        <v xml:space="preserve">     Services                                          </v>
      </c>
      <c r="C62" s="13"/>
      <c r="D62" s="1">
        <f>SUM(OSRRefD22_9x_0)</f>
        <v>40.92</v>
      </c>
      <c r="E62" s="1"/>
      <c r="F62" s="5">
        <f t="shared" ref="F62:F65" si="36">IF(D$12=0,0,D62/D$12)</f>
        <v>2.6030484674647567E-3</v>
      </c>
      <c r="G62" s="1"/>
      <c r="H62" s="1">
        <f>SUM(OSRRefH22_9x_0)</f>
        <v>546</v>
      </c>
      <c r="I62" s="1"/>
      <c r="J62" s="5">
        <f t="shared" ref="J62:J65" si="37">IF(H$12=0,0,H62/H$12)</f>
        <v>1.5599999999999999E-2</v>
      </c>
      <c r="K62" s="1"/>
      <c r="L62" s="1">
        <f t="shared" ref="L62:L65" si="38">+D62-H62</f>
        <v>-505.08</v>
      </c>
      <c r="M62" s="1"/>
      <c r="N62" s="5">
        <f t="shared" ref="N62:N65" si="39">IF(H62=0,0,L62/H62)</f>
        <v>-0.92505494505494501</v>
      </c>
      <c r="O62" s="13"/>
      <c r="P62" s="1">
        <f>SUM(OSRRefP22_9x_0)</f>
        <v>40.92</v>
      </c>
      <c r="Q62" s="1"/>
      <c r="R62" s="5">
        <f t="shared" ref="R62:R65" si="40">IF(P$12=0,0,P62/P$12)</f>
        <v>2.6030484674647567E-3</v>
      </c>
      <c r="S62" s="1"/>
      <c r="T62" s="1">
        <f>SUM(OSRRefT22_9x_0)</f>
        <v>1092</v>
      </c>
      <c r="U62" s="1"/>
      <c r="V62" s="5">
        <f t="shared" ref="V62:V65" si="41">IF(T$12=0,0,T62/T$12)</f>
        <v>3.1199999999999999E-2</v>
      </c>
      <c r="W62" s="1"/>
      <c r="X62" s="1">
        <f t="shared" ref="X62:X65" si="42">+P62-T62</f>
        <v>-1051.08</v>
      </c>
      <c r="Y62" s="1"/>
      <c r="Z62" s="5">
        <f t="shared" ref="Z62:Z65" si="43">IF(T62=0,0,X62/T62)</f>
        <v>-0.96252747252747251</v>
      </c>
    </row>
    <row r="63" spans="1:26" s="24" customFormat="1" hidden="1" outlineLevel="2" x14ac:dyDescent="0.25">
      <c r="A63" s="27"/>
      <c r="B63" s="11" t="str">
        <f>CONCATENATE("          ", "6282", " - ", "JANITORIAL/EXTERMINATOR EXPENS")</f>
        <v xml:space="preserve">          6282 - JANITORIAL/EXTERMINATOR EXPENS</v>
      </c>
      <c r="C63" s="11"/>
      <c r="D63" s="6"/>
      <c r="E63" s="2"/>
      <c r="F63" s="7">
        <f t="shared" si="36"/>
        <v>0</v>
      </c>
      <c r="G63" s="2"/>
      <c r="H63" s="6">
        <v>50</v>
      </c>
      <c r="I63" s="2"/>
      <c r="J63" s="7">
        <f t="shared" si="37"/>
        <v>1.4285714285714286E-3</v>
      </c>
      <c r="K63" s="2"/>
      <c r="L63" s="6">
        <f t="shared" si="38"/>
        <v>-50</v>
      </c>
      <c r="M63" s="2"/>
      <c r="N63" s="7">
        <f t="shared" si="39"/>
        <v>-1</v>
      </c>
      <c r="O63" s="11"/>
      <c r="P63" s="6"/>
      <c r="Q63" s="2"/>
      <c r="R63" s="7">
        <f t="shared" si="40"/>
        <v>0</v>
      </c>
      <c r="S63" s="2"/>
      <c r="T63" s="6">
        <v>100</v>
      </c>
      <c r="U63" s="2"/>
      <c r="V63" s="7">
        <f t="shared" si="41"/>
        <v>2.8571428571428571E-3</v>
      </c>
      <c r="W63" s="2"/>
      <c r="X63" s="6">
        <f t="shared" si="42"/>
        <v>-100</v>
      </c>
      <c r="Y63" s="2"/>
      <c r="Z63" s="7">
        <f t="shared" si="43"/>
        <v>-1</v>
      </c>
    </row>
    <row r="64" spans="1:26" s="24" customFormat="1" hidden="1" outlineLevel="2" x14ac:dyDescent="0.25">
      <c r="A64" s="27"/>
      <c r="B64" s="11" t="str">
        <f>CONCATENATE("          ", "6285", " - ", "JANITORIAL SERVICES")</f>
        <v xml:space="preserve">          6285 - JANITORIAL SERVICES</v>
      </c>
      <c r="C64" s="11"/>
      <c r="D64" s="6"/>
      <c r="E64" s="2"/>
      <c r="F64" s="7">
        <f t="shared" si="36"/>
        <v>0</v>
      </c>
      <c r="G64" s="2"/>
      <c r="H64" s="6">
        <v>396</v>
      </c>
      <c r="I64" s="2"/>
      <c r="J64" s="7">
        <f t="shared" si="37"/>
        <v>1.1314285714285714E-2</v>
      </c>
      <c r="K64" s="2"/>
      <c r="L64" s="6">
        <f t="shared" si="38"/>
        <v>-396</v>
      </c>
      <c r="M64" s="2"/>
      <c r="N64" s="7">
        <f t="shared" si="39"/>
        <v>-1</v>
      </c>
      <c r="O64" s="11"/>
      <c r="P64" s="6"/>
      <c r="Q64" s="2"/>
      <c r="R64" s="7">
        <f t="shared" si="40"/>
        <v>0</v>
      </c>
      <c r="S64" s="2"/>
      <c r="T64" s="6">
        <v>792</v>
      </c>
      <c r="U64" s="2"/>
      <c r="V64" s="7">
        <f t="shared" si="41"/>
        <v>2.2628571428571428E-2</v>
      </c>
      <c r="W64" s="2"/>
      <c r="X64" s="6">
        <f t="shared" si="42"/>
        <v>-792</v>
      </c>
      <c r="Y64" s="2"/>
      <c r="Z64" s="7">
        <f t="shared" si="43"/>
        <v>-1</v>
      </c>
    </row>
    <row r="65" spans="1:26" s="24" customFormat="1" hidden="1" outlineLevel="2" x14ac:dyDescent="0.25">
      <c r="A65" s="27"/>
      <c r="B65" s="11" t="str">
        <f>CONCATENATE("          ", "6286", " - ", "LAUNDRY EXPENSE")</f>
        <v xml:space="preserve">          6286 - LAUNDRY EXPENSE</v>
      </c>
      <c r="C65" s="11"/>
      <c r="D65" s="6">
        <v>40.92</v>
      </c>
      <c r="E65" s="2"/>
      <c r="F65" s="7">
        <f t="shared" si="36"/>
        <v>2.6030484674647567E-3</v>
      </c>
      <c r="G65" s="2"/>
      <c r="H65" s="6">
        <v>100</v>
      </c>
      <c r="I65" s="2"/>
      <c r="J65" s="7">
        <f t="shared" si="37"/>
        <v>2.8571428571428571E-3</v>
      </c>
      <c r="K65" s="2"/>
      <c r="L65" s="6">
        <f t="shared" si="38"/>
        <v>-59.08</v>
      </c>
      <c r="M65" s="2"/>
      <c r="N65" s="7">
        <f t="shared" si="39"/>
        <v>-0.59079999999999999</v>
      </c>
      <c r="O65" s="11"/>
      <c r="P65" s="6">
        <v>40.92</v>
      </c>
      <c r="Q65" s="2"/>
      <c r="R65" s="7">
        <f t="shared" si="40"/>
        <v>2.6030484674647567E-3</v>
      </c>
      <c r="S65" s="2"/>
      <c r="T65" s="6">
        <v>200</v>
      </c>
      <c r="U65" s="2"/>
      <c r="V65" s="7">
        <f t="shared" si="41"/>
        <v>5.7142857142857143E-3</v>
      </c>
      <c r="W65" s="2"/>
      <c r="X65" s="6">
        <f t="shared" si="42"/>
        <v>-159.07999999999998</v>
      </c>
      <c r="Y65" s="2"/>
      <c r="Z65" s="7">
        <f t="shared" si="43"/>
        <v>-0.79539999999999988</v>
      </c>
    </row>
    <row r="66" spans="1:26" s="26" customFormat="1" outlineLevel="1" collapsed="1" x14ac:dyDescent="0.25">
      <c r="A66" s="25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SUM(OSRRefD22_10x_0)</f>
        <v>1328.85</v>
      </c>
      <c r="E66" s="1"/>
      <c r="F66" s="5">
        <f t="shared" ref="F66:F72" si="44">IF(D$12=0,0,D66/D$12)</f>
        <v>8.4532281426943828E-2</v>
      </c>
      <c r="G66" s="1"/>
      <c r="H66" s="1">
        <f>SUM(OSRRefH22_10x_0)</f>
        <v>511</v>
      </c>
      <c r="I66" s="1"/>
      <c r="J66" s="5">
        <f t="shared" ref="J66:J72" si="45">IF(H$12=0,0,H66/H$12)</f>
        <v>1.46E-2</v>
      </c>
      <c r="K66" s="1"/>
      <c r="L66" s="1">
        <f t="shared" ref="L66:L72" si="46">+D66-H66</f>
        <v>817.84999999999991</v>
      </c>
      <c r="M66" s="1"/>
      <c r="N66" s="5">
        <f t="shared" ref="N66:N72" si="47">IF(H66=0,0,L66/H66)</f>
        <v>1.6004892367906065</v>
      </c>
      <c r="O66" s="13"/>
      <c r="P66" s="1">
        <f>SUM(OSRRefP22_10x_0)</f>
        <v>2263.11</v>
      </c>
      <c r="Q66" s="1"/>
      <c r="R66" s="5">
        <f t="shared" ref="R66:R72" si="48">IF(P$12=0,0,P66/P$12)</f>
        <v>0.14396346571857688</v>
      </c>
      <c r="S66" s="1"/>
      <c r="T66" s="1">
        <f>SUM(OSRRefT22_10x_0)</f>
        <v>1422</v>
      </c>
      <c r="U66" s="1"/>
      <c r="V66" s="5">
        <f t="shared" ref="V66:V72" si="49">IF(T$12=0,0,T66/T$12)</f>
        <v>4.0628571428571431E-2</v>
      </c>
      <c r="W66" s="1"/>
      <c r="X66" s="1">
        <f t="shared" ref="X66:X72" si="50">+P66-T66</f>
        <v>841.11000000000013</v>
      </c>
      <c r="Y66" s="1"/>
      <c r="Z66" s="5">
        <f t="shared" ref="Z66:Z72" si="51">IF(T66=0,0,X66/T66)</f>
        <v>0.59149789029535871</v>
      </c>
    </row>
    <row r="67" spans="1:26" s="24" customFormat="1" hidden="1" outlineLevel="2" x14ac:dyDescent="0.25">
      <c r="A67" s="27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44"/>
        <v>0</v>
      </c>
      <c r="G67" s="2"/>
      <c r="H67" s="6">
        <v>11</v>
      </c>
      <c r="I67" s="2"/>
      <c r="J67" s="7">
        <f t="shared" si="45"/>
        <v>3.1428571428571427E-4</v>
      </c>
      <c r="K67" s="2"/>
      <c r="L67" s="6">
        <f t="shared" si="46"/>
        <v>-11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22</v>
      </c>
      <c r="U67" s="2"/>
      <c r="V67" s="7">
        <f t="shared" si="49"/>
        <v>6.2857142857142853E-4</v>
      </c>
      <c r="W67" s="2"/>
      <c r="X67" s="6">
        <f t="shared" si="50"/>
        <v>-22</v>
      </c>
      <c r="Y67" s="2"/>
      <c r="Z67" s="7">
        <f t="shared" si="51"/>
        <v>-1</v>
      </c>
    </row>
    <row r="68" spans="1:26" s="24" customFormat="1" hidden="1" outlineLevel="2" x14ac:dyDescent="0.25">
      <c r="A68" s="27"/>
      <c r="B68" s="11" t="str">
        <f>CONCATENATE("          ", "6239", " - ", "KITCHEN SUPPLIES")</f>
        <v xml:space="preserve">          6239 - KITCHEN SUPPLIES</v>
      </c>
      <c r="C68" s="11"/>
      <c r="D68" s="6">
        <v>281.44</v>
      </c>
      <c r="E68" s="2"/>
      <c r="F68" s="7">
        <f t="shared" si="44"/>
        <v>1.7903273721487808E-2</v>
      </c>
      <c r="G68" s="2"/>
      <c r="H68" s="6"/>
      <c r="I68" s="2"/>
      <c r="J68" s="7">
        <f t="shared" si="45"/>
        <v>0</v>
      </c>
      <c r="K68" s="2"/>
      <c r="L68" s="6">
        <f t="shared" si="46"/>
        <v>281.44</v>
      </c>
      <c r="M68" s="2"/>
      <c r="N68" s="7">
        <f t="shared" si="47"/>
        <v>0</v>
      </c>
      <c r="O68" s="11"/>
      <c r="P68" s="6">
        <v>869.07</v>
      </c>
      <c r="Q68" s="2"/>
      <c r="R68" s="7">
        <f t="shared" si="48"/>
        <v>5.5284245640752593E-2</v>
      </c>
      <c r="S68" s="2"/>
      <c r="T68" s="6">
        <v>300</v>
      </c>
      <c r="U68" s="2"/>
      <c r="V68" s="7">
        <f t="shared" si="49"/>
        <v>8.5714285714285719E-3</v>
      </c>
      <c r="W68" s="2"/>
      <c r="X68" s="6">
        <f t="shared" si="50"/>
        <v>569.07000000000005</v>
      </c>
      <c r="Y68" s="2"/>
      <c r="Z68" s="7">
        <f t="shared" si="51"/>
        <v>1.8969000000000003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6">
        <v>335.25</v>
      </c>
      <c r="E69" s="2"/>
      <c r="F69" s="7">
        <f t="shared" si="44"/>
        <v>2.1326295178825994E-2</v>
      </c>
      <c r="G69" s="2"/>
      <c r="H69" s="6"/>
      <c r="I69" s="2"/>
      <c r="J69" s="7">
        <f t="shared" si="45"/>
        <v>0</v>
      </c>
      <c r="K69" s="2"/>
      <c r="L69" s="6">
        <f t="shared" si="46"/>
        <v>335.25</v>
      </c>
      <c r="M69" s="2"/>
      <c r="N69" s="7">
        <f t="shared" si="47"/>
        <v>0</v>
      </c>
      <c r="O69" s="11"/>
      <c r="P69" s="6">
        <v>335.25</v>
      </c>
      <c r="Q69" s="2"/>
      <c r="R69" s="7">
        <f t="shared" si="48"/>
        <v>2.1326295178825994E-2</v>
      </c>
      <c r="S69" s="2"/>
      <c r="T69" s="6"/>
      <c r="U69" s="2"/>
      <c r="V69" s="7">
        <f t="shared" si="49"/>
        <v>0</v>
      </c>
      <c r="W69" s="2"/>
      <c r="X69" s="6">
        <f t="shared" si="50"/>
        <v>335.25</v>
      </c>
      <c r="Y69" s="2"/>
      <c r="Z69" s="7">
        <f t="shared" si="51"/>
        <v>0</v>
      </c>
    </row>
    <row r="70" spans="1:26" s="24" customFormat="1" hidden="1" outlineLevel="2" x14ac:dyDescent="0.25">
      <c r="A70" s="27"/>
      <c r="B70" s="11" t="str">
        <f>CONCATENATE("          ", "6243", " - ", "PAPER SUPPLIES")</f>
        <v xml:space="preserve">          6243 - PAPER SUPPLIES</v>
      </c>
      <c r="C70" s="11"/>
      <c r="D70" s="6">
        <v>319.12</v>
      </c>
      <c r="E70" s="2"/>
      <c r="F70" s="7">
        <f t="shared" si="44"/>
        <v>2.0300215712056528E-2</v>
      </c>
      <c r="G70" s="2"/>
      <c r="H70" s="6">
        <v>500</v>
      </c>
      <c r="I70" s="2"/>
      <c r="J70" s="7">
        <f t="shared" si="45"/>
        <v>1.4285714285714285E-2</v>
      </c>
      <c r="K70" s="2"/>
      <c r="L70" s="6">
        <f t="shared" si="46"/>
        <v>-180.88</v>
      </c>
      <c r="M70" s="2"/>
      <c r="N70" s="7">
        <f t="shared" si="47"/>
        <v>-0.36175999999999997</v>
      </c>
      <c r="O70" s="11"/>
      <c r="P70" s="6">
        <v>319.12</v>
      </c>
      <c r="Q70" s="2"/>
      <c r="R70" s="7">
        <f t="shared" si="48"/>
        <v>2.0300215712056528E-2</v>
      </c>
      <c r="S70" s="2"/>
      <c r="T70" s="6">
        <v>500</v>
      </c>
      <c r="U70" s="2"/>
      <c r="V70" s="7">
        <f t="shared" si="49"/>
        <v>1.4285714285714285E-2</v>
      </c>
      <c r="W70" s="2"/>
      <c r="X70" s="6">
        <f t="shared" si="50"/>
        <v>-180.88</v>
      </c>
      <c r="Y70" s="2"/>
      <c r="Z70" s="7">
        <f t="shared" si="51"/>
        <v>-0.36175999999999997</v>
      </c>
    </row>
    <row r="71" spans="1:26" s="24" customFormat="1" hidden="1" outlineLevel="2" x14ac:dyDescent="0.25">
      <c r="A71" s="27"/>
      <c r="B71" s="11" t="str">
        <f>CONCATENATE("          ", "6247", " - ", "STORE SUPPLIES")</f>
        <v xml:space="preserve">          6247 - STORE SUPPLIES</v>
      </c>
      <c r="C71" s="11"/>
      <c r="D71" s="6">
        <v>102.64</v>
      </c>
      <c r="E71" s="2"/>
      <c r="F71" s="7">
        <f t="shared" si="44"/>
        <v>6.5292496261139445E-3</v>
      </c>
      <c r="G71" s="2"/>
      <c r="H71" s="6"/>
      <c r="I71" s="2"/>
      <c r="J71" s="7">
        <f t="shared" si="45"/>
        <v>0</v>
      </c>
      <c r="K71" s="2"/>
      <c r="L71" s="6">
        <f t="shared" si="46"/>
        <v>102.64</v>
      </c>
      <c r="M71" s="2"/>
      <c r="N71" s="7">
        <f t="shared" si="47"/>
        <v>0</v>
      </c>
      <c r="O71" s="11"/>
      <c r="P71" s="6">
        <v>102.64</v>
      </c>
      <c r="Q71" s="2"/>
      <c r="R71" s="7">
        <f t="shared" si="48"/>
        <v>6.5292496261139445E-3</v>
      </c>
      <c r="S71" s="2"/>
      <c r="T71" s="6"/>
      <c r="U71" s="2"/>
      <c r="V71" s="7">
        <f t="shared" si="49"/>
        <v>0</v>
      </c>
      <c r="W71" s="2"/>
      <c r="X71" s="6">
        <f t="shared" si="50"/>
        <v>102.64</v>
      </c>
      <c r="Y71" s="2"/>
      <c r="Z71" s="7">
        <f t="shared" si="51"/>
        <v>0</v>
      </c>
    </row>
    <row r="72" spans="1:26" s="24" customFormat="1" hidden="1" outlineLevel="2" x14ac:dyDescent="0.25">
      <c r="A72" s="27"/>
      <c r="B72" s="11" t="str">
        <f>CONCATENATE("          ", "6248", " - ", "UNIFORMS")</f>
        <v xml:space="preserve">          6248 - UNIFORMS</v>
      </c>
      <c r="C72" s="11"/>
      <c r="D72" s="6">
        <v>290.39999999999998</v>
      </c>
      <c r="E72" s="2"/>
      <c r="F72" s="7">
        <f t="shared" si="44"/>
        <v>1.8473247188459562E-2</v>
      </c>
      <c r="G72" s="2"/>
      <c r="H72" s="6"/>
      <c r="I72" s="2"/>
      <c r="J72" s="7">
        <f t="shared" si="45"/>
        <v>0</v>
      </c>
      <c r="K72" s="2"/>
      <c r="L72" s="6">
        <f t="shared" si="46"/>
        <v>290.39999999999998</v>
      </c>
      <c r="M72" s="2"/>
      <c r="N72" s="7">
        <f t="shared" si="47"/>
        <v>0</v>
      </c>
      <c r="O72" s="11"/>
      <c r="P72" s="6">
        <v>637.03</v>
      </c>
      <c r="Q72" s="2"/>
      <c r="R72" s="7">
        <f t="shared" si="48"/>
        <v>4.0523459560827806E-2</v>
      </c>
      <c r="S72" s="2"/>
      <c r="T72" s="6">
        <v>600</v>
      </c>
      <c r="U72" s="2"/>
      <c r="V72" s="7">
        <f t="shared" si="49"/>
        <v>1.7142857142857144E-2</v>
      </c>
      <c r="W72" s="2"/>
      <c r="X72" s="6">
        <f t="shared" si="50"/>
        <v>37.029999999999973</v>
      </c>
      <c r="Y72" s="2"/>
      <c r="Z72" s="7">
        <f t="shared" si="51"/>
        <v>6.1716666666666621E-2</v>
      </c>
    </row>
    <row r="73" spans="1:26" s="26" customFormat="1" outlineLevel="1" collapsed="1" x14ac:dyDescent="0.25">
      <c r="A73" s="25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SUM(OSRRefD22_11x_0)</f>
        <v>86</v>
      </c>
      <c r="E73" s="1"/>
      <c r="F73" s="5">
        <f t="shared" ref="F73:F75" si="52">IF(D$12=0,0,D73/D$12)</f>
        <v>5.4707274731663992E-3</v>
      </c>
      <c r="G73" s="1"/>
      <c r="H73" s="1">
        <f>SUM(OSRRefH22_11x_0)</f>
        <v>95</v>
      </c>
      <c r="I73" s="1"/>
      <c r="J73" s="5">
        <f t="shared" ref="J73:J75" si="53">IF(H$12=0,0,H73/H$12)</f>
        <v>2.7142857142857142E-3</v>
      </c>
      <c r="K73" s="1"/>
      <c r="L73" s="1">
        <f t="shared" ref="L73:L75" si="54">+D73-H73</f>
        <v>-9</v>
      </c>
      <c r="M73" s="1"/>
      <c r="N73" s="5">
        <f t="shared" ref="N73:N75" si="55">IF(H73=0,0,L73/H73)</f>
        <v>-9.4736842105263161E-2</v>
      </c>
      <c r="O73" s="13"/>
      <c r="P73" s="1">
        <f>SUM(OSRRefP22_11x_0)</f>
        <v>118</v>
      </c>
      <c r="Q73" s="1"/>
      <c r="R73" s="5">
        <f t="shared" ref="R73:R75" si="56">IF(P$12=0,0,P73/P$12)</f>
        <v>7.5063469980655249E-3</v>
      </c>
      <c r="S73" s="1"/>
      <c r="T73" s="1">
        <f>SUM(OSRRefT22_11x_0)</f>
        <v>190</v>
      </c>
      <c r="U73" s="1"/>
      <c r="V73" s="5">
        <f t="shared" ref="V73:V75" si="57">IF(T$12=0,0,T73/T$12)</f>
        <v>5.4285714285714284E-3</v>
      </c>
      <c r="W73" s="1"/>
      <c r="X73" s="1">
        <f t="shared" ref="X73:X75" si="58">+P73-T73</f>
        <v>-72</v>
      </c>
      <c r="Y73" s="1"/>
      <c r="Z73" s="5">
        <f t="shared" ref="Z73:Z75" si="59">IF(T73=0,0,X73/T73)</f>
        <v>-0.37894736842105264</v>
      </c>
    </row>
    <row r="74" spans="1:26" s="24" customFormat="1" hidden="1" outlineLevel="2" x14ac:dyDescent="0.25">
      <c r="A74" s="27"/>
      <c r="B74" s="11" t="str">
        <f>CONCATENATE("          ", "6303", " - ", "DATA PHONE LINES")</f>
        <v xml:space="preserve">          6303 - DATA PHONE LINES</v>
      </c>
      <c r="C74" s="11"/>
      <c r="D74" s="6"/>
      <c r="E74" s="2"/>
      <c r="F74" s="7">
        <f t="shared" si="52"/>
        <v>0</v>
      </c>
      <c r="G74" s="2"/>
      <c r="H74" s="6">
        <v>50</v>
      </c>
      <c r="I74" s="2"/>
      <c r="J74" s="7">
        <f t="shared" si="53"/>
        <v>1.4285714285714286E-3</v>
      </c>
      <c r="K74" s="2"/>
      <c r="L74" s="6">
        <f t="shared" si="54"/>
        <v>-50</v>
      </c>
      <c r="M74" s="2"/>
      <c r="N74" s="7">
        <f t="shared" si="55"/>
        <v>-1</v>
      </c>
      <c r="O74" s="11"/>
      <c r="P74" s="6"/>
      <c r="Q74" s="2"/>
      <c r="R74" s="7">
        <f t="shared" si="56"/>
        <v>0</v>
      </c>
      <c r="S74" s="2"/>
      <c r="T74" s="6">
        <v>100</v>
      </c>
      <c r="U74" s="2"/>
      <c r="V74" s="7">
        <f t="shared" si="57"/>
        <v>2.8571428571428571E-3</v>
      </c>
      <c r="W74" s="2"/>
      <c r="X74" s="6">
        <f t="shared" si="58"/>
        <v>-100</v>
      </c>
      <c r="Y74" s="2"/>
      <c r="Z74" s="7">
        <f t="shared" si="59"/>
        <v>-1</v>
      </c>
    </row>
    <row r="75" spans="1:26" s="24" customFormat="1" hidden="1" outlineLevel="2" x14ac:dyDescent="0.25">
      <c r="A75" s="27"/>
      <c r="B75" s="11" t="str">
        <f>CONCATENATE("          ", "6309", " - ", "TELEPHONE")</f>
        <v xml:space="preserve">          6309 - TELEPHONE</v>
      </c>
      <c r="C75" s="11"/>
      <c r="D75" s="6">
        <v>86</v>
      </c>
      <c r="E75" s="2"/>
      <c r="F75" s="7">
        <f t="shared" si="52"/>
        <v>5.4707274731663992E-3</v>
      </c>
      <c r="G75" s="2"/>
      <c r="H75" s="6">
        <v>45</v>
      </c>
      <c r="I75" s="2"/>
      <c r="J75" s="7">
        <f t="shared" si="53"/>
        <v>1.2857142857142856E-3</v>
      </c>
      <c r="K75" s="2"/>
      <c r="L75" s="6">
        <f t="shared" si="54"/>
        <v>41</v>
      </c>
      <c r="M75" s="2"/>
      <c r="N75" s="7">
        <f t="shared" si="55"/>
        <v>0.91111111111111109</v>
      </c>
      <c r="O75" s="11"/>
      <c r="P75" s="6">
        <v>118</v>
      </c>
      <c r="Q75" s="2"/>
      <c r="R75" s="7">
        <f t="shared" si="56"/>
        <v>7.5063469980655249E-3</v>
      </c>
      <c r="S75" s="2"/>
      <c r="T75" s="6">
        <v>90</v>
      </c>
      <c r="U75" s="2"/>
      <c r="V75" s="7">
        <f t="shared" si="57"/>
        <v>2.5714285714285713E-3</v>
      </c>
      <c r="W75" s="2"/>
      <c r="X75" s="6">
        <f t="shared" si="58"/>
        <v>28</v>
      </c>
      <c r="Y75" s="2"/>
      <c r="Z75" s="7">
        <f t="shared" si="59"/>
        <v>0.31111111111111112</v>
      </c>
    </row>
    <row r="76" spans="1:26" s="26" customFormat="1" outlineLevel="1" collapsed="1" x14ac:dyDescent="0.25">
      <c r="A76" s="25"/>
      <c r="B76" s="13" t="str">
        <f>CONCATENATE("     ","Training                                          ")</f>
        <v xml:space="preserve">     Training                                          </v>
      </c>
      <c r="C76" s="13"/>
      <c r="D76" s="1">
        <f>SUM(OSRRefD22_12x_0)</f>
        <v>0</v>
      </c>
      <c r="E76" s="1"/>
      <c r="F76" s="5">
        <f t="shared" ref="F76:F79" si="60">IF(D$12=0,0,D76/D$12)</f>
        <v>0</v>
      </c>
      <c r="G76" s="1"/>
      <c r="H76" s="1">
        <f>SUM(OSRRefH22_12x_0)</f>
        <v>2000</v>
      </c>
      <c r="I76" s="1"/>
      <c r="J76" s="5">
        <f t="shared" ref="J76:J79" si="61">IF(H$12=0,0,H76/H$12)</f>
        <v>5.7142857142857141E-2</v>
      </c>
      <c r="K76" s="1"/>
      <c r="L76" s="1">
        <f t="shared" ref="L76:L79" si="62">+D76-H76</f>
        <v>-2000</v>
      </c>
      <c r="M76" s="1"/>
      <c r="N76" s="5">
        <f t="shared" ref="N76:N79" si="63">IF(H76=0,0,L76/H76)</f>
        <v>-1</v>
      </c>
      <c r="O76" s="13"/>
      <c r="P76" s="1">
        <f>SUM(OSRRefP22_12x_0)</f>
        <v>152.94999999999999</v>
      </c>
      <c r="Q76" s="1"/>
      <c r="R76" s="5">
        <f t="shared" ref="R76:R79" si="64">IF(P$12=0,0,P76/P$12)</f>
        <v>9.729625197916288E-3</v>
      </c>
      <c r="S76" s="1"/>
      <c r="T76" s="1">
        <f>SUM(OSRRefT22_12x_0)</f>
        <v>2000</v>
      </c>
      <c r="U76" s="1"/>
      <c r="V76" s="5">
        <f t="shared" ref="V76:V79" si="65">IF(T$12=0,0,T76/T$12)</f>
        <v>5.7142857142857141E-2</v>
      </c>
      <c r="W76" s="1"/>
      <c r="X76" s="1">
        <f t="shared" ref="X76:X79" si="66">+P76-T76</f>
        <v>-1847.05</v>
      </c>
      <c r="Y76" s="1"/>
      <c r="Z76" s="5">
        <f t="shared" ref="Z76:Z79" si="67">IF(T76=0,0,X76/T76)</f>
        <v>-0.92352499999999993</v>
      </c>
    </row>
    <row r="77" spans="1:26" s="24" customFormat="1" hidden="1" outlineLevel="2" x14ac:dyDescent="0.25">
      <c r="A77" s="27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60"/>
        <v>0</v>
      </c>
      <c r="G77" s="2"/>
      <c r="H77" s="6">
        <v>2000</v>
      </c>
      <c r="I77" s="2"/>
      <c r="J77" s="7">
        <f t="shared" si="61"/>
        <v>5.7142857142857141E-2</v>
      </c>
      <c r="K77" s="2"/>
      <c r="L77" s="6">
        <f t="shared" si="62"/>
        <v>-2000</v>
      </c>
      <c r="M77" s="2"/>
      <c r="N77" s="7">
        <f t="shared" si="63"/>
        <v>-1</v>
      </c>
      <c r="O77" s="11"/>
      <c r="P77" s="6">
        <v>152.94999999999999</v>
      </c>
      <c r="Q77" s="2"/>
      <c r="R77" s="7">
        <f t="shared" si="64"/>
        <v>9.729625197916288E-3</v>
      </c>
      <c r="S77" s="2"/>
      <c r="T77" s="6">
        <v>2000</v>
      </c>
      <c r="U77" s="2"/>
      <c r="V77" s="7">
        <f t="shared" si="65"/>
        <v>5.7142857142857141E-2</v>
      </c>
      <c r="W77" s="2"/>
      <c r="X77" s="6">
        <f t="shared" si="66"/>
        <v>-1847.05</v>
      </c>
      <c r="Y77" s="2"/>
      <c r="Z77" s="7">
        <f t="shared" si="67"/>
        <v>-0.92352499999999993</v>
      </c>
    </row>
    <row r="78" spans="1:26" s="26" customFormat="1" outlineLevel="1" collapsed="1" x14ac:dyDescent="0.25">
      <c r="A78" s="25"/>
      <c r="B78" s="13" t="str">
        <f>CONCATENATE("     ","Travel                                            ")</f>
        <v xml:space="preserve">     Travel                                            </v>
      </c>
      <c r="C78" s="13"/>
      <c r="D78" s="1">
        <f>SUM(OSRRefD22_13x_0)</f>
        <v>0</v>
      </c>
      <c r="E78" s="1"/>
      <c r="F78" s="5">
        <f t="shared" si="60"/>
        <v>0</v>
      </c>
      <c r="G78" s="1"/>
      <c r="H78" s="1">
        <f>SUM(OSRRefH22_13x_0)</f>
        <v>0</v>
      </c>
      <c r="I78" s="1"/>
      <c r="J78" s="5">
        <f t="shared" si="61"/>
        <v>0</v>
      </c>
      <c r="K78" s="1"/>
      <c r="L78" s="1">
        <f t="shared" si="62"/>
        <v>0</v>
      </c>
      <c r="M78" s="1"/>
      <c r="N78" s="5">
        <f t="shared" si="63"/>
        <v>0</v>
      </c>
      <c r="O78" s="13"/>
      <c r="P78" s="1">
        <f>SUM(OSRRefP22_13x_0)</f>
        <v>0</v>
      </c>
      <c r="Q78" s="1"/>
      <c r="R78" s="5">
        <f t="shared" si="64"/>
        <v>0</v>
      </c>
      <c r="S78" s="1"/>
      <c r="T78" s="1">
        <f>SUM(OSRRefT22_13x_0)</f>
        <v>2000</v>
      </c>
      <c r="U78" s="1"/>
      <c r="V78" s="5">
        <f t="shared" si="65"/>
        <v>5.7142857142857141E-2</v>
      </c>
      <c r="W78" s="1"/>
      <c r="X78" s="1">
        <f t="shared" si="66"/>
        <v>-2000</v>
      </c>
      <c r="Y78" s="1"/>
      <c r="Z78" s="5">
        <f t="shared" si="67"/>
        <v>-1</v>
      </c>
    </row>
    <row r="79" spans="1:26" s="24" customFormat="1" hidden="1" outlineLevel="2" x14ac:dyDescent="0.25">
      <c r="A79" s="27"/>
      <c r="B79" s="11" t="str">
        <f>CONCATENATE("          ", "6292", " - ", "TRAVEL/CONFERENCE")</f>
        <v xml:space="preserve">          6292 - TRAVEL/CONFERENCE</v>
      </c>
      <c r="C79" s="11"/>
      <c r="D79" s="6"/>
      <c r="E79" s="2"/>
      <c r="F79" s="7">
        <f t="shared" si="60"/>
        <v>0</v>
      </c>
      <c r="G79" s="2"/>
      <c r="H79" s="6"/>
      <c r="I79" s="2"/>
      <c r="J79" s="7">
        <f t="shared" si="61"/>
        <v>0</v>
      </c>
      <c r="K79" s="2"/>
      <c r="L79" s="6">
        <f t="shared" si="62"/>
        <v>0</v>
      </c>
      <c r="M79" s="2"/>
      <c r="N79" s="7">
        <f t="shared" si="63"/>
        <v>0</v>
      </c>
      <c r="O79" s="11"/>
      <c r="P79" s="6"/>
      <c r="Q79" s="2"/>
      <c r="R79" s="7">
        <f t="shared" si="64"/>
        <v>0</v>
      </c>
      <c r="S79" s="2"/>
      <c r="T79" s="6">
        <v>2000</v>
      </c>
      <c r="U79" s="2"/>
      <c r="V79" s="7">
        <f t="shared" si="65"/>
        <v>5.7142857142857141E-2</v>
      </c>
      <c r="W79" s="2"/>
      <c r="X79" s="6">
        <f t="shared" si="66"/>
        <v>-2000</v>
      </c>
      <c r="Y79" s="2"/>
      <c r="Z79" s="7">
        <f t="shared" si="67"/>
        <v>-1</v>
      </c>
    </row>
    <row r="80" spans="1:26" s="63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8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9" t="s">
        <v>3</v>
      </c>
      <c r="C83" s="29"/>
      <c r="D83" s="22">
        <f>+D23-D25+D81</f>
        <v>-9606.3499999999967</v>
      </c>
      <c r="E83" s="14"/>
      <c r="F83" s="20">
        <f>IF(D$12=0,0,D83/D$12)</f>
        <v>-0.6110898007192096</v>
      </c>
      <c r="G83" s="14"/>
      <c r="H83" s="22">
        <f>+H23-H25+H81</f>
        <v>4925.6763000000028</v>
      </c>
      <c r="I83" s="14"/>
      <c r="J83" s="20">
        <f>IF(H$12=0,0,H83/H$12)</f>
        <v>0.14073360857142866</v>
      </c>
      <c r="K83" s="15"/>
      <c r="L83" s="22">
        <f>+D83-H83</f>
        <v>-14532.0263</v>
      </c>
      <c r="M83" s="15"/>
      <c r="N83" s="20">
        <f>IF(H83=0,0,L83/H83)</f>
        <v>-2.9502601094594851</v>
      </c>
      <c r="O83" s="28"/>
      <c r="P83" s="22">
        <f>+P23-P25+P81</f>
        <v>-21136.909999999993</v>
      </c>
      <c r="Q83" s="14"/>
      <c r="R83" s="20">
        <f>IF(P$12=0,0,P83/P$12)</f>
        <v>-1.3445845841261113</v>
      </c>
      <c r="S83" s="14"/>
      <c r="T83" s="22">
        <f>+T23-T25+T81</f>
        <v>-8278.7400750000015</v>
      </c>
      <c r="U83" s="14"/>
      <c r="V83" s="20">
        <f>IF(T$12=0,0,T83/T$12)</f>
        <v>-0.23653543071428576</v>
      </c>
      <c r="W83" s="15"/>
      <c r="X83" s="22">
        <f>+P83-T83</f>
        <v>-12858.169924999991</v>
      </c>
      <c r="Y83" s="15"/>
      <c r="Z83" s="20">
        <f>IF(T83=0,0,X83/T83)</f>
        <v>1.5531554087353068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14</v>
      </c>
      <c r="C85" s="10"/>
      <c r="D85" s="4">
        <v>1960</v>
      </c>
      <c r="E85" s="4"/>
      <c r="F85" s="12">
        <f>IF(D$12=0,0,D85/D$12)</f>
        <v>0.12468169590007143</v>
      </c>
      <c r="G85" s="4"/>
      <c r="H85" s="4">
        <v>5684</v>
      </c>
      <c r="I85" s="4"/>
      <c r="J85" s="12">
        <f>IF(H$12=0,0,H85/H$12)</f>
        <v>0.16239999999999999</v>
      </c>
      <c r="K85" s="4"/>
      <c r="L85" s="4">
        <f>+D85-H85</f>
        <v>-3724</v>
      </c>
      <c r="M85" s="4"/>
      <c r="N85" s="12">
        <f>IF(H85=0,0,L85/H85)</f>
        <v>-0.65517241379310343</v>
      </c>
      <c r="O85" s="10"/>
      <c r="P85" s="4">
        <v>1960</v>
      </c>
      <c r="Q85" s="4"/>
      <c r="R85" s="12">
        <f>IF(P$12=0,0,P85/P$12)</f>
        <v>0.12468169590007143</v>
      </c>
      <c r="S85" s="4"/>
      <c r="T85" s="4">
        <v>5684</v>
      </c>
      <c r="U85" s="4"/>
      <c r="V85" s="12">
        <f>IF(T$12=0,0,T85/T$12)</f>
        <v>0.16239999999999999</v>
      </c>
      <c r="W85" s="4"/>
      <c r="X85" s="4">
        <f>+P85-T85</f>
        <v>-3724</v>
      </c>
      <c r="Y85" s="4"/>
      <c r="Z85" s="12">
        <f>IF(T85=0,0,X85/T85)</f>
        <v>-0.65517241379310343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4</v>
      </c>
      <c r="C87" s="29"/>
      <c r="D87" s="31">
        <f>+D83-D85</f>
        <v>-11566.349999999997</v>
      </c>
      <c r="E87" s="14"/>
      <c r="F87" s="32">
        <f>IF(D$12=0,0,D87/D$12)</f>
        <v>-0.73577149661928098</v>
      </c>
      <c r="G87" s="14"/>
      <c r="H87" s="31">
        <f>+H83-H85</f>
        <v>-758.32369999999719</v>
      </c>
      <c r="I87" s="14"/>
      <c r="J87" s="32">
        <f>IF(H$12=0,0,H87/H$12)</f>
        <v>-2.1666391428571349E-2</v>
      </c>
      <c r="K87" s="15"/>
      <c r="L87" s="31">
        <f>D87-H87</f>
        <v>-10808.0263</v>
      </c>
      <c r="M87" s="15"/>
      <c r="N87" s="32">
        <f>IF(H87=0,0,L87/H87)</f>
        <v>14.252523427660298</v>
      </c>
      <c r="O87" s="28"/>
      <c r="P87" s="31">
        <f>+P83-P85</f>
        <v>-23096.909999999993</v>
      </c>
      <c r="Q87" s="14"/>
      <c r="R87" s="32">
        <f>IF(P$12=0,0,P87/P$12)</f>
        <v>-1.4692662800261826</v>
      </c>
      <c r="S87" s="14"/>
      <c r="T87" s="31">
        <f>+T83-T85</f>
        <v>-13962.740075000002</v>
      </c>
      <c r="U87" s="14"/>
      <c r="V87" s="32">
        <f>IF(T$12=0,0,T87/T$12)</f>
        <v>-0.39893543071428578</v>
      </c>
      <c r="W87" s="15"/>
      <c r="X87" s="31">
        <f>P87-T87</f>
        <v>-9134.1699249999911</v>
      </c>
      <c r="Y87" s="15"/>
      <c r="Z87" s="32">
        <f>IF(T87=0,0,X87/T87)</f>
        <v>0.65418176346020607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5</v>
      </c>
      <c r="C90" s="29"/>
      <c r="D90" s="33">
        <f>SUM(D87:D89)</f>
        <v>-11566.349999999997</v>
      </c>
      <c r="E90" s="14"/>
      <c r="F90" s="35">
        <f>IF(D$12=0,0,D90/D$12)</f>
        <v>-0.73577149661928098</v>
      </c>
      <c r="G90" s="14"/>
      <c r="H90" s="33">
        <f>SUM(H87:H89)</f>
        <v>-758.32369999999719</v>
      </c>
      <c r="I90" s="14"/>
      <c r="J90" s="35">
        <f>IF(H$12=0,0,H90/H$12)</f>
        <v>-2.1666391428571349E-2</v>
      </c>
      <c r="K90" s="15"/>
      <c r="L90" s="33">
        <f>+D90-H90</f>
        <v>-10808.0263</v>
      </c>
      <c r="M90" s="15"/>
      <c r="N90" s="35">
        <f>IF(H90=0,0,L90/H90)</f>
        <v>14.252523427660298</v>
      </c>
      <c r="O90" s="28"/>
      <c r="P90" s="33">
        <f>SUM(P87:P89)</f>
        <v>-23096.909999999993</v>
      </c>
      <c r="Q90" s="14"/>
      <c r="R90" s="35">
        <f>IF(P$12=0,0,P90/P$12)</f>
        <v>-1.4692662800261826</v>
      </c>
      <c r="S90" s="14"/>
      <c r="T90" s="33">
        <f>SUM(T87:T89)</f>
        <v>-13962.740075000002</v>
      </c>
      <c r="U90" s="14"/>
      <c r="V90" s="35">
        <f>IF(T$12=0,0,T90/T$12)</f>
        <v>-0.39893543071428578</v>
      </c>
      <c r="W90" s="15"/>
      <c r="X90" s="33">
        <f>+P90-T90</f>
        <v>-9134.1699249999911</v>
      </c>
      <c r="Y90" s="15"/>
      <c r="Z90" s="35">
        <f>IF(T90=0,0,X90/T90)</f>
        <v>0.65418176346020607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61">
        <v>43732.706279895836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62" t="s">
        <v>314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8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","411", " - ", "University Dining")</f>
        <v>Department 411 - University Dining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75348.960000000006</v>
      </c>
      <c r="E18" s="19"/>
      <c r="F18" s="34">
        <f t="shared" ref="F18:F29" si="0">IF(D$12=0,0,D18/D$12)</f>
        <v>0</v>
      </c>
      <c r="G18" s="19"/>
      <c r="H18" s="19">
        <f>SUM(OSRRefH22x_0)</f>
        <v>110169.75402804124</v>
      </c>
      <c r="I18" s="19"/>
      <c r="J18" s="34">
        <f t="shared" ref="J18:J29" si="1">IF(H$12=0,0,H18/H$12)</f>
        <v>0</v>
      </c>
      <c r="K18" s="4"/>
      <c r="L18" s="19">
        <f t="shared" ref="L18:L29" si="2">+D18-H18</f>
        <v>-34820.794028041229</v>
      </c>
      <c r="M18" s="4"/>
      <c r="N18" s="34">
        <f t="shared" ref="N18:N29" si="3">IF(H18=0,0,L18/H18)</f>
        <v>-0.31606491577695978</v>
      </c>
      <c r="O18" s="10"/>
      <c r="P18" s="19">
        <f>SUM(OSRRefP22x_0)</f>
        <v>171720.93999999997</v>
      </c>
      <c r="Q18" s="19"/>
      <c r="R18" s="34">
        <f t="shared" ref="R18:R29" si="4">IF(P$12=0,0,P18/P$12)</f>
        <v>0</v>
      </c>
      <c r="S18" s="19"/>
      <c r="T18" s="19">
        <f>SUM(OSRRefT22x_0)</f>
        <v>210486.69964500278</v>
      </c>
      <c r="U18" s="19"/>
      <c r="V18" s="34">
        <f t="shared" ref="V18:V29" si="5">IF(T$12=0,0,T18/T$12)</f>
        <v>0</v>
      </c>
      <c r="W18" s="4"/>
      <c r="X18" s="19">
        <f t="shared" ref="X18:X29" si="6">+P18-T18</f>
        <v>-38765.759645002807</v>
      </c>
      <c r="Y18" s="4"/>
      <c r="Z18" s="34">
        <f t="shared" ref="Z18:Z29" si="7">IF(T18=0,0,X18/T18)</f>
        <v>-0.18417201519327997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10109.429999999998</v>
      </c>
      <c r="E19" s="1"/>
      <c r="F19" s="5">
        <f t="shared" si="0"/>
        <v>0</v>
      </c>
      <c r="G19" s="1"/>
      <c r="H19" s="1">
        <f>SUM(OSRRefH22_0x_0)</f>
        <v>8853.4705511181455</v>
      </c>
      <c r="I19" s="1"/>
      <c r="J19" s="5">
        <f t="shared" si="1"/>
        <v>0</v>
      </c>
      <c r="K19" s="1"/>
      <c r="L19" s="1">
        <f t="shared" si="2"/>
        <v>1255.9594488818529</v>
      </c>
      <c r="M19" s="1"/>
      <c r="N19" s="5">
        <f t="shared" si="3"/>
        <v>0.14186069085904759</v>
      </c>
      <c r="O19" s="13"/>
      <c r="P19" s="1">
        <f>SUM(OSRRefP22_0x_0)</f>
        <v>22179.01</v>
      </c>
      <c r="Q19" s="1"/>
      <c r="R19" s="5">
        <f t="shared" si="4"/>
        <v>0</v>
      </c>
      <c r="S19" s="1"/>
      <c r="T19" s="1">
        <f>SUM(OSRRefT22_0x_0)</f>
        <v>19185.574821925846</v>
      </c>
      <c r="U19" s="1"/>
      <c r="V19" s="5">
        <f t="shared" si="5"/>
        <v>0</v>
      </c>
      <c r="W19" s="1"/>
      <c r="X19" s="1">
        <f t="shared" si="6"/>
        <v>2993.4351780741526</v>
      </c>
      <c r="Y19" s="1"/>
      <c r="Z19" s="5">
        <f t="shared" si="7"/>
        <v>0.15602530577573134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1893.29</v>
      </c>
      <c r="E20" s="2"/>
      <c r="F20" s="7">
        <f t="shared" si="0"/>
        <v>0</v>
      </c>
      <c r="G20" s="2"/>
      <c r="H20" s="6">
        <v>1522.2477230196901</v>
      </c>
      <c r="I20" s="2"/>
      <c r="J20" s="7">
        <f t="shared" si="1"/>
        <v>0</v>
      </c>
      <c r="K20" s="2"/>
      <c r="L20" s="6">
        <f t="shared" si="2"/>
        <v>371.04227698030991</v>
      </c>
      <c r="M20" s="2"/>
      <c r="N20" s="7">
        <f t="shared" si="3"/>
        <v>0.24374631761266266</v>
      </c>
      <c r="O20" s="11"/>
      <c r="P20" s="6">
        <v>4021.52</v>
      </c>
      <c r="Q20" s="2"/>
      <c r="R20" s="7">
        <f t="shared" si="4"/>
        <v>0</v>
      </c>
      <c r="S20" s="2"/>
      <c r="T20" s="6">
        <v>3381.31948690431</v>
      </c>
      <c r="U20" s="2"/>
      <c r="V20" s="7">
        <f t="shared" si="5"/>
        <v>0</v>
      </c>
      <c r="W20" s="2"/>
      <c r="X20" s="6">
        <f t="shared" si="6"/>
        <v>640.20051309568998</v>
      </c>
      <c r="Y20" s="2"/>
      <c r="Z20" s="7">
        <f t="shared" si="7"/>
        <v>0.18933452327564912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769.27</v>
      </c>
      <c r="E21" s="2"/>
      <c r="F21" s="7">
        <f t="shared" si="0"/>
        <v>0</v>
      </c>
      <c r="G21" s="2"/>
      <c r="H21" s="6">
        <v>1097.68547305846</v>
      </c>
      <c r="I21" s="2"/>
      <c r="J21" s="7">
        <f t="shared" si="1"/>
        <v>0</v>
      </c>
      <c r="K21" s="2"/>
      <c r="L21" s="6">
        <f t="shared" si="2"/>
        <v>-328.41547305846007</v>
      </c>
      <c r="M21" s="2"/>
      <c r="N21" s="7">
        <f t="shared" si="3"/>
        <v>-0.29918904924869083</v>
      </c>
      <c r="O21" s="11"/>
      <c r="P21" s="6">
        <v>1469.83</v>
      </c>
      <c r="Q21" s="2"/>
      <c r="R21" s="7">
        <f t="shared" si="4"/>
        <v>0</v>
      </c>
      <c r="S21" s="2"/>
      <c r="T21" s="6">
        <v>2366.1376099815398</v>
      </c>
      <c r="U21" s="2"/>
      <c r="V21" s="7">
        <f t="shared" si="5"/>
        <v>0</v>
      </c>
      <c r="W21" s="2"/>
      <c r="X21" s="6">
        <f t="shared" si="6"/>
        <v>-896.30760998153983</v>
      </c>
      <c r="Y21" s="2"/>
      <c r="Z21" s="7">
        <f t="shared" si="7"/>
        <v>-0.37880620560717626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3654.84</v>
      </c>
      <c r="E22" s="2"/>
      <c r="F22" s="7">
        <f t="shared" si="0"/>
        <v>0</v>
      </c>
      <c r="G22" s="2"/>
      <c r="H22" s="6">
        <v>2600.76923076923</v>
      </c>
      <c r="I22" s="2"/>
      <c r="J22" s="7">
        <f t="shared" si="1"/>
        <v>0</v>
      </c>
      <c r="K22" s="2"/>
      <c r="L22" s="6">
        <f t="shared" si="2"/>
        <v>1054.0707692307701</v>
      </c>
      <c r="M22" s="2"/>
      <c r="N22" s="7">
        <f t="shared" si="3"/>
        <v>0.40529192546583898</v>
      </c>
      <c r="O22" s="11"/>
      <c r="P22" s="6">
        <v>7309.76</v>
      </c>
      <c r="Q22" s="2"/>
      <c r="R22" s="7">
        <f t="shared" si="4"/>
        <v>0</v>
      </c>
      <c r="S22" s="2"/>
      <c r="T22" s="6">
        <v>5520.2307692307704</v>
      </c>
      <c r="U22" s="2"/>
      <c r="V22" s="7">
        <f t="shared" si="5"/>
        <v>0</v>
      </c>
      <c r="W22" s="2"/>
      <c r="X22" s="6">
        <f t="shared" si="6"/>
        <v>1789.5292307692298</v>
      </c>
      <c r="Y22" s="2"/>
      <c r="Z22" s="7">
        <f t="shared" si="7"/>
        <v>0.32417652550757331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63.37</v>
      </c>
      <c r="E23" s="2"/>
      <c r="F23" s="7">
        <f t="shared" si="0"/>
        <v>0</v>
      </c>
      <c r="G23" s="2"/>
      <c r="H23" s="6">
        <v>73.556243039999998</v>
      </c>
      <c r="I23" s="2"/>
      <c r="J23" s="7">
        <f t="shared" si="1"/>
        <v>0</v>
      </c>
      <c r="K23" s="2"/>
      <c r="L23" s="6">
        <f t="shared" si="2"/>
        <v>-10.186243040000001</v>
      </c>
      <c r="M23" s="2"/>
      <c r="N23" s="7">
        <f t="shared" si="3"/>
        <v>-0.13848237238626646</v>
      </c>
      <c r="O23" s="11"/>
      <c r="P23" s="6">
        <v>122.77</v>
      </c>
      <c r="Q23" s="2"/>
      <c r="R23" s="7">
        <f t="shared" si="4"/>
        <v>0</v>
      </c>
      <c r="S23" s="2"/>
      <c r="T23" s="6">
        <v>158.55561304</v>
      </c>
      <c r="U23" s="2"/>
      <c r="V23" s="7">
        <f t="shared" si="5"/>
        <v>0</v>
      </c>
      <c r="W23" s="2"/>
      <c r="X23" s="6">
        <f t="shared" si="6"/>
        <v>-35.785613040000001</v>
      </c>
      <c r="Y23" s="2"/>
      <c r="Z23" s="7">
        <f t="shared" si="7"/>
        <v>-0.22569754771767114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1169.0899999999999</v>
      </c>
      <c r="E24" s="2"/>
      <c r="F24" s="7">
        <f t="shared" si="0"/>
        <v>0</v>
      </c>
      <c r="G24" s="2"/>
      <c r="H24" s="6">
        <v>1096.68853846154</v>
      </c>
      <c r="I24" s="2"/>
      <c r="J24" s="7">
        <f t="shared" si="1"/>
        <v>0</v>
      </c>
      <c r="K24" s="2"/>
      <c r="L24" s="6">
        <f t="shared" si="2"/>
        <v>72.401461538459898</v>
      </c>
      <c r="M24" s="2"/>
      <c r="N24" s="7">
        <f t="shared" si="3"/>
        <v>6.6018253131400764E-2</v>
      </c>
      <c r="O24" s="11"/>
      <c r="P24" s="6">
        <v>2338.1799999999998</v>
      </c>
      <c r="Q24" s="2"/>
      <c r="R24" s="7">
        <f t="shared" si="4"/>
        <v>0</v>
      </c>
      <c r="S24" s="2"/>
      <c r="T24" s="6">
        <v>2467.54921153846</v>
      </c>
      <c r="U24" s="2"/>
      <c r="V24" s="7">
        <f t="shared" si="5"/>
        <v>0</v>
      </c>
      <c r="W24" s="2"/>
      <c r="X24" s="6">
        <f t="shared" si="6"/>
        <v>-129.36921153846015</v>
      </c>
      <c r="Y24" s="2"/>
      <c r="Z24" s="7">
        <f t="shared" si="7"/>
        <v>-5.2428219438752928E-2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>
        <v>56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56</v>
      </c>
      <c r="M26" s="2"/>
      <c r="N26" s="7">
        <f t="shared" si="3"/>
        <v>0</v>
      </c>
      <c r="O26" s="11"/>
      <c r="P26" s="6">
        <v>112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112</v>
      </c>
      <c r="Y26" s="2"/>
      <c r="Z26" s="7">
        <f t="shared" si="7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1401.17</v>
      </c>
      <c r="E27" s="2"/>
      <c r="F27" s="7">
        <f t="shared" si="0"/>
        <v>0</v>
      </c>
      <c r="G27" s="2"/>
      <c r="H27" s="6">
        <v>1066.3193846153799</v>
      </c>
      <c r="I27" s="2"/>
      <c r="J27" s="7">
        <f t="shared" si="1"/>
        <v>0</v>
      </c>
      <c r="K27" s="2"/>
      <c r="L27" s="6">
        <f t="shared" si="2"/>
        <v>334.85061538462014</v>
      </c>
      <c r="M27" s="2"/>
      <c r="N27" s="7">
        <f t="shared" si="3"/>
        <v>0.3140246911157864</v>
      </c>
      <c r="O27" s="11"/>
      <c r="P27" s="6">
        <v>3491.44</v>
      </c>
      <c r="Q27" s="2"/>
      <c r="R27" s="7">
        <f t="shared" si="4"/>
        <v>0</v>
      </c>
      <c r="S27" s="2"/>
      <c r="T27" s="6">
        <v>2399.2186153846101</v>
      </c>
      <c r="U27" s="2"/>
      <c r="V27" s="7">
        <f t="shared" si="5"/>
        <v>0</v>
      </c>
      <c r="W27" s="2"/>
      <c r="X27" s="6">
        <f t="shared" si="6"/>
        <v>1092.22138461539</v>
      </c>
      <c r="Y27" s="2"/>
      <c r="Z27" s="7">
        <f t="shared" si="7"/>
        <v>0.45524045937777119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716.34</v>
      </c>
      <c r="E28" s="2"/>
      <c r="F28" s="7">
        <f t="shared" si="0"/>
        <v>0</v>
      </c>
      <c r="G28" s="2"/>
      <c r="H28" s="6">
        <v>721.20395815384597</v>
      </c>
      <c r="I28" s="2"/>
      <c r="J28" s="7">
        <f t="shared" si="1"/>
        <v>0</v>
      </c>
      <c r="K28" s="2"/>
      <c r="L28" s="6">
        <f t="shared" si="2"/>
        <v>-4.8639581538459424</v>
      </c>
      <c r="M28" s="2"/>
      <c r="N28" s="7">
        <f t="shared" si="3"/>
        <v>-6.7442199933245113E-3</v>
      </c>
      <c r="O28" s="11"/>
      <c r="P28" s="6">
        <v>2678.87</v>
      </c>
      <c r="Q28" s="2"/>
      <c r="R28" s="7">
        <f t="shared" si="4"/>
        <v>0</v>
      </c>
      <c r="S28" s="2"/>
      <c r="T28" s="6">
        <v>1542.5635158461541</v>
      </c>
      <c r="U28" s="2"/>
      <c r="V28" s="7">
        <f t="shared" si="5"/>
        <v>0</v>
      </c>
      <c r="W28" s="2"/>
      <c r="X28" s="6">
        <f t="shared" si="6"/>
        <v>1136.3064841538458</v>
      </c>
      <c r="Y28" s="2"/>
      <c r="Z28" s="7">
        <f t="shared" si="7"/>
        <v>0.73663513526737268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386.06</v>
      </c>
      <c r="E29" s="2"/>
      <c r="F29" s="7">
        <f t="shared" si="0"/>
        <v>0</v>
      </c>
      <c r="G29" s="2"/>
      <c r="H29" s="6">
        <v>675</v>
      </c>
      <c r="I29" s="2"/>
      <c r="J29" s="7">
        <f t="shared" si="1"/>
        <v>0</v>
      </c>
      <c r="K29" s="2"/>
      <c r="L29" s="6">
        <f t="shared" si="2"/>
        <v>-288.94</v>
      </c>
      <c r="M29" s="2"/>
      <c r="N29" s="7">
        <f t="shared" si="3"/>
        <v>-0.42805925925925925</v>
      </c>
      <c r="O29" s="11"/>
      <c r="P29" s="6">
        <v>634.64</v>
      </c>
      <c r="Q29" s="2"/>
      <c r="R29" s="7">
        <f t="shared" si="4"/>
        <v>0</v>
      </c>
      <c r="S29" s="2"/>
      <c r="T29" s="6">
        <v>1350</v>
      </c>
      <c r="U29" s="2"/>
      <c r="V29" s="7">
        <f t="shared" si="5"/>
        <v>0</v>
      </c>
      <c r="W29" s="2"/>
      <c r="X29" s="6">
        <f t="shared" si="6"/>
        <v>-715.36</v>
      </c>
      <c r="Y29" s="2"/>
      <c r="Z29" s="7">
        <f t="shared" si="7"/>
        <v>-0.52989629629629631</v>
      </c>
    </row>
    <row r="30" spans="1:26" s="26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23611.75</v>
      </c>
      <c r="E30" s="1"/>
      <c r="F30" s="5">
        <f t="shared" ref="F30:F40" si="8">IF(D$12=0,0,D30/D$12)</f>
        <v>0</v>
      </c>
      <c r="G30" s="1"/>
      <c r="H30" s="1">
        <f>SUM(OSRRefH22_1x_0)</f>
        <v>26900.283476923083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-3288.5334769230831</v>
      </c>
      <c r="M30" s="1"/>
      <c r="N30" s="5">
        <f t="shared" ref="N30:N40" si="11">IF(H30=0,0,L30/H30)</f>
        <v>-0.12224902684554287</v>
      </c>
      <c r="O30" s="13"/>
      <c r="P30" s="1">
        <f>SUM(OSRRefP22_1x_0)</f>
        <v>55099.139999999992</v>
      </c>
      <c r="Q30" s="1"/>
      <c r="R30" s="5">
        <f t="shared" ref="R30:R40" si="12">IF(P$12=0,0,P30/P$12)</f>
        <v>0</v>
      </c>
      <c r="S30" s="1"/>
      <c r="T30" s="1">
        <f>SUM(OSRRefT22_1x_0)</f>
        <v>57854.124823076927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-2754.9848230769348</v>
      </c>
      <c r="Y30" s="1"/>
      <c r="Z30" s="5">
        <f t="shared" ref="Z30:Z40" si="15">IF(T30=0,0,X30/T30)</f>
        <v>-4.7619505635975383E-2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7051.1</v>
      </c>
      <c r="E31" s="2"/>
      <c r="F31" s="7">
        <f t="shared" si="8"/>
        <v>0</v>
      </c>
      <c r="G31" s="2"/>
      <c r="H31" s="6">
        <v>7915.1538461538503</v>
      </c>
      <c r="I31" s="2"/>
      <c r="J31" s="7">
        <f t="shared" si="9"/>
        <v>0</v>
      </c>
      <c r="K31" s="2"/>
      <c r="L31" s="6">
        <f t="shared" si="10"/>
        <v>-864.05384615384992</v>
      </c>
      <c r="M31" s="2"/>
      <c r="N31" s="7">
        <f t="shared" si="11"/>
        <v>-0.1091645043101358</v>
      </c>
      <c r="O31" s="11"/>
      <c r="P31" s="6">
        <v>17186.59</v>
      </c>
      <c r="Q31" s="2"/>
      <c r="R31" s="7">
        <f t="shared" si="12"/>
        <v>0</v>
      </c>
      <c r="S31" s="2"/>
      <c r="T31" s="6">
        <v>17809.09615384616</v>
      </c>
      <c r="U31" s="2"/>
      <c r="V31" s="7">
        <f t="shared" si="13"/>
        <v>0</v>
      </c>
      <c r="W31" s="2"/>
      <c r="X31" s="6">
        <f t="shared" si="14"/>
        <v>-622.50615384615958</v>
      </c>
      <c r="Y31" s="2"/>
      <c r="Z31" s="7">
        <f t="shared" si="15"/>
        <v>-3.4954393444145644E-2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4359.24</v>
      </c>
      <c r="E32" s="2"/>
      <c r="F32" s="7">
        <f t="shared" si="8"/>
        <v>0</v>
      </c>
      <c r="G32" s="2"/>
      <c r="H32" s="6">
        <v>3561.8192307692298</v>
      </c>
      <c r="I32" s="2"/>
      <c r="J32" s="7">
        <f t="shared" si="9"/>
        <v>0</v>
      </c>
      <c r="K32" s="2"/>
      <c r="L32" s="6">
        <f t="shared" si="10"/>
        <v>797.42076923077002</v>
      </c>
      <c r="M32" s="2"/>
      <c r="N32" s="7">
        <f t="shared" si="11"/>
        <v>0.22388019087048242</v>
      </c>
      <c r="O32" s="11"/>
      <c r="P32" s="6">
        <v>8576.48</v>
      </c>
      <c r="Q32" s="2"/>
      <c r="R32" s="7">
        <f t="shared" si="12"/>
        <v>0</v>
      </c>
      <c r="S32" s="2"/>
      <c r="T32" s="6">
        <v>8014.0932692307706</v>
      </c>
      <c r="U32" s="2"/>
      <c r="V32" s="7">
        <f t="shared" si="13"/>
        <v>0</v>
      </c>
      <c r="W32" s="2"/>
      <c r="X32" s="6">
        <f t="shared" si="14"/>
        <v>562.38673076922896</v>
      </c>
      <c r="Y32" s="2"/>
      <c r="Z32" s="7">
        <f t="shared" si="15"/>
        <v>7.0174717447880341E-2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>
        <v>1730.4</v>
      </c>
      <c r="E34" s="2"/>
      <c r="F34" s="7">
        <f t="shared" si="8"/>
        <v>0</v>
      </c>
      <c r="G34" s="2"/>
      <c r="H34" s="6">
        <v>5343.3104000000003</v>
      </c>
      <c r="I34" s="2"/>
      <c r="J34" s="7">
        <f t="shared" si="9"/>
        <v>0</v>
      </c>
      <c r="K34" s="2"/>
      <c r="L34" s="6">
        <f t="shared" si="10"/>
        <v>-3612.9104000000002</v>
      </c>
      <c r="M34" s="2"/>
      <c r="N34" s="7">
        <f t="shared" si="11"/>
        <v>-0.67615581531628777</v>
      </c>
      <c r="O34" s="11"/>
      <c r="P34" s="6">
        <v>3922.24</v>
      </c>
      <c r="Q34" s="2"/>
      <c r="R34" s="7">
        <f t="shared" si="12"/>
        <v>0</v>
      </c>
      <c r="S34" s="2"/>
      <c r="T34" s="6">
        <v>11870.935399999998</v>
      </c>
      <c r="U34" s="2"/>
      <c r="V34" s="7">
        <f t="shared" si="13"/>
        <v>0</v>
      </c>
      <c r="W34" s="2"/>
      <c r="X34" s="6">
        <f t="shared" si="14"/>
        <v>-7948.6953999999987</v>
      </c>
      <c r="Y34" s="2"/>
      <c r="Z34" s="7">
        <f t="shared" si="15"/>
        <v>-0.6695930128640073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7633.51</v>
      </c>
      <c r="E35" s="2"/>
      <c r="F35" s="7">
        <f t="shared" si="8"/>
        <v>0</v>
      </c>
      <c r="G35" s="2"/>
      <c r="H35" s="6">
        <v>8400</v>
      </c>
      <c r="I35" s="2"/>
      <c r="J35" s="7">
        <f t="shared" si="9"/>
        <v>0</v>
      </c>
      <c r="K35" s="2"/>
      <c r="L35" s="6">
        <f t="shared" si="10"/>
        <v>-766.48999999999978</v>
      </c>
      <c r="M35" s="2"/>
      <c r="N35" s="7">
        <f t="shared" si="11"/>
        <v>-9.1248809523809496E-2</v>
      </c>
      <c r="O35" s="11"/>
      <c r="P35" s="6">
        <v>16056.009999999998</v>
      </c>
      <c r="Q35" s="2"/>
      <c r="R35" s="7">
        <f t="shared" si="12"/>
        <v>0</v>
      </c>
      <c r="S35" s="2"/>
      <c r="T35" s="6">
        <v>16800</v>
      </c>
      <c r="U35" s="2"/>
      <c r="V35" s="7">
        <f t="shared" si="13"/>
        <v>0</v>
      </c>
      <c r="W35" s="2"/>
      <c r="X35" s="6">
        <f t="shared" si="14"/>
        <v>-743.9900000000016</v>
      </c>
      <c r="Y35" s="2"/>
      <c r="Z35" s="7">
        <f t="shared" si="15"/>
        <v>-4.4285119047619143E-2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>
        <v>364.25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364.25</v>
      </c>
      <c r="M36" s="2"/>
      <c r="N36" s="7">
        <f t="shared" si="11"/>
        <v>0</v>
      </c>
      <c r="O36" s="11"/>
      <c r="P36" s="6">
        <v>1236.8800000000001</v>
      </c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1236.8800000000001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2473.25</v>
      </c>
      <c r="E37" s="2"/>
      <c r="F37" s="7">
        <f t="shared" si="8"/>
        <v>0</v>
      </c>
      <c r="G37" s="2"/>
      <c r="H37" s="6">
        <v>1680</v>
      </c>
      <c r="I37" s="2"/>
      <c r="J37" s="7">
        <f t="shared" si="9"/>
        <v>0</v>
      </c>
      <c r="K37" s="2"/>
      <c r="L37" s="6">
        <f t="shared" si="10"/>
        <v>793.25</v>
      </c>
      <c r="M37" s="2"/>
      <c r="N37" s="7">
        <f t="shared" si="11"/>
        <v>0.47217261904761904</v>
      </c>
      <c r="O37" s="11"/>
      <c r="P37" s="6">
        <v>8120.94</v>
      </c>
      <c r="Q37" s="2"/>
      <c r="R37" s="7">
        <f t="shared" si="12"/>
        <v>0</v>
      </c>
      <c r="S37" s="2"/>
      <c r="T37" s="6">
        <v>3360</v>
      </c>
      <c r="U37" s="2"/>
      <c r="V37" s="7">
        <f t="shared" si="13"/>
        <v>0</v>
      </c>
      <c r="W37" s="2"/>
      <c r="X37" s="6">
        <f t="shared" si="14"/>
        <v>4760.9399999999996</v>
      </c>
      <c r="Y37" s="2"/>
      <c r="Z37" s="7">
        <f t="shared" si="15"/>
        <v>1.4169464285714284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6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52.92</v>
      </c>
      <c r="E41" s="1"/>
      <c r="F41" s="5">
        <f t="shared" ref="F41:F46" si="16">IF(D$12=0,0,D41/D$12)</f>
        <v>0</v>
      </c>
      <c r="G41" s="1"/>
      <c r="H41" s="1">
        <f>SUM(OSRRefH22_2x_0)</f>
        <v>50</v>
      </c>
      <c r="I41" s="1"/>
      <c r="J41" s="5">
        <f t="shared" ref="J41:J46" si="17">IF(H$12=0,0,H41/H$12)</f>
        <v>0</v>
      </c>
      <c r="K41" s="1"/>
      <c r="L41" s="1">
        <f t="shared" ref="L41:L46" si="18">+D41-H41</f>
        <v>2.9200000000000017</v>
      </c>
      <c r="M41" s="1"/>
      <c r="N41" s="5">
        <f t="shared" ref="N41:N46" si="19">IF(H41=0,0,L41/H41)</f>
        <v>5.8400000000000035E-2</v>
      </c>
      <c r="O41" s="13"/>
      <c r="P41" s="1">
        <f>SUM(OSRRefP22_2x_0)</f>
        <v>65.42</v>
      </c>
      <c r="Q41" s="1"/>
      <c r="R41" s="5">
        <f t="shared" ref="R41:R46" si="20">IF(P$12=0,0,P41/P$12)</f>
        <v>0</v>
      </c>
      <c r="S41" s="1"/>
      <c r="T41" s="1">
        <f>SUM(OSRRefT22_2x_0)</f>
        <v>600</v>
      </c>
      <c r="U41" s="1"/>
      <c r="V41" s="5">
        <f t="shared" ref="V41:V46" si="21">IF(T$12=0,0,T41/T$12)</f>
        <v>0</v>
      </c>
      <c r="W41" s="1"/>
      <c r="X41" s="1">
        <f t="shared" ref="X41:X46" si="22">+P41-T41</f>
        <v>-534.58000000000004</v>
      </c>
      <c r="Y41" s="1"/>
      <c r="Z41" s="5">
        <f t="shared" ref="Z41:Z46" si="23">IF(T41=0,0,X41/T41)</f>
        <v>-0.89096666666666668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52.92</v>
      </c>
      <c r="E42" s="2"/>
      <c r="F42" s="7">
        <f t="shared" si="16"/>
        <v>0</v>
      </c>
      <c r="G42" s="2"/>
      <c r="H42" s="6">
        <v>50</v>
      </c>
      <c r="I42" s="2"/>
      <c r="J42" s="7">
        <f t="shared" si="17"/>
        <v>0</v>
      </c>
      <c r="K42" s="2"/>
      <c r="L42" s="6">
        <f t="shared" si="18"/>
        <v>2.9200000000000017</v>
      </c>
      <c r="M42" s="2"/>
      <c r="N42" s="7">
        <f t="shared" si="19"/>
        <v>5.8400000000000035E-2</v>
      </c>
      <c r="O42" s="11"/>
      <c r="P42" s="6">
        <v>65.42</v>
      </c>
      <c r="Q42" s="2"/>
      <c r="R42" s="7">
        <f t="shared" si="20"/>
        <v>0</v>
      </c>
      <c r="S42" s="2"/>
      <c r="T42" s="6">
        <v>600</v>
      </c>
      <c r="U42" s="2"/>
      <c r="V42" s="7">
        <f t="shared" si="21"/>
        <v>0</v>
      </c>
      <c r="W42" s="2"/>
      <c r="X42" s="6">
        <f t="shared" si="22"/>
        <v>-534.58000000000004</v>
      </c>
      <c r="Y42" s="2"/>
      <c r="Z42" s="7">
        <f t="shared" si="23"/>
        <v>-0.89096666666666668</v>
      </c>
    </row>
    <row r="43" spans="1:26" s="26" customFormat="1" outlineLevel="1" collapsed="1" x14ac:dyDescent="0.25">
      <c r="A43" s="25"/>
      <c r="B43" s="13" t="str">
        <f>CONCATENATE("     ","Depreciation                                      ")</f>
        <v xml:space="preserve">     Depreciation                                      </v>
      </c>
      <c r="C43" s="13"/>
      <c r="D43" s="1">
        <f>SUM(OSRRefD22_3x_0)</f>
        <v>6821.6399999999994</v>
      </c>
      <c r="E43" s="1"/>
      <c r="F43" s="5">
        <f t="shared" si="16"/>
        <v>0</v>
      </c>
      <c r="G43" s="1"/>
      <c r="H43" s="1">
        <f>SUM(OSRRefH22_3x_0)</f>
        <v>6131</v>
      </c>
      <c r="I43" s="1"/>
      <c r="J43" s="5">
        <f t="shared" si="17"/>
        <v>0</v>
      </c>
      <c r="K43" s="1"/>
      <c r="L43" s="1">
        <f t="shared" si="18"/>
        <v>690.63999999999942</v>
      </c>
      <c r="M43" s="1"/>
      <c r="N43" s="5">
        <f t="shared" si="19"/>
        <v>0.1126472027401728</v>
      </c>
      <c r="O43" s="13"/>
      <c r="P43" s="1">
        <f>SUM(OSRRefP22_3x_0)</f>
        <v>13643.279999999999</v>
      </c>
      <c r="Q43" s="1"/>
      <c r="R43" s="5">
        <f t="shared" si="20"/>
        <v>0</v>
      </c>
      <c r="S43" s="1"/>
      <c r="T43" s="1">
        <f>SUM(OSRRefT22_3x_0)</f>
        <v>12262</v>
      </c>
      <c r="U43" s="1"/>
      <c r="V43" s="5">
        <f t="shared" si="21"/>
        <v>0</v>
      </c>
      <c r="W43" s="1"/>
      <c r="X43" s="1">
        <f t="shared" si="22"/>
        <v>1381.2799999999988</v>
      </c>
      <c r="Y43" s="1"/>
      <c r="Z43" s="5">
        <f t="shared" si="23"/>
        <v>0.1126472027401728</v>
      </c>
    </row>
    <row r="44" spans="1:26" s="24" customFormat="1" hidden="1" outlineLevel="2" x14ac:dyDescent="0.25">
      <c r="A44" s="27"/>
      <c r="B44" s="11" t="str">
        <f>CONCATENATE("          ", "6321", " - ", "BUILDING DEPRECIATION")</f>
        <v xml:space="preserve">          6321 - BUILDING DEPRECIATION</v>
      </c>
      <c r="C44" s="11"/>
      <c r="D44" s="6">
        <v>2266.9499999999998</v>
      </c>
      <c r="E44" s="2"/>
      <c r="F44" s="7">
        <f t="shared" si="16"/>
        <v>0</v>
      </c>
      <c r="G44" s="2"/>
      <c r="H44" s="6">
        <v>805</v>
      </c>
      <c r="I44" s="2"/>
      <c r="J44" s="7">
        <f t="shared" si="17"/>
        <v>0</v>
      </c>
      <c r="K44" s="2"/>
      <c r="L44" s="6">
        <f t="shared" si="18"/>
        <v>1461.9499999999998</v>
      </c>
      <c r="M44" s="2"/>
      <c r="N44" s="7">
        <f t="shared" si="19"/>
        <v>1.816086956521739</v>
      </c>
      <c r="O44" s="11"/>
      <c r="P44" s="6">
        <v>4533.8999999999996</v>
      </c>
      <c r="Q44" s="2"/>
      <c r="R44" s="7">
        <f t="shared" si="20"/>
        <v>0</v>
      </c>
      <c r="S44" s="2"/>
      <c r="T44" s="6">
        <v>1610</v>
      </c>
      <c r="U44" s="2"/>
      <c r="V44" s="7">
        <f t="shared" si="21"/>
        <v>0</v>
      </c>
      <c r="W44" s="2"/>
      <c r="X44" s="6">
        <f t="shared" si="22"/>
        <v>2923.8999999999996</v>
      </c>
      <c r="Y44" s="2"/>
      <c r="Z44" s="7">
        <f t="shared" si="23"/>
        <v>1.816086956521739</v>
      </c>
    </row>
    <row r="45" spans="1:26" s="24" customFormat="1" hidden="1" outlineLevel="2" x14ac:dyDescent="0.25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4130.4399999999996</v>
      </c>
      <c r="E45" s="2"/>
      <c r="F45" s="7">
        <f t="shared" si="16"/>
        <v>0</v>
      </c>
      <c r="G45" s="2"/>
      <c r="H45" s="6">
        <v>4902</v>
      </c>
      <c r="I45" s="2"/>
      <c r="J45" s="7">
        <f t="shared" si="17"/>
        <v>0</v>
      </c>
      <c r="K45" s="2"/>
      <c r="L45" s="6">
        <f t="shared" si="18"/>
        <v>-771.5600000000004</v>
      </c>
      <c r="M45" s="2"/>
      <c r="N45" s="7">
        <f t="shared" si="19"/>
        <v>-0.15739698082415349</v>
      </c>
      <c r="O45" s="11"/>
      <c r="P45" s="6">
        <v>8260.8799999999992</v>
      </c>
      <c r="Q45" s="2"/>
      <c r="R45" s="7">
        <f t="shared" si="20"/>
        <v>0</v>
      </c>
      <c r="S45" s="2"/>
      <c r="T45" s="6">
        <v>9804</v>
      </c>
      <c r="U45" s="2"/>
      <c r="V45" s="7">
        <f t="shared" si="21"/>
        <v>0</v>
      </c>
      <c r="W45" s="2"/>
      <c r="X45" s="6">
        <f t="shared" si="22"/>
        <v>-1543.1200000000008</v>
      </c>
      <c r="Y45" s="2"/>
      <c r="Z45" s="7">
        <f t="shared" si="23"/>
        <v>-0.15739698082415349</v>
      </c>
    </row>
    <row r="46" spans="1:26" s="24" customFormat="1" hidden="1" outlineLevel="2" x14ac:dyDescent="0.25">
      <c r="A46" s="27"/>
      <c r="B46" s="11" t="str">
        <f>CONCATENATE("          ", "6326", " - ", "VEHICLES DEPRECIATION EXPENSE")</f>
        <v xml:space="preserve">          6326 - VEHICLES DEPRECIATION EXPENSE</v>
      </c>
      <c r="C46" s="11"/>
      <c r="D46" s="6">
        <v>424.25</v>
      </c>
      <c r="E46" s="2"/>
      <c r="F46" s="7">
        <f t="shared" si="16"/>
        <v>0</v>
      </c>
      <c r="G46" s="2"/>
      <c r="H46" s="6">
        <v>424</v>
      </c>
      <c r="I46" s="2"/>
      <c r="J46" s="7">
        <f t="shared" si="17"/>
        <v>0</v>
      </c>
      <c r="K46" s="2"/>
      <c r="L46" s="6">
        <f t="shared" si="18"/>
        <v>0.25</v>
      </c>
      <c r="M46" s="2"/>
      <c r="N46" s="7">
        <f t="shared" si="19"/>
        <v>5.8962264150943394E-4</v>
      </c>
      <c r="O46" s="11"/>
      <c r="P46" s="6">
        <v>848.5</v>
      </c>
      <c r="Q46" s="2"/>
      <c r="R46" s="7">
        <f t="shared" si="20"/>
        <v>0</v>
      </c>
      <c r="S46" s="2"/>
      <c r="T46" s="6">
        <v>848</v>
      </c>
      <c r="U46" s="2"/>
      <c r="V46" s="7">
        <f t="shared" si="21"/>
        <v>0</v>
      </c>
      <c r="W46" s="2"/>
      <c r="X46" s="6">
        <f t="shared" si="22"/>
        <v>0.5</v>
      </c>
      <c r="Y46" s="2"/>
      <c r="Z46" s="7">
        <f t="shared" si="23"/>
        <v>5.8962264150943394E-4</v>
      </c>
    </row>
    <row r="47" spans="1:26" s="26" customFormat="1" outlineLevel="1" collapsed="1" x14ac:dyDescent="0.25">
      <c r="A47" s="25"/>
      <c r="B47" s="13" t="str">
        <f>CONCATENATE("     ","Donations                                         ")</f>
        <v xml:space="preserve">     Donations                                         </v>
      </c>
      <c r="C47" s="13"/>
      <c r="D47" s="1">
        <f>SUM(OSRRefD22_4x_0)</f>
        <v>0</v>
      </c>
      <c r="E47" s="1"/>
      <c r="F47" s="5">
        <f t="shared" ref="F47:F62" si="24">IF(D$12=0,0,D47/D$12)</f>
        <v>0</v>
      </c>
      <c r="G47" s="1"/>
      <c r="H47" s="1">
        <f>SUM(OSRRefH22_4x_0)</f>
        <v>300</v>
      </c>
      <c r="I47" s="1"/>
      <c r="J47" s="5">
        <f t="shared" ref="J47:J62" si="25">IF(H$12=0,0,H47/H$12)</f>
        <v>0</v>
      </c>
      <c r="K47" s="1"/>
      <c r="L47" s="1">
        <f t="shared" ref="L47:L62" si="26">+D47-H47</f>
        <v>-300</v>
      </c>
      <c r="M47" s="1"/>
      <c r="N47" s="5">
        <f t="shared" ref="N47:N62" si="27">IF(H47=0,0,L47/H47)</f>
        <v>-1</v>
      </c>
      <c r="O47" s="13"/>
      <c r="P47" s="1">
        <f>SUM(OSRRefP22_4x_0)</f>
        <v>0</v>
      </c>
      <c r="Q47" s="1"/>
      <c r="R47" s="5">
        <f t="shared" ref="R47:R62" si="28">IF(P$12=0,0,P47/P$12)</f>
        <v>0</v>
      </c>
      <c r="S47" s="1"/>
      <c r="T47" s="1">
        <f>SUM(OSRRefT22_4x_0)</f>
        <v>300</v>
      </c>
      <c r="U47" s="1"/>
      <c r="V47" s="5">
        <f t="shared" ref="V47:V62" si="29">IF(T$12=0,0,T47/T$12)</f>
        <v>0</v>
      </c>
      <c r="W47" s="1"/>
      <c r="X47" s="1">
        <f t="shared" ref="X47:X62" si="30">+P47-T47</f>
        <v>-300</v>
      </c>
      <c r="Y47" s="1"/>
      <c r="Z47" s="5">
        <f t="shared" ref="Z47:Z62" si="31">IF(T47=0,0,X47/T47)</f>
        <v>-1</v>
      </c>
    </row>
    <row r="48" spans="1:26" s="24" customFormat="1" hidden="1" outlineLevel="2" x14ac:dyDescent="0.25">
      <c r="A48" s="27"/>
      <c r="B48" s="11" t="str">
        <f>CONCATENATE("          ", "6399", " - ", "DONATION-ON CAMPUS")</f>
        <v xml:space="preserve">          6399 - DONATION-ON CAMPUS</v>
      </c>
      <c r="C48" s="11"/>
      <c r="D48" s="6"/>
      <c r="E48" s="2"/>
      <c r="F48" s="7">
        <f t="shared" si="24"/>
        <v>0</v>
      </c>
      <c r="G48" s="2"/>
      <c r="H48" s="6">
        <v>300</v>
      </c>
      <c r="I48" s="2"/>
      <c r="J48" s="7">
        <f t="shared" si="25"/>
        <v>0</v>
      </c>
      <c r="K48" s="2"/>
      <c r="L48" s="6">
        <f t="shared" si="26"/>
        <v>-300</v>
      </c>
      <c r="M48" s="2"/>
      <c r="N48" s="7">
        <f t="shared" si="27"/>
        <v>-1</v>
      </c>
      <c r="O48" s="11"/>
      <c r="P48" s="6"/>
      <c r="Q48" s="2"/>
      <c r="R48" s="7">
        <f t="shared" si="28"/>
        <v>0</v>
      </c>
      <c r="S48" s="2"/>
      <c r="T48" s="6">
        <v>300</v>
      </c>
      <c r="U48" s="2"/>
      <c r="V48" s="7">
        <f t="shared" si="29"/>
        <v>0</v>
      </c>
      <c r="W48" s="2"/>
      <c r="X48" s="6">
        <f t="shared" si="30"/>
        <v>-300</v>
      </c>
      <c r="Y48" s="2"/>
      <c r="Z48" s="7">
        <f t="shared" si="31"/>
        <v>-1</v>
      </c>
    </row>
    <row r="49" spans="1:26" s="26" customFormat="1" outlineLevel="1" collapsed="1" x14ac:dyDescent="0.25">
      <c r="A49" s="25"/>
      <c r="B49" s="13" t="str">
        <f>CONCATENATE("     ","Employees' Appreciation                           ")</f>
        <v xml:space="preserve">     Employees' Appreciation                           </v>
      </c>
      <c r="C49" s="13"/>
      <c r="D49" s="1">
        <f>SUM(OSRRefD22_5x_0)</f>
        <v>127.02</v>
      </c>
      <c r="E49" s="1"/>
      <c r="F49" s="5">
        <f t="shared" si="24"/>
        <v>0</v>
      </c>
      <c r="G49" s="1"/>
      <c r="H49" s="1">
        <f>SUM(OSRRefH22_5x_0)</f>
        <v>50</v>
      </c>
      <c r="I49" s="1"/>
      <c r="J49" s="5">
        <f t="shared" si="25"/>
        <v>0</v>
      </c>
      <c r="K49" s="1"/>
      <c r="L49" s="1">
        <f t="shared" si="26"/>
        <v>77.02</v>
      </c>
      <c r="M49" s="1"/>
      <c r="N49" s="5">
        <f t="shared" si="27"/>
        <v>1.5404</v>
      </c>
      <c r="O49" s="13"/>
      <c r="P49" s="1">
        <f>SUM(OSRRefP22_5x_0)</f>
        <v>172.88</v>
      </c>
      <c r="Q49" s="1"/>
      <c r="R49" s="5">
        <f t="shared" si="28"/>
        <v>0</v>
      </c>
      <c r="S49" s="1"/>
      <c r="T49" s="1">
        <f>SUM(OSRRefT22_5x_0)</f>
        <v>250</v>
      </c>
      <c r="U49" s="1"/>
      <c r="V49" s="5">
        <f t="shared" si="29"/>
        <v>0</v>
      </c>
      <c r="W49" s="1"/>
      <c r="X49" s="1">
        <f t="shared" si="30"/>
        <v>-77.12</v>
      </c>
      <c r="Y49" s="1"/>
      <c r="Z49" s="5">
        <f t="shared" si="31"/>
        <v>-0.30848000000000003</v>
      </c>
    </row>
    <row r="50" spans="1:26" s="24" customFormat="1" hidden="1" outlineLevel="2" x14ac:dyDescent="0.25">
      <c r="A50" s="27"/>
      <c r="B50" s="11" t="str">
        <f>CONCATENATE("          ", "6277", " - ", "EMPLOYEE APPRECIATION")</f>
        <v xml:space="preserve">          6277 - EMPLOYEE APPRECIATION</v>
      </c>
      <c r="C50" s="11"/>
      <c r="D50" s="6">
        <v>127.02</v>
      </c>
      <c r="E50" s="2"/>
      <c r="F50" s="7">
        <f t="shared" si="24"/>
        <v>0</v>
      </c>
      <c r="G50" s="2"/>
      <c r="H50" s="6">
        <v>50</v>
      </c>
      <c r="I50" s="2"/>
      <c r="J50" s="7">
        <f t="shared" si="25"/>
        <v>0</v>
      </c>
      <c r="K50" s="2"/>
      <c r="L50" s="6">
        <f t="shared" si="26"/>
        <v>77.02</v>
      </c>
      <c r="M50" s="2"/>
      <c r="N50" s="7">
        <f t="shared" si="27"/>
        <v>1.5404</v>
      </c>
      <c r="O50" s="11"/>
      <c r="P50" s="6">
        <v>172.88</v>
      </c>
      <c r="Q50" s="2"/>
      <c r="R50" s="7">
        <f t="shared" si="28"/>
        <v>0</v>
      </c>
      <c r="S50" s="2"/>
      <c r="T50" s="6">
        <v>250</v>
      </c>
      <c r="U50" s="2"/>
      <c r="V50" s="7">
        <f t="shared" si="29"/>
        <v>0</v>
      </c>
      <c r="W50" s="2"/>
      <c r="X50" s="6">
        <f t="shared" si="30"/>
        <v>-77.12</v>
      </c>
      <c r="Y50" s="2"/>
      <c r="Z50" s="7">
        <f t="shared" si="31"/>
        <v>-0.30848000000000003</v>
      </c>
    </row>
    <row r="51" spans="1:26" s="26" customFormat="1" outlineLevel="1" collapsed="1" x14ac:dyDescent="0.25">
      <c r="A51" s="25"/>
      <c r="B51" s="13" t="str">
        <f>CONCATENATE("     ","Equipment Rental                                  ")</f>
        <v xml:space="preserve">     Equipment Rental                                  </v>
      </c>
      <c r="C51" s="13"/>
      <c r="D51" s="1">
        <f>SUM(OSRRefD22_6x_0)</f>
        <v>1014.66</v>
      </c>
      <c r="E51" s="1"/>
      <c r="F51" s="5">
        <f t="shared" si="24"/>
        <v>0</v>
      </c>
      <c r="G51" s="1"/>
      <c r="H51" s="1">
        <f>SUM(OSRRefH22_6x_0)</f>
        <v>500</v>
      </c>
      <c r="I51" s="1"/>
      <c r="J51" s="5">
        <f t="shared" si="25"/>
        <v>0</v>
      </c>
      <c r="K51" s="1"/>
      <c r="L51" s="1">
        <f t="shared" si="26"/>
        <v>514.66</v>
      </c>
      <c r="M51" s="1"/>
      <c r="N51" s="5">
        <f t="shared" si="27"/>
        <v>1.02932</v>
      </c>
      <c r="O51" s="13"/>
      <c r="P51" s="1">
        <f>SUM(OSRRefP22_6x_0)</f>
        <v>1878.64</v>
      </c>
      <c r="Q51" s="1"/>
      <c r="R51" s="5">
        <f t="shared" si="28"/>
        <v>0</v>
      </c>
      <c r="S51" s="1"/>
      <c r="T51" s="1">
        <f>SUM(OSRRefT22_6x_0)</f>
        <v>2000</v>
      </c>
      <c r="U51" s="1"/>
      <c r="V51" s="5">
        <f t="shared" si="29"/>
        <v>0</v>
      </c>
      <c r="W51" s="1"/>
      <c r="X51" s="1">
        <f t="shared" si="30"/>
        <v>-121.3599999999999</v>
      </c>
      <c r="Y51" s="1"/>
      <c r="Z51" s="5">
        <f t="shared" si="31"/>
        <v>-6.0679999999999949E-2</v>
      </c>
    </row>
    <row r="52" spans="1:26" s="24" customFormat="1" hidden="1" outlineLevel="2" x14ac:dyDescent="0.25">
      <c r="A52" s="27"/>
      <c r="B52" s="11" t="str">
        <f>CONCATENATE("          ", "6351", " - ", "EQUIPMENT RENTAL")</f>
        <v xml:space="preserve">          6351 - EQUIPMENT RENTAL</v>
      </c>
      <c r="C52" s="11"/>
      <c r="D52" s="6">
        <v>1014.66</v>
      </c>
      <c r="E52" s="2"/>
      <c r="F52" s="7">
        <f t="shared" si="24"/>
        <v>0</v>
      </c>
      <c r="G52" s="2"/>
      <c r="H52" s="6">
        <v>500</v>
      </c>
      <c r="I52" s="2"/>
      <c r="J52" s="7">
        <f t="shared" si="25"/>
        <v>0</v>
      </c>
      <c r="K52" s="2"/>
      <c r="L52" s="6">
        <f t="shared" si="26"/>
        <v>514.66</v>
      </c>
      <c r="M52" s="2"/>
      <c r="N52" s="7">
        <f t="shared" si="27"/>
        <v>1.02932</v>
      </c>
      <c r="O52" s="11"/>
      <c r="P52" s="6">
        <v>1878.64</v>
      </c>
      <c r="Q52" s="2"/>
      <c r="R52" s="7">
        <f t="shared" si="28"/>
        <v>0</v>
      </c>
      <c r="S52" s="2"/>
      <c r="T52" s="6">
        <v>2000</v>
      </c>
      <c r="U52" s="2"/>
      <c r="V52" s="7">
        <f t="shared" si="29"/>
        <v>0</v>
      </c>
      <c r="W52" s="2"/>
      <c r="X52" s="6">
        <f t="shared" si="30"/>
        <v>-121.3599999999999</v>
      </c>
      <c r="Y52" s="2"/>
      <c r="Z52" s="7">
        <f t="shared" si="31"/>
        <v>-6.0679999999999949E-2</v>
      </c>
    </row>
    <row r="53" spans="1:26" s="26" customFormat="1" outlineLevel="1" collapsed="1" x14ac:dyDescent="0.25">
      <c r="A53" s="25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SUM(OSRRefD22_7x_0)</f>
        <v>0</v>
      </c>
      <c r="E53" s="1"/>
      <c r="F53" s="5">
        <f t="shared" si="24"/>
        <v>0</v>
      </c>
      <c r="G53" s="1"/>
      <c r="H53" s="1">
        <f>SUM(OSRRefH22_7x_0)</f>
        <v>1000</v>
      </c>
      <c r="I53" s="1"/>
      <c r="J53" s="5">
        <f t="shared" si="25"/>
        <v>0</v>
      </c>
      <c r="K53" s="1"/>
      <c r="L53" s="1">
        <f t="shared" si="26"/>
        <v>-1000</v>
      </c>
      <c r="M53" s="1"/>
      <c r="N53" s="5">
        <f t="shared" si="27"/>
        <v>-1</v>
      </c>
      <c r="O53" s="13"/>
      <c r="P53" s="1">
        <f>SUM(OSRRefP22_7x_0)</f>
        <v>0</v>
      </c>
      <c r="Q53" s="1"/>
      <c r="R53" s="5">
        <f t="shared" si="28"/>
        <v>0</v>
      </c>
      <c r="S53" s="1"/>
      <c r="T53" s="1">
        <f>SUM(OSRRefT22_7x_0)</f>
        <v>2000</v>
      </c>
      <c r="U53" s="1"/>
      <c r="V53" s="5">
        <f t="shared" si="29"/>
        <v>0</v>
      </c>
      <c r="W53" s="1"/>
      <c r="X53" s="1">
        <f t="shared" si="30"/>
        <v>-2000</v>
      </c>
      <c r="Y53" s="1"/>
      <c r="Z53" s="5">
        <f t="shared" si="31"/>
        <v>-1</v>
      </c>
    </row>
    <row r="54" spans="1:26" s="24" customFormat="1" hidden="1" outlineLevel="2" x14ac:dyDescent="0.25">
      <c r="A54" s="27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4"/>
        <v>0</v>
      </c>
      <c r="G54" s="2"/>
      <c r="H54" s="6">
        <v>1000</v>
      </c>
      <c r="I54" s="2"/>
      <c r="J54" s="7">
        <f t="shared" si="25"/>
        <v>0</v>
      </c>
      <c r="K54" s="2"/>
      <c r="L54" s="6">
        <f t="shared" si="26"/>
        <v>-1000</v>
      </c>
      <c r="M54" s="2"/>
      <c r="N54" s="7">
        <f t="shared" si="27"/>
        <v>-1</v>
      </c>
      <c r="O54" s="11"/>
      <c r="P54" s="6"/>
      <c r="Q54" s="2"/>
      <c r="R54" s="7">
        <f t="shared" si="28"/>
        <v>0</v>
      </c>
      <c r="S54" s="2"/>
      <c r="T54" s="6">
        <v>2000</v>
      </c>
      <c r="U54" s="2"/>
      <c r="V54" s="7">
        <f t="shared" si="29"/>
        <v>0</v>
      </c>
      <c r="W54" s="2"/>
      <c r="X54" s="6">
        <f t="shared" si="30"/>
        <v>-2000</v>
      </c>
      <c r="Y54" s="2"/>
      <c r="Z54" s="7">
        <f t="shared" si="31"/>
        <v>-1</v>
      </c>
    </row>
    <row r="55" spans="1:26" s="26" customFormat="1" outlineLevel="1" collapsed="1" x14ac:dyDescent="0.25">
      <c r="A55" s="25"/>
      <c r="B55" s="13" t="str">
        <f>CONCATENATE("     ","Insurance                                         ")</f>
        <v xml:space="preserve">     Insurance                                         </v>
      </c>
      <c r="C55" s="13"/>
      <c r="D55" s="1">
        <f>SUM(OSRRefD22_8x_0)</f>
        <v>3598.85</v>
      </c>
      <c r="E55" s="1"/>
      <c r="F55" s="5">
        <f t="shared" si="24"/>
        <v>0</v>
      </c>
      <c r="G55" s="1"/>
      <c r="H55" s="1">
        <f>SUM(OSRRefH22_8x_0)</f>
        <v>3400</v>
      </c>
      <c r="I55" s="1"/>
      <c r="J55" s="5">
        <f t="shared" si="25"/>
        <v>0</v>
      </c>
      <c r="K55" s="1"/>
      <c r="L55" s="1">
        <f t="shared" si="26"/>
        <v>198.84999999999991</v>
      </c>
      <c r="M55" s="1"/>
      <c r="N55" s="5">
        <f t="shared" si="27"/>
        <v>5.8485294117647031E-2</v>
      </c>
      <c r="O55" s="13"/>
      <c r="P55" s="1">
        <f>SUM(OSRRefP22_8x_0)</f>
        <v>7197.7</v>
      </c>
      <c r="Q55" s="1"/>
      <c r="R55" s="5">
        <f t="shared" si="28"/>
        <v>0</v>
      </c>
      <c r="S55" s="1"/>
      <c r="T55" s="1">
        <f>SUM(OSRRefT22_8x_0)</f>
        <v>6800</v>
      </c>
      <c r="U55" s="1"/>
      <c r="V55" s="5">
        <f t="shared" si="29"/>
        <v>0</v>
      </c>
      <c r="W55" s="1"/>
      <c r="X55" s="1">
        <f t="shared" si="30"/>
        <v>397.69999999999982</v>
      </c>
      <c r="Y55" s="1"/>
      <c r="Z55" s="5">
        <f t="shared" si="31"/>
        <v>5.8485294117647031E-2</v>
      </c>
    </row>
    <row r="56" spans="1:26" s="24" customFormat="1" hidden="1" outlineLevel="2" x14ac:dyDescent="0.25">
      <c r="A56" s="27"/>
      <c r="B56" s="11" t="str">
        <f>CONCATENATE("          ", "6314", " - ", "LIABILITY INSURANCE")</f>
        <v xml:space="preserve">          6314 - LIABILITY INSURANCE</v>
      </c>
      <c r="C56" s="11"/>
      <c r="D56" s="6">
        <v>3598.85</v>
      </c>
      <c r="E56" s="2"/>
      <c r="F56" s="7">
        <f t="shared" si="24"/>
        <v>0</v>
      </c>
      <c r="G56" s="2"/>
      <c r="H56" s="6">
        <v>3400</v>
      </c>
      <c r="I56" s="2"/>
      <c r="J56" s="7">
        <f t="shared" si="25"/>
        <v>0</v>
      </c>
      <c r="K56" s="2"/>
      <c r="L56" s="6">
        <f t="shared" si="26"/>
        <v>198.84999999999991</v>
      </c>
      <c r="M56" s="2"/>
      <c r="N56" s="7">
        <f t="shared" si="27"/>
        <v>5.8485294117647031E-2</v>
      </c>
      <c r="O56" s="11"/>
      <c r="P56" s="6">
        <v>7197.7</v>
      </c>
      <c r="Q56" s="2"/>
      <c r="R56" s="7">
        <f t="shared" si="28"/>
        <v>0</v>
      </c>
      <c r="S56" s="2"/>
      <c r="T56" s="6">
        <v>6800</v>
      </c>
      <c r="U56" s="2"/>
      <c r="V56" s="7">
        <f t="shared" si="29"/>
        <v>0</v>
      </c>
      <c r="W56" s="2"/>
      <c r="X56" s="6">
        <f t="shared" si="30"/>
        <v>397.69999999999982</v>
      </c>
      <c r="Y56" s="2"/>
      <c r="Z56" s="7">
        <f t="shared" si="31"/>
        <v>5.8485294117647031E-2</v>
      </c>
    </row>
    <row r="57" spans="1:26" s="26" customFormat="1" outlineLevel="1" collapsed="1" x14ac:dyDescent="0.25">
      <c r="A57" s="25"/>
      <c r="B57" s="13" t="str">
        <f>CONCATENATE("     ","Professional Services                             ")</f>
        <v xml:space="preserve">     Professional Services                             </v>
      </c>
      <c r="C57" s="13"/>
      <c r="D57" s="1">
        <f>SUM(OSRRefD22_9x_0)</f>
        <v>125</v>
      </c>
      <c r="E57" s="1"/>
      <c r="F57" s="5">
        <f t="shared" si="24"/>
        <v>0</v>
      </c>
      <c r="G57" s="1"/>
      <c r="H57" s="1">
        <f>SUM(OSRRefH22_9x_0)</f>
        <v>0</v>
      </c>
      <c r="I57" s="1"/>
      <c r="J57" s="5">
        <f t="shared" si="25"/>
        <v>0</v>
      </c>
      <c r="K57" s="1"/>
      <c r="L57" s="1">
        <f t="shared" si="26"/>
        <v>125</v>
      </c>
      <c r="M57" s="1"/>
      <c r="N57" s="5">
        <f t="shared" si="27"/>
        <v>0</v>
      </c>
      <c r="O57" s="13"/>
      <c r="P57" s="1">
        <f>SUM(OSRRefP22_9x_0)</f>
        <v>125</v>
      </c>
      <c r="Q57" s="1"/>
      <c r="R57" s="5">
        <f t="shared" si="28"/>
        <v>0</v>
      </c>
      <c r="S57" s="1"/>
      <c r="T57" s="1">
        <f>SUM(OSRRefT22_9x_0)</f>
        <v>0</v>
      </c>
      <c r="U57" s="1"/>
      <c r="V57" s="5">
        <f t="shared" si="29"/>
        <v>0</v>
      </c>
      <c r="W57" s="1"/>
      <c r="X57" s="1">
        <f t="shared" si="30"/>
        <v>125</v>
      </c>
      <c r="Y57" s="1"/>
      <c r="Z57" s="5">
        <f t="shared" si="31"/>
        <v>0</v>
      </c>
    </row>
    <row r="58" spans="1:26" s="24" customFormat="1" hidden="1" outlineLevel="2" x14ac:dyDescent="0.25">
      <c r="A58" s="27"/>
      <c r="B58" s="11" t="str">
        <f>CONCATENATE("          ", "6336", " - ", "PROFESSIONAL SERVICES")</f>
        <v xml:space="preserve">          6336 - PROFESSIONAL SERVICES</v>
      </c>
      <c r="C58" s="11"/>
      <c r="D58" s="6">
        <v>125</v>
      </c>
      <c r="E58" s="2"/>
      <c r="F58" s="7">
        <f t="shared" si="24"/>
        <v>0</v>
      </c>
      <c r="G58" s="2"/>
      <c r="H58" s="6"/>
      <c r="I58" s="2"/>
      <c r="J58" s="7">
        <f t="shared" si="25"/>
        <v>0</v>
      </c>
      <c r="K58" s="2"/>
      <c r="L58" s="6">
        <f t="shared" si="26"/>
        <v>125</v>
      </c>
      <c r="M58" s="2"/>
      <c r="N58" s="7">
        <f t="shared" si="27"/>
        <v>0</v>
      </c>
      <c r="O58" s="11"/>
      <c r="P58" s="6">
        <v>125</v>
      </c>
      <c r="Q58" s="2"/>
      <c r="R58" s="7">
        <f t="shared" si="28"/>
        <v>0</v>
      </c>
      <c r="S58" s="2"/>
      <c r="T58" s="6"/>
      <c r="U58" s="2"/>
      <c r="V58" s="7">
        <f t="shared" si="29"/>
        <v>0</v>
      </c>
      <c r="W58" s="2"/>
      <c r="X58" s="6">
        <f t="shared" si="30"/>
        <v>125</v>
      </c>
      <c r="Y58" s="2"/>
      <c r="Z58" s="7">
        <f t="shared" si="31"/>
        <v>0</v>
      </c>
    </row>
    <row r="59" spans="1:26" s="26" customFormat="1" outlineLevel="1" collapsed="1" x14ac:dyDescent="0.25">
      <c r="A59" s="25"/>
      <c r="B59" s="13" t="str">
        <f>CONCATENATE("     ","Repair and Maintenance                            ")</f>
        <v xml:space="preserve">     Repair and Maintenance                            </v>
      </c>
      <c r="C59" s="13"/>
      <c r="D59" s="1">
        <f>SUM(OSRRefD22_10x_0)</f>
        <v>14550.800000000001</v>
      </c>
      <c r="E59" s="1"/>
      <c r="F59" s="5">
        <f t="shared" si="24"/>
        <v>0</v>
      </c>
      <c r="G59" s="1"/>
      <c r="H59" s="1">
        <f>SUM(OSRRefH22_10x_0)</f>
        <v>21200</v>
      </c>
      <c r="I59" s="1"/>
      <c r="J59" s="5">
        <f t="shared" si="25"/>
        <v>0</v>
      </c>
      <c r="K59" s="1"/>
      <c r="L59" s="1">
        <f t="shared" si="26"/>
        <v>-6649.1999999999989</v>
      </c>
      <c r="M59" s="1"/>
      <c r="N59" s="5">
        <f t="shared" si="27"/>
        <v>-0.31364150943396224</v>
      </c>
      <c r="O59" s="13"/>
      <c r="P59" s="1">
        <f>SUM(OSRRefP22_10x_0)</f>
        <v>26457.53</v>
      </c>
      <c r="Q59" s="1"/>
      <c r="R59" s="5">
        <f t="shared" si="28"/>
        <v>0</v>
      </c>
      <c r="S59" s="1"/>
      <c r="T59" s="1">
        <f>SUM(OSRRefT22_10x_0)</f>
        <v>32900</v>
      </c>
      <c r="U59" s="1"/>
      <c r="V59" s="5">
        <f t="shared" si="29"/>
        <v>0</v>
      </c>
      <c r="W59" s="1"/>
      <c r="X59" s="1">
        <f t="shared" si="30"/>
        <v>-6442.4700000000012</v>
      </c>
      <c r="Y59" s="1"/>
      <c r="Z59" s="5">
        <f t="shared" si="31"/>
        <v>-0.19581975683890582</v>
      </c>
    </row>
    <row r="60" spans="1:26" s="24" customFormat="1" hidden="1" outlineLevel="2" x14ac:dyDescent="0.25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24"/>
        <v>0</v>
      </c>
      <c r="G60" s="2"/>
      <c r="H60" s="6"/>
      <c r="I60" s="2"/>
      <c r="J60" s="7">
        <f t="shared" si="25"/>
        <v>0</v>
      </c>
      <c r="K60" s="2"/>
      <c r="L60" s="6">
        <f t="shared" si="26"/>
        <v>0</v>
      </c>
      <c r="M60" s="2"/>
      <c r="N60" s="7">
        <f t="shared" si="27"/>
        <v>0</v>
      </c>
      <c r="O60" s="11"/>
      <c r="P60" s="6"/>
      <c r="Q60" s="2"/>
      <c r="R60" s="7">
        <f t="shared" si="28"/>
        <v>0</v>
      </c>
      <c r="S60" s="2"/>
      <c r="T60" s="6">
        <v>500</v>
      </c>
      <c r="U60" s="2"/>
      <c r="V60" s="7">
        <f t="shared" si="29"/>
        <v>0</v>
      </c>
      <c r="W60" s="2"/>
      <c r="X60" s="6">
        <f t="shared" si="30"/>
        <v>-500</v>
      </c>
      <c r="Y60" s="2"/>
      <c r="Z60" s="7">
        <f t="shared" si="31"/>
        <v>-1</v>
      </c>
    </row>
    <row r="61" spans="1:26" s="24" customFormat="1" hidden="1" outlineLevel="2" x14ac:dyDescent="0.25">
      <c r="A61" s="27"/>
      <c r="B61" s="11" t="str">
        <f>CONCATENATE("          ", "6373", " - ", "MAINTENANCE CONTRACTS")</f>
        <v xml:space="preserve">          6373 - MAINTENANCE CONTRACTS</v>
      </c>
      <c r="C61" s="11"/>
      <c r="D61" s="6">
        <v>9043.8700000000008</v>
      </c>
      <c r="E61" s="2"/>
      <c r="F61" s="7">
        <f t="shared" si="24"/>
        <v>0</v>
      </c>
      <c r="G61" s="2"/>
      <c r="H61" s="6">
        <v>1200</v>
      </c>
      <c r="I61" s="2"/>
      <c r="J61" s="7">
        <f t="shared" si="25"/>
        <v>0</v>
      </c>
      <c r="K61" s="2"/>
      <c r="L61" s="6">
        <f t="shared" si="26"/>
        <v>7843.8700000000008</v>
      </c>
      <c r="M61" s="2"/>
      <c r="N61" s="7">
        <f t="shared" si="27"/>
        <v>6.5365583333333337</v>
      </c>
      <c r="O61" s="11"/>
      <c r="P61" s="6">
        <v>14072.75</v>
      </c>
      <c r="Q61" s="2"/>
      <c r="R61" s="7">
        <f t="shared" si="28"/>
        <v>0</v>
      </c>
      <c r="S61" s="2"/>
      <c r="T61" s="6">
        <v>2400</v>
      </c>
      <c r="U61" s="2"/>
      <c r="V61" s="7">
        <f t="shared" si="29"/>
        <v>0</v>
      </c>
      <c r="W61" s="2"/>
      <c r="X61" s="6">
        <f t="shared" si="30"/>
        <v>11672.75</v>
      </c>
      <c r="Y61" s="2"/>
      <c r="Z61" s="7">
        <f t="shared" si="31"/>
        <v>4.863645833333333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>
        <v>5506.93</v>
      </c>
      <c r="E62" s="2"/>
      <c r="F62" s="7">
        <f t="shared" si="24"/>
        <v>0</v>
      </c>
      <c r="G62" s="2"/>
      <c r="H62" s="6">
        <v>20000</v>
      </c>
      <c r="I62" s="2"/>
      <c r="J62" s="7">
        <f t="shared" si="25"/>
        <v>0</v>
      </c>
      <c r="K62" s="2"/>
      <c r="L62" s="6">
        <f t="shared" si="26"/>
        <v>-14493.07</v>
      </c>
      <c r="M62" s="2"/>
      <c r="N62" s="7">
        <f t="shared" si="27"/>
        <v>-0.72465349999999995</v>
      </c>
      <c r="O62" s="11"/>
      <c r="P62" s="6">
        <v>12384.78</v>
      </c>
      <c r="Q62" s="2"/>
      <c r="R62" s="7">
        <f t="shared" si="28"/>
        <v>0</v>
      </c>
      <c r="S62" s="2"/>
      <c r="T62" s="6">
        <v>30000</v>
      </c>
      <c r="U62" s="2"/>
      <c r="V62" s="7">
        <f t="shared" si="29"/>
        <v>0</v>
      </c>
      <c r="W62" s="2"/>
      <c r="X62" s="6">
        <f t="shared" si="30"/>
        <v>-17615.22</v>
      </c>
      <c r="Y62" s="2"/>
      <c r="Z62" s="7">
        <f t="shared" si="31"/>
        <v>-0.58717400000000008</v>
      </c>
    </row>
    <row r="63" spans="1:26" s="26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SUM(OSRRefD22_11x_0)</f>
        <v>10574.9</v>
      </c>
      <c r="E63" s="1"/>
      <c r="F63" s="5">
        <f t="shared" ref="F63:F68" si="32">IF(D$12=0,0,D63/D$12)</f>
        <v>0</v>
      </c>
      <c r="G63" s="1"/>
      <c r="H63" s="1">
        <f>SUM(OSRRefH22_11x_0)</f>
        <v>13685</v>
      </c>
      <c r="I63" s="1"/>
      <c r="J63" s="5">
        <f t="shared" ref="J63:J68" si="33">IF(H$12=0,0,H63/H$12)</f>
        <v>0</v>
      </c>
      <c r="K63" s="1"/>
      <c r="L63" s="1">
        <f t="shared" ref="L63:L68" si="34">+D63-H63</f>
        <v>-3110.1000000000004</v>
      </c>
      <c r="M63" s="1"/>
      <c r="N63" s="5">
        <f t="shared" ref="N63:N68" si="35">IF(H63=0,0,L63/H63)</f>
        <v>-0.22726342710997446</v>
      </c>
      <c r="O63" s="13"/>
      <c r="P63" s="1">
        <f>SUM(OSRRefP22_11x_0)</f>
        <v>24592.039999999997</v>
      </c>
      <c r="Q63" s="1"/>
      <c r="R63" s="5">
        <f t="shared" ref="R63:R68" si="36">IF(P$12=0,0,P63/P$12)</f>
        <v>0</v>
      </c>
      <c r="S63" s="1"/>
      <c r="T63" s="1">
        <f>SUM(OSRRefT22_11x_0)</f>
        <v>27335</v>
      </c>
      <c r="U63" s="1"/>
      <c r="V63" s="5">
        <f t="shared" ref="V63:V68" si="37">IF(T$12=0,0,T63/T$12)</f>
        <v>0</v>
      </c>
      <c r="W63" s="1"/>
      <c r="X63" s="1">
        <f t="shared" ref="X63:X68" si="38">+P63-T63</f>
        <v>-2742.9600000000028</v>
      </c>
      <c r="Y63" s="1"/>
      <c r="Z63" s="5">
        <f t="shared" ref="Z63:Z68" si="39">IF(T63=0,0,X63/T63)</f>
        <v>-0.10034607645875261</v>
      </c>
    </row>
    <row r="64" spans="1:26" s="24" customFormat="1" hidden="1" outlineLevel="2" x14ac:dyDescent="0.25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626.26</v>
      </c>
      <c r="E64" s="2"/>
      <c r="F64" s="7">
        <f t="shared" si="32"/>
        <v>0</v>
      </c>
      <c r="G64" s="2"/>
      <c r="H64" s="6">
        <v>650</v>
      </c>
      <c r="I64" s="2"/>
      <c r="J64" s="7">
        <f t="shared" si="33"/>
        <v>0</v>
      </c>
      <c r="K64" s="2"/>
      <c r="L64" s="6">
        <f t="shared" si="34"/>
        <v>-23.740000000000009</v>
      </c>
      <c r="M64" s="2"/>
      <c r="N64" s="7">
        <f t="shared" si="35"/>
        <v>-3.6523076923076936E-2</v>
      </c>
      <c r="O64" s="11"/>
      <c r="P64" s="6">
        <v>1252.52</v>
      </c>
      <c r="Q64" s="2"/>
      <c r="R64" s="7">
        <f t="shared" si="36"/>
        <v>0</v>
      </c>
      <c r="S64" s="2"/>
      <c r="T64" s="6">
        <v>1300</v>
      </c>
      <c r="U64" s="2"/>
      <c r="V64" s="7">
        <f t="shared" si="37"/>
        <v>0</v>
      </c>
      <c r="W64" s="2"/>
      <c r="X64" s="6">
        <f t="shared" si="38"/>
        <v>-47.480000000000018</v>
      </c>
      <c r="Y64" s="2"/>
      <c r="Z64" s="7">
        <f t="shared" si="39"/>
        <v>-3.6523076923076936E-2</v>
      </c>
    </row>
    <row r="65" spans="1:26" s="24" customFormat="1" hidden="1" outlineLevel="2" x14ac:dyDescent="0.25">
      <c r="A65" s="27"/>
      <c r="B65" s="11" t="str">
        <f>CONCATENATE("          ", "6283", " - ", "PLANT SERVICE")</f>
        <v xml:space="preserve">          6283 - PLANT SERVICE</v>
      </c>
      <c r="C65" s="11"/>
      <c r="D65" s="6">
        <v>35.53</v>
      </c>
      <c r="E65" s="2"/>
      <c r="F65" s="7">
        <f t="shared" si="32"/>
        <v>0</v>
      </c>
      <c r="G65" s="2"/>
      <c r="H65" s="6">
        <v>35</v>
      </c>
      <c r="I65" s="2"/>
      <c r="J65" s="7">
        <f t="shared" si="33"/>
        <v>0</v>
      </c>
      <c r="K65" s="2"/>
      <c r="L65" s="6">
        <f t="shared" si="34"/>
        <v>0.53000000000000114</v>
      </c>
      <c r="M65" s="2"/>
      <c r="N65" s="7">
        <f t="shared" si="35"/>
        <v>1.5142857142857175E-2</v>
      </c>
      <c r="O65" s="11"/>
      <c r="P65" s="6">
        <v>71.06</v>
      </c>
      <c r="Q65" s="2"/>
      <c r="R65" s="7">
        <f t="shared" si="36"/>
        <v>0</v>
      </c>
      <c r="S65" s="2"/>
      <c r="T65" s="6">
        <v>35</v>
      </c>
      <c r="U65" s="2"/>
      <c r="V65" s="7">
        <f t="shared" si="37"/>
        <v>0</v>
      </c>
      <c r="W65" s="2"/>
      <c r="X65" s="6">
        <f t="shared" si="38"/>
        <v>36.06</v>
      </c>
      <c r="Y65" s="2"/>
      <c r="Z65" s="7">
        <f t="shared" si="39"/>
        <v>1.0302857142857142</v>
      </c>
    </row>
    <row r="66" spans="1:26" s="24" customFormat="1" hidden="1" outlineLevel="2" x14ac:dyDescent="0.25">
      <c r="A66" s="27"/>
      <c r="B66" s="11" t="str">
        <f>CONCATENATE("          ", "6284", " - ", "TRASH REMOVAL EXPENSE")</f>
        <v xml:space="preserve">          6284 - TRASH REMOVAL EXPENSE</v>
      </c>
      <c r="C66" s="11"/>
      <c r="D66" s="6"/>
      <c r="E66" s="2"/>
      <c r="F66" s="7">
        <f t="shared" si="32"/>
        <v>0</v>
      </c>
      <c r="G66" s="2"/>
      <c r="H66" s="6">
        <v>3000</v>
      </c>
      <c r="I66" s="2"/>
      <c r="J66" s="7">
        <f t="shared" si="33"/>
        <v>0</v>
      </c>
      <c r="K66" s="2"/>
      <c r="L66" s="6">
        <f t="shared" si="34"/>
        <v>-3000</v>
      </c>
      <c r="M66" s="2"/>
      <c r="N66" s="7">
        <f t="shared" si="35"/>
        <v>-1</v>
      </c>
      <c r="O66" s="11"/>
      <c r="P66" s="6">
        <v>3482</v>
      </c>
      <c r="Q66" s="2"/>
      <c r="R66" s="7">
        <f t="shared" si="36"/>
        <v>0</v>
      </c>
      <c r="S66" s="2"/>
      <c r="T66" s="6">
        <v>6000</v>
      </c>
      <c r="U66" s="2"/>
      <c r="V66" s="7">
        <f t="shared" si="37"/>
        <v>0</v>
      </c>
      <c r="W66" s="2"/>
      <c r="X66" s="6">
        <f t="shared" si="38"/>
        <v>-2518</v>
      </c>
      <c r="Y66" s="2"/>
      <c r="Z66" s="7">
        <f t="shared" si="39"/>
        <v>-0.41966666666666669</v>
      </c>
    </row>
    <row r="67" spans="1:26" s="24" customFormat="1" hidden="1" outlineLevel="2" x14ac:dyDescent="0.25">
      <c r="A67" s="27"/>
      <c r="B67" s="11" t="str">
        <f>CONCATENATE("          ", "6285", " - ", "JANITORIAL SERVICES")</f>
        <v xml:space="preserve">          6285 - JANITORIAL SERVICES</v>
      </c>
      <c r="C67" s="11"/>
      <c r="D67" s="6">
        <v>9853.51</v>
      </c>
      <c r="E67" s="2"/>
      <c r="F67" s="7">
        <f t="shared" si="32"/>
        <v>0</v>
      </c>
      <c r="G67" s="2"/>
      <c r="H67" s="6">
        <v>9500</v>
      </c>
      <c r="I67" s="2"/>
      <c r="J67" s="7">
        <f t="shared" si="33"/>
        <v>0</v>
      </c>
      <c r="K67" s="2"/>
      <c r="L67" s="6">
        <f t="shared" si="34"/>
        <v>353.51000000000022</v>
      </c>
      <c r="M67" s="2"/>
      <c r="N67" s="7">
        <f t="shared" si="35"/>
        <v>3.7211578947368443E-2</v>
      </c>
      <c r="O67" s="11"/>
      <c r="P67" s="6">
        <v>19707.02</v>
      </c>
      <c r="Q67" s="2"/>
      <c r="R67" s="7">
        <f t="shared" si="36"/>
        <v>0</v>
      </c>
      <c r="S67" s="2"/>
      <c r="T67" s="6">
        <v>19000</v>
      </c>
      <c r="U67" s="2"/>
      <c r="V67" s="7">
        <f t="shared" si="37"/>
        <v>0</v>
      </c>
      <c r="W67" s="2"/>
      <c r="X67" s="6">
        <f t="shared" si="38"/>
        <v>707.02000000000044</v>
      </c>
      <c r="Y67" s="2"/>
      <c r="Z67" s="7">
        <f t="shared" si="39"/>
        <v>3.7211578947368443E-2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>
        <v>59.6</v>
      </c>
      <c r="E68" s="2"/>
      <c r="F68" s="7">
        <f t="shared" si="32"/>
        <v>0</v>
      </c>
      <c r="G68" s="2"/>
      <c r="H68" s="6">
        <v>500</v>
      </c>
      <c r="I68" s="2"/>
      <c r="J68" s="7">
        <f t="shared" si="33"/>
        <v>0</v>
      </c>
      <c r="K68" s="2"/>
      <c r="L68" s="6">
        <f t="shared" si="34"/>
        <v>-440.4</v>
      </c>
      <c r="M68" s="2"/>
      <c r="N68" s="7">
        <f t="shared" si="35"/>
        <v>-0.88079999999999992</v>
      </c>
      <c r="O68" s="11"/>
      <c r="P68" s="6">
        <v>79.44</v>
      </c>
      <c r="Q68" s="2"/>
      <c r="R68" s="7">
        <f t="shared" si="36"/>
        <v>0</v>
      </c>
      <c r="S68" s="2"/>
      <c r="T68" s="6">
        <v>1000</v>
      </c>
      <c r="U68" s="2"/>
      <c r="V68" s="7">
        <f t="shared" si="37"/>
        <v>0</v>
      </c>
      <c r="W68" s="2"/>
      <c r="X68" s="6">
        <f t="shared" si="38"/>
        <v>-920.56</v>
      </c>
      <c r="Y68" s="2"/>
      <c r="Z68" s="7">
        <f t="shared" si="39"/>
        <v>-0.92055999999999993</v>
      </c>
    </row>
    <row r="69" spans="1:26" s="26" customFormat="1" outlineLevel="1" collapsed="1" x14ac:dyDescent="0.25">
      <c r="A69" s="25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SUM(OSRRefD22_12x_0)</f>
        <v>4636.45</v>
      </c>
      <c r="E69" s="1"/>
      <c r="F69" s="5">
        <f t="shared" ref="F69:F75" si="40">IF(D$12=0,0,D69/D$12)</f>
        <v>0</v>
      </c>
      <c r="G69" s="1"/>
      <c r="H69" s="1">
        <f>SUM(OSRRefH22_12x_0)</f>
        <v>6600</v>
      </c>
      <c r="I69" s="1"/>
      <c r="J69" s="5">
        <f t="shared" ref="J69:J75" si="41">IF(H$12=0,0,H69/H$12)</f>
        <v>0</v>
      </c>
      <c r="K69" s="1"/>
      <c r="L69" s="1">
        <f t="shared" ref="L69:L75" si="42">+D69-H69</f>
        <v>-1963.5500000000002</v>
      </c>
      <c r="M69" s="1"/>
      <c r="N69" s="5">
        <f t="shared" ref="N69:N75" si="43">IF(H69=0,0,L69/H69)</f>
        <v>-0.2975075757575758</v>
      </c>
      <c r="O69" s="13"/>
      <c r="P69" s="1">
        <f>SUM(OSRRefP22_12x_0)</f>
        <v>7392.39</v>
      </c>
      <c r="Q69" s="1"/>
      <c r="R69" s="5">
        <f t="shared" ref="R69:R75" si="44">IF(P$12=0,0,P69/P$12)</f>
        <v>0</v>
      </c>
      <c r="S69" s="1"/>
      <c r="T69" s="1">
        <f>SUM(OSRRefT22_12x_0)</f>
        <v>12000</v>
      </c>
      <c r="U69" s="1"/>
      <c r="V69" s="5">
        <f t="shared" ref="V69:V75" si="45">IF(T$12=0,0,T69/T$12)</f>
        <v>0</v>
      </c>
      <c r="W69" s="1"/>
      <c r="X69" s="1">
        <f t="shared" ref="X69:X75" si="46">+P69-T69</f>
        <v>-4607.6099999999997</v>
      </c>
      <c r="Y69" s="1"/>
      <c r="Z69" s="5">
        <f t="shared" ref="Z69:Z75" si="47">IF(T69=0,0,X69/T69)</f>
        <v>-0.38396749999999996</v>
      </c>
    </row>
    <row r="70" spans="1:26" s="24" customFormat="1" hidden="1" outlineLevel="2" x14ac:dyDescent="0.25">
      <c r="A70" s="27"/>
      <c r="B70" s="11" t="str">
        <f>CONCATENATE("          ", "6237", " - ", "JANITORIAL SUPPLIES")</f>
        <v xml:space="preserve">          6237 - JANITORIAL SUPPLIES</v>
      </c>
      <c r="C70" s="11"/>
      <c r="D70" s="6">
        <v>2447.2600000000002</v>
      </c>
      <c r="E70" s="2"/>
      <c r="F70" s="7">
        <f t="shared" si="40"/>
        <v>0</v>
      </c>
      <c r="G70" s="2"/>
      <c r="H70" s="6">
        <v>4000</v>
      </c>
      <c r="I70" s="2"/>
      <c r="J70" s="7">
        <f t="shared" si="41"/>
        <v>0</v>
      </c>
      <c r="K70" s="2"/>
      <c r="L70" s="6">
        <f t="shared" si="42"/>
        <v>-1552.7399999999998</v>
      </c>
      <c r="M70" s="2"/>
      <c r="N70" s="7">
        <f t="shared" si="43"/>
        <v>-0.38818499999999995</v>
      </c>
      <c r="O70" s="11"/>
      <c r="P70" s="6">
        <v>5657.38</v>
      </c>
      <c r="Q70" s="2"/>
      <c r="R70" s="7">
        <f t="shared" si="44"/>
        <v>0</v>
      </c>
      <c r="S70" s="2"/>
      <c r="T70" s="6">
        <v>7000</v>
      </c>
      <c r="U70" s="2"/>
      <c r="V70" s="7">
        <f t="shared" si="45"/>
        <v>0</v>
      </c>
      <c r="W70" s="2"/>
      <c r="X70" s="6">
        <f t="shared" si="46"/>
        <v>-1342.62</v>
      </c>
      <c r="Y70" s="2"/>
      <c r="Z70" s="7">
        <f t="shared" si="47"/>
        <v>-0.19180285714285714</v>
      </c>
    </row>
    <row r="71" spans="1:26" s="24" customFormat="1" hidden="1" outlineLevel="2" x14ac:dyDescent="0.25">
      <c r="A71" s="27"/>
      <c r="B71" s="11" t="str">
        <f>CONCATENATE("          ", "6239", " - ", "KITCHEN SUPPLIES")</f>
        <v xml:space="preserve">          6239 - KITCHEN SUPPLIES</v>
      </c>
      <c r="C71" s="11"/>
      <c r="D71" s="6">
        <v>2519.7399999999998</v>
      </c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2519.7399999999998</v>
      </c>
      <c r="M71" s="2"/>
      <c r="N71" s="7">
        <f t="shared" si="43"/>
        <v>0</v>
      </c>
      <c r="O71" s="11"/>
      <c r="P71" s="6">
        <v>2965.47</v>
      </c>
      <c r="Q71" s="2"/>
      <c r="R71" s="7">
        <f t="shared" si="44"/>
        <v>0</v>
      </c>
      <c r="S71" s="2"/>
      <c r="T71" s="6">
        <v>1500</v>
      </c>
      <c r="U71" s="2"/>
      <c r="V71" s="7">
        <f t="shared" si="45"/>
        <v>0</v>
      </c>
      <c r="W71" s="2"/>
      <c r="X71" s="6">
        <f t="shared" si="46"/>
        <v>1465.4699999999998</v>
      </c>
      <c r="Y71" s="2"/>
      <c r="Z71" s="7">
        <f t="shared" si="47"/>
        <v>0.97697999999999985</v>
      </c>
    </row>
    <row r="72" spans="1:26" s="24" customFormat="1" hidden="1" outlineLevel="2" x14ac:dyDescent="0.25">
      <c r="A72" s="27"/>
      <c r="B72" s="11" t="str">
        <f>CONCATENATE("          ", "6241", " - ", "OFFICE EXPENSE")</f>
        <v xml:space="preserve">          6241 - OFFICE EXPENSE</v>
      </c>
      <c r="C72" s="11"/>
      <c r="D72" s="6">
        <v>-330.55</v>
      </c>
      <c r="E72" s="2"/>
      <c r="F72" s="7">
        <f t="shared" si="40"/>
        <v>0</v>
      </c>
      <c r="G72" s="2"/>
      <c r="H72" s="6">
        <v>200</v>
      </c>
      <c r="I72" s="2"/>
      <c r="J72" s="7">
        <f t="shared" si="41"/>
        <v>0</v>
      </c>
      <c r="K72" s="2"/>
      <c r="L72" s="6">
        <f t="shared" si="42"/>
        <v>-530.54999999999995</v>
      </c>
      <c r="M72" s="2"/>
      <c r="N72" s="7">
        <f t="shared" si="43"/>
        <v>-2.6527499999999997</v>
      </c>
      <c r="O72" s="11"/>
      <c r="P72" s="6">
        <v>-1463.27</v>
      </c>
      <c r="Q72" s="2"/>
      <c r="R72" s="7">
        <f t="shared" si="44"/>
        <v>0</v>
      </c>
      <c r="S72" s="2"/>
      <c r="T72" s="6">
        <v>700</v>
      </c>
      <c r="U72" s="2"/>
      <c r="V72" s="7">
        <f t="shared" si="45"/>
        <v>0</v>
      </c>
      <c r="W72" s="2"/>
      <c r="X72" s="6">
        <f t="shared" si="46"/>
        <v>-2163.27</v>
      </c>
      <c r="Y72" s="2"/>
      <c r="Z72" s="7">
        <f t="shared" si="47"/>
        <v>-3.0903857142857141</v>
      </c>
    </row>
    <row r="73" spans="1:26" s="24" customFormat="1" hidden="1" outlineLevel="2" x14ac:dyDescent="0.25">
      <c r="A73" s="27"/>
      <c r="B73" s="11" t="str">
        <f>CONCATENATE("          ", "6243", " - ", "PAPER SUPPLIES")</f>
        <v xml:space="preserve">          6243 - PAPER SUPPLIES</v>
      </c>
      <c r="C73" s="11"/>
      <c r="D73" s="6"/>
      <c r="E73" s="2"/>
      <c r="F73" s="7">
        <f t="shared" si="40"/>
        <v>0</v>
      </c>
      <c r="G73" s="2"/>
      <c r="H73" s="6">
        <v>400</v>
      </c>
      <c r="I73" s="2"/>
      <c r="J73" s="7">
        <f t="shared" si="41"/>
        <v>0</v>
      </c>
      <c r="K73" s="2"/>
      <c r="L73" s="6">
        <f t="shared" si="42"/>
        <v>-400</v>
      </c>
      <c r="M73" s="2"/>
      <c r="N73" s="7">
        <f t="shared" si="43"/>
        <v>-1</v>
      </c>
      <c r="O73" s="11"/>
      <c r="P73" s="6"/>
      <c r="Q73" s="2"/>
      <c r="R73" s="7">
        <f t="shared" si="44"/>
        <v>0</v>
      </c>
      <c r="S73" s="2"/>
      <c r="T73" s="6">
        <v>800</v>
      </c>
      <c r="U73" s="2"/>
      <c r="V73" s="7">
        <f t="shared" si="45"/>
        <v>0</v>
      </c>
      <c r="W73" s="2"/>
      <c r="X73" s="6">
        <f t="shared" si="46"/>
        <v>-800</v>
      </c>
      <c r="Y73" s="2"/>
      <c r="Z73" s="7">
        <f t="shared" si="47"/>
        <v>-1</v>
      </c>
    </row>
    <row r="74" spans="1:26" s="24" customFormat="1" hidden="1" outlineLevel="2" x14ac:dyDescent="0.25">
      <c r="A74" s="27"/>
      <c r="B74" s="11" t="str">
        <f>CONCATENATE("          ", "6245", " - ", "PRINTING")</f>
        <v xml:space="preserve">          6245 - PRINTING</v>
      </c>
      <c r="C74" s="11"/>
      <c r="D74" s="6"/>
      <c r="E74" s="2"/>
      <c r="F74" s="7">
        <f t="shared" si="40"/>
        <v>0</v>
      </c>
      <c r="G74" s="2"/>
      <c r="H74" s="6">
        <v>500</v>
      </c>
      <c r="I74" s="2"/>
      <c r="J74" s="7">
        <f t="shared" si="41"/>
        <v>0</v>
      </c>
      <c r="K74" s="2"/>
      <c r="L74" s="6">
        <f t="shared" si="42"/>
        <v>-500</v>
      </c>
      <c r="M74" s="2"/>
      <c r="N74" s="7">
        <f t="shared" si="43"/>
        <v>-1</v>
      </c>
      <c r="O74" s="11"/>
      <c r="P74" s="6"/>
      <c r="Q74" s="2"/>
      <c r="R74" s="7">
        <f t="shared" si="44"/>
        <v>0</v>
      </c>
      <c r="S74" s="2"/>
      <c r="T74" s="6">
        <v>500</v>
      </c>
      <c r="U74" s="2"/>
      <c r="V74" s="7">
        <f t="shared" si="45"/>
        <v>0</v>
      </c>
      <c r="W74" s="2"/>
      <c r="X74" s="6">
        <f t="shared" si="46"/>
        <v>-500</v>
      </c>
      <c r="Y74" s="2"/>
      <c r="Z74" s="7">
        <f t="shared" si="47"/>
        <v>-1</v>
      </c>
    </row>
    <row r="75" spans="1:26" s="24" customFormat="1" hidden="1" outlineLevel="2" x14ac:dyDescent="0.25">
      <c r="A75" s="27"/>
      <c r="B75" s="11" t="str">
        <f>CONCATENATE("          ", "6248", " - ", "UNIFORMS")</f>
        <v xml:space="preserve">          6248 - UNIFORMS</v>
      </c>
      <c r="C75" s="11"/>
      <c r="D75" s="6"/>
      <c r="E75" s="2"/>
      <c r="F75" s="7">
        <f t="shared" si="40"/>
        <v>0</v>
      </c>
      <c r="G75" s="2"/>
      <c r="H75" s="6">
        <v>1500</v>
      </c>
      <c r="I75" s="2"/>
      <c r="J75" s="7">
        <f t="shared" si="41"/>
        <v>0</v>
      </c>
      <c r="K75" s="2"/>
      <c r="L75" s="6">
        <f t="shared" si="42"/>
        <v>-1500</v>
      </c>
      <c r="M75" s="2"/>
      <c r="N75" s="7">
        <f t="shared" si="43"/>
        <v>-1</v>
      </c>
      <c r="O75" s="11"/>
      <c r="P75" s="6">
        <v>232.81</v>
      </c>
      <c r="Q75" s="2"/>
      <c r="R75" s="7">
        <f t="shared" si="44"/>
        <v>0</v>
      </c>
      <c r="S75" s="2"/>
      <c r="T75" s="6">
        <v>1500</v>
      </c>
      <c r="U75" s="2"/>
      <c r="V75" s="7">
        <f t="shared" si="45"/>
        <v>0</v>
      </c>
      <c r="W75" s="2"/>
      <c r="X75" s="6">
        <f t="shared" si="46"/>
        <v>-1267.19</v>
      </c>
      <c r="Y75" s="2"/>
      <c r="Z75" s="7">
        <f t="shared" si="47"/>
        <v>-0.8447933333333334</v>
      </c>
    </row>
    <row r="76" spans="1:26" s="26" customFormat="1" outlineLevel="1" collapsed="1" x14ac:dyDescent="0.25">
      <c r="A76" s="25"/>
      <c r="B76" s="13" t="str">
        <f>CONCATENATE("     ","Telephone/Data Lines                              ")</f>
        <v xml:space="preserve">     Telephone/Data Lines                              </v>
      </c>
      <c r="C76" s="13"/>
      <c r="D76" s="1">
        <f>SUM(OSRRefD22_13x_0)</f>
        <v>38.5</v>
      </c>
      <c r="E76" s="1"/>
      <c r="F76" s="5">
        <f t="shared" ref="F76:F83" si="48">IF(D$12=0,0,D76/D$12)</f>
        <v>0</v>
      </c>
      <c r="G76" s="1"/>
      <c r="H76" s="1">
        <f>SUM(OSRRefH22_13x_0)</f>
        <v>500</v>
      </c>
      <c r="I76" s="1"/>
      <c r="J76" s="5">
        <f t="shared" ref="J76:J83" si="49">IF(H$12=0,0,H76/H$12)</f>
        <v>0</v>
      </c>
      <c r="K76" s="1"/>
      <c r="L76" s="1">
        <f t="shared" ref="L76:L83" si="50">+D76-H76</f>
        <v>-461.5</v>
      </c>
      <c r="M76" s="1"/>
      <c r="N76" s="5">
        <f t="shared" ref="N76:N83" si="51">IF(H76=0,0,L76/H76)</f>
        <v>-0.92300000000000004</v>
      </c>
      <c r="O76" s="13"/>
      <c r="P76" s="1">
        <f>SUM(OSRRefP22_13x_0)</f>
        <v>472.55</v>
      </c>
      <c r="Q76" s="1"/>
      <c r="R76" s="5">
        <f t="shared" ref="R76:R83" si="52">IF(P$12=0,0,P76/P$12)</f>
        <v>0</v>
      </c>
      <c r="S76" s="1"/>
      <c r="T76" s="1">
        <f>SUM(OSRRefT22_13x_0)</f>
        <v>1000</v>
      </c>
      <c r="U76" s="1"/>
      <c r="V76" s="5">
        <f t="shared" ref="V76:V83" si="53">IF(T$12=0,0,T76/T$12)</f>
        <v>0</v>
      </c>
      <c r="W76" s="1"/>
      <c r="X76" s="1">
        <f t="shared" ref="X76:X83" si="54">+P76-T76</f>
        <v>-527.45000000000005</v>
      </c>
      <c r="Y76" s="1"/>
      <c r="Z76" s="5">
        <f t="shared" ref="Z76:Z83" si="55">IF(T76=0,0,X76/T76)</f>
        <v>-0.52745000000000009</v>
      </c>
    </row>
    <row r="77" spans="1:26" s="24" customFormat="1" hidden="1" outlineLevel="2" x14ac:dyDescent="0.25">
      <c r="A77" s="27"/>
      <c r="B77" s="11" t="str">
        <f>CONCATENATE("          ", "6309", " - ", "TELEPHONE")</f>
        <v xml:space="preserve">          6309 - TELEPHONE</v>
      </c>
      <c r="C77" s="11"/>
      <c r="D77" s="6">
        <v>38.5</v>
      </c>
      <c r="E77" s="2"/>
      <c r="F77" s="7">
        <f t="shared" si="48"/>
        <v>0</v>
      </c>
      <c r="G77" s="2"/>
      <c r="H77" s="6">
        <v>500</v>
      </c>
      <c r="I77" s="2"/>
      <c r="J77" s="7">
        <f t="shared" si="49"/>
        <v>0</v>
      </c>
      <c r="K77" s="2"/>
      <c r="L77" s="6">
        <f t="shared" si="50"/>
        <v>-461.5</v>
      </c>
      <c r="M77" s="2"/>
      <c r="N77" s="7">
        <f t="shared" si="51"/>
        <v>-0.92300000000000004</v>
      </c>
      <c r="O77" s="11"/>
      <c r="P77" s="6">
        <v>472.55</v>
      </c>
      <c r="Q77" s="2"/>
      <c r="R77" s="7">
        <f t="shared" si="52"/>
        <v>0</v>
      </c>
      <c r="S77" s="2"/>
      <c r="T77" s="6">
        <v>1000</v>
      </c>
      <c r="U77" s="2"/>
      <c r="V77" s="7">
        <f t="shared" si="53"/>
        <v>0</v>
      </c>
      <c r="W77" s="2"/>
      <c r="X77" s="6">
        <f t="shared" si="54"/>
        <v>-527.45000000000005</v>
      </c>
      <c r="Y77" s="2"/>
      <c r="Z77" s="7">
        <f t="shared" si="55"/>
        <v>-0.52745000000000009</v>
      </c>
    </row>
    <row r="78" spans="1:26" s="26" customFormat="1" outlineLevel="1" collapsed="1" x14ac:dyDescent="0.25">
      <c r="A78" s="25"/>
      <c r="B78" s="13" t="str">
        <f>CONCATENATE("     ","Training                                          ")</f>
        <v xml:space="preserve">     Training                                          </v>
      </c>
      <c r="C78" s="13"/>
      <c r="D78" s="1">
        <f>SUM(OSRRefD22_14x_0)</f>
        <v>0</v>
      </c>
      <c r="E78" s="1"/>
      <c r="F78" s="5">
        <f t="shared" si="48"/>
        <v>0</v>
      </c>
      <c r="G78" s="1"/>
      <c r="H78" s="1">
        <f>SUM(OSRRefH22_14x_0)</f>
        <v>1000</v>
      </c>
      <c r="I78" s="1"/>
      <c r="J78" s="5">
        <f t="shared" si="49"/>
        <v>0</v>
      </c>
      <c r="K78" s="1"/>
      <c r="L78" s="1">
        <f t="shared" si="50"/>
        <v>-1000</v>
      </c>
      <c r="M78" s="1"/>
      <c r="N78" s="5">
        <f t="shared" si="51"/>
        <v>-1</v>
      </c>
      <c r="O78" s="13"/>
      <c r="P78" s="1">
        <f>SUM(OSRRefP22_14x_0)</f>
        <v>240</v>
      </c>
      <c r="Q78" s="1"/>
      <c r="R78" s="5">
        <f t="shared" si="52"/>
        <v>0</v>
      </c>
      <c r="S78" s="1"/>
      <c r="T78" s="1">
        <f>SUM(OSRRefT22_14x_0)</f>
        <v>1000</v>
      </c>
      <c r="U78" s="1"/>
      <c r="V78" s="5">
        <f t="shared" si="53"/>
        <v>0</v>
      </c>
      <c r="W78" s="1"/>
      <c r="X78" s="1">
        <f t="shared" si="54"/>
        <v>-760</v>
      </c>
      <c r="Y78" s="1"/>
      <c r="Z78" s="5">
        <f t="shared" si="55"/>
        <v>-0.76</v>
      </c>
    </row>
    <row r="79" spans="1:26" s="24" customFormat="1" hidden="1" outlineLevel="2" x14ac:dyDescent="0.25">
      <c r="A79" s="27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48"/>
        <v>0</v>
      </c>
      <c r="G79" s="2"/>
      <c r="H79" s="6">
        <v>1000</v>
      </c>
      <c r="I79" s="2"/>
      <c r="J79" s="7">
        <f t="shared" si="49"/>
        <v>0</v>
      </c>
      <c r="K79" s="2"/>
      <c r="L79" s="6">
        <f t="shared" si="50"/>
        <v>-1000</v>
      </c>
      <c r="M79" s="2"/>
      <c r="N79" s="7">
        <f t="shared" si="51"/>
        <v>-1</v>
      </c>
      <c r="O79" s="11"/>
      <c r="P79" s="6">
        <v>240</v>
      </c>
      <c r="Q79" s="2"/>
      <c r="R79" s="7">
        <f t="shared" si="52"/>
        <v>0</v>
      </c>
      <c r="S79" s="2"/>
      <c r="T79" s="6">
        <v>1000</v>
      </c>
      <c r="U79" s="2"/>
      <c r="V79" s="7">
        <f t="shared" si="53"/>
        <v>0</v>
      </c>
      <c r="W79" s="2"/>
      <c r="X79" s="6">
        <f t="shared" si="54"/>
        <v>-760</v>
      </c>
      <c r="Y79" s="2"/>
      <c r="Z79" s="7">
        <f t="shared" si="55"/>
        <v>-0.76</v>
      </c>
    </row>
    <row r="80" spans="1:26" s="26" customFormat="1" outlineLevel="1" collapsed="1" x14ac:dyDescent="0.25">
      <c r="A80" s="25"/>
      <c r="B80" s="13" t="str">
        <f>CONCATENATE("     ","Travel                                            ")</f>
        <v xml:space="preserve">     Travel                                            </v>
      </c>
      <c r="C80" s="13"/>
      <c r="D80" s="1">
        <f>SUM(OSRRefD22_15x_0)</f>
        <v>87.039999999999992</v>
      </c>
      <c r="E80" s="1"/>
      <c r="F80" s="5">
        <f t="shared" si="48"/>
        <v>0</v>
      </c>
      <c r="G80" s="1"/>
      <c r="H80" s="1">
        <f>SUM(OSRRefH22_15x_0)</f>
        <v>0</v>
      </c>
      <c r="I80" s="1"/>
      <c r="J80" s="5">
        <f t="shared" si="49"/>
        <v>0</v>
      </c>
      <c r="K80" s="1"/>
      <c r="L80" s="1">
        <f t="shared" si="50"/>
        <v>87.039999999999992</v>
      </c>
      <c r="M80" s="1"/>
      <c r="N80" s="5">
        <f t="shared" si="51"/>
        <v>0</v>
      </c>
      <c r="O80" s="13"/>
      <c r="P80" s="1">
        <f>SUM(OSRRefP22_15x_0)</f>
        <v>851.36000000000013</v>
      </c>
      <c r="Q80" s="1"/>
      <c r="R80" s="5">
        <f t="shared" si="52"/>
        <v>0</v>
      </c>
      <c r="S80" s="1"/>
      <c r="T80" s="1">
        <f>SUM(OSRRefT22_15x_0)</f>
        <v>0</v>
      </c>
      <c r="U80" s="1"/>
      <c r="V80" s="5">
        <f t="shared" si="53"/>
        <v>0</v>
      </c>
      <c r="W80" s="1"/>
      <c r="X80" s="1">
        <f t="shared" si="54"/>
        <v>851.36000000000013</v>
      </c>
      <c r="Y80" s="1"/>
      <c r="Z80" s="5">
        <f t="shared" si="55"/>
        <v>0</v>
      </c>
    </row>
    <row r="81" spans="1:26" s="24" customFormat="1" hidden="1" outlineLevel="2" x14ac:dyDescent="0.25">
      <c r="A81" s="27"/>
      <c r="B81" s="11" t="str">
        <f>CONCATENATE("          ", "6292", " - ", "TRAVEL/CONFERENCE")</f>
        <v xml:space="preserve">          6292 - TRAVEL/CONFERENCE</v>
      </c>
      <c r="C81" s="11"/>
      <c r="D81" s="6">
        <v>40.46</v>
      </c>
      <c r="E81" s="2"/>
      <c r="F81" s="7">
        <f t="shared" si="48"/>
        <v>0</v>
      </c>
      <c r="G81" s="2"/>
      <c r="H81" s="6"/>
      <c r="I81" s="2"/>
      <c r="J81" s="7">
        <f t="shared" si="49"/>
        <v>0</v>
      </c>
      <c r="K81" s="2"/>
      <c r="L81" s="6">
        <f t="shared" si="50"/>
        <v>40.46</v>
      </c>
      <c r="M81" s="2"/>
      <c r="N81" s="7">
        <f t="shared" si="51"/>
        <v>0</v>
      </c>
      <c r="O81" s="11"/>
      <c r="P81" s="6">
        <v>545.69000000000005</v>
      </c>
      <c r="Q81" s="2"/>
      <c r="R81" s="7">
        <f t="shared" si="52"/>
        <v>0</v>
      </c>
      <c r="S81" s="2"/>
      <c r="T81" s="6"/>
      <c r="U81" s="2"/>
      <c r="V81" s="7">
        <f t="shared" si="53"/>
        <v>0</v>
      </c>
      <c r="W81" s="2"/>
      <c r="X81" s="6">
        <f t="shared" si="54"/>
        <v>545.69000000000005</v>
      </c>
      <c r="Y81" s="2"/>
      <c r="Z81" s="7">
        <f t="shared" si="55"/>
        <v>0</v>
      </c>
    </row>
    <row r="82" spans="1:26" s="24" customFormat="1" hidden="1" outlineLevel="2" x14ac:dyDescent="0.25">
      <c r="A82" s="27"/>
      <c r="B82" s="11" t="str">
        <f>CONCATENATE("          ", "6294", " - ", "TRAVEL OPERATIONAL")</f>
        <v xml:space="preserve">          6294 - TRAVEL OPERATIONAL</v>
      </c>
      <c r="C82" s="11"/>
      <c r="D82" s="6"/>
      <c r="E82" s="2"/>
      <c r="F82" s="7">
        <f t="shared" si="48"/>
        <v>0</v>
      </c>
      <c r="G82" s="2"/>
      <c r="H82" s="6"/>
      <c r="I82" s="2"/>
      <c r="J82" s="7">
        <f t="shared" si="49"/>
        <v>0</v>
      </c>
      <c r="K82" s="2"/>
      <c r="L82" s="6">
        <f t="shared" si="50"/>
        <v>0</v>
      </c>
      <c r="M82" s="2"/>
      <c r="N82" s="7">
        <f t="shared" si="51"/>
        <v>0</v>
      </c>
      <c r="O82" s="11"/>
      <c r="P82" s="6">
        <v>45.49</v>
      </c>
      <c r="Q82" s="2"/>
      <c r="R82" s="7">
        <f t="shared" si="52"/>
        <v>0</v>
      </c>
      <c r="S82" s="2"/>
      <c r="T82" s="6"/>
      <c r="U82" s="2"/>
      <c r="V82" s="7">
        <f t="shared" si="53"/>
        <v>0</v>
      </c>
      <c r="W82" s="2"/>
      <c r="X82" s="6">
        <f t="shared" si="54"/>
        <v>45.49</v>
      </c>
      <c r="Y82" s="2"/>
      <c r="Z82" s="7">
        <f t="shared" si="55"/>
        <v>0</v>
      </c>
    </row>
    <row r="83" spans="1:26" s="24" customFormat="1" hidden="1" outlineLevel="2" x14ac:dyDescent="0.25">
      <c r="A83" s="27"/>
      <c r="B83" s="11" t="str">
        <f>CONCATENATE("          ", "6298", " - ", "VEHICLE MILEAGE")</f>
        <v xml:space="preserve">          6298 - VEHICLE MILEAGE</v>
      </c>
      <c r="C83" s="11"/>
      <c r="D83" s="6">
        <v>46.58</v>
      </c>
      <c r="E83" s="2"/>
      <c r="F83" s="7">
        <f t="shared" si="48"/>
        <v>0</v>
      </c>
      <c r="G83" s="2"/>
      <c r="H83" s="6"/>
      <c r="I83" s="2"/>
      <c r="J83" s="7">
        <f t="shared" si="49"/>
        <v>0</v>
      </c>
      <c r="K83" s="2"/>
      <c r="L83" s="6">
        <f t="shared" si="50"/>
        <v>46.58</v>
      </c>
      <c r="M83" s="2"/>
      <c r="N83" s="7">
        <f t="shared" si="51"/>
        <v>0</v>
      </c>
      <c r="O83" s="11"/>
      <c r="P83" s="6">
        <v>260.18</v>
      </c>
      <c r="Q83" s="2"/>
      <c r="R83" s="7">
        <f t="shared" si="52"/>
        <v>0</v>
      </c>
      <c r="S83" s="2"/>
      <c r="T83" s="6"/>
      <c r="U83" s="2"/>
      <c r="V83" s="7">
        <f t="shared" si="53"/>
        <v>0</v>
      </c>
      <c r="W83" s="2"/>
      <c r="X83" s="6">
        <f t="shared" si="54"/>
        <v>260.18</v>
      </c>
      <c r="Y83" s="2"/>
      <c r="Z83" s="7">
        <f t="shared" si="55"/>
        <v>0</v>
      </c>
    </row>
    <row r="84" spans="1:26" s="26" customFormat="1" outlineLevel="1" collapsed="1" x14ac:dyDescent="0.25">
      <c r="A84" s="25"/>
      <c r="B84" s="13" t="str">
        <f>CONCATENATE("     ","Utilities                                         ")</f>
        <v xml:space="preserve">     Utilities                                         </v>
      </c>
      <c r="C84" s="13"/>
      <c r="D84" s="1">
        <f>SUM(OSRRefD22_16x_0)</f>
        <v>0</v>
      </c>
      <c r="E84" s="1"/>
      <c r="F84" s="5">
        <f t="shared" ref="F84:F85" si="56">IF(D$12=0,0,D84/D$12)</f>
        <v>0</v>
      </c>
      <c r="G84" s="1"/>
      <c r="H84" s="1">
        <f>SUM(OSRRefH22_16x_0)</f>
        <v>20000</v>
      </c>
      <c r="I84" s="1"/>
      <c r="J84" s="5">
        <f t="shared" ref="J84:J85" si="57">IF(H$12=0,0,H84/H$12)</f>
        <v>0</v>
      </c>
      <c r="K84" s="1"/>
      <c r="L84" s="1">
        <f t="shared" ref="L84:L85" si="58">+D84-H84</f>
        <v>-20000</v>
      </c>
      <c r="M84" s="1"/>
      <c r="N84" s="5">
        <f t="shared" ref="N84:N85" si="59">IF(H84=0,0,L84/H84)</f>
        <v>-1</v>
      </c>
      <c r="O84" s="13"/>
      <c r="P84" s="1">
        <f>SUM(OSRRefP22_16x_0)</f>
        <v>11354</v>
      </c>
      <c r="Q84" s="1"/>
      <c r="R84" s="5">
        <f t="shared" ref="R84:R85" si="60">IF(P$12=0,0,P84/P$12)</f>
        <v>0</v>
      </c>
      <c r="S84" s="1"/>
      <c r="T84" s="1">
        <f>SUM(OSRRefT22_16x_0)</f>
        <v>35000</v>
      </c>
      <c r="U84" s="1"/>
      <c r="V84" s="5">
        <f t="shared" ref="V84:V85" si="61">IF(T$12=0,0,T84/T$12)</f>
        <v>0</v>
      </c>
      <c r="W84" s="1"/>
      <c r="X84" s="1">
        <f t="shared" ref="X84:X85" si="62">+P84-T84</f>
        <v>-23646</v>
      </c>
      <c r="Y84" s="1"/>
      <c r="Z84" s="5">
        <f t="shared" ref="Z84:Z85" si="63">IF(T84=0,0,X84/T84)</f>
        <v>-0.67559999999999998</v>
      </c>
    </row>
    <row r="85" spans="1:26" s="24" customFormat="1" hidden="1" outlineLevel="2" x14ac:dyDescent="0.25">
      <c r="A85" s="27"/>
      <c r="B85" s="11" t="str">
        <f>CONCATENATE("          ", "6274", " - ", "UTILITIES")</f>
        <v xml:space="preserve">          6274 - UTILITIES</v>
      </c>
      <c r="C85" s="11"/>
      <c r="D85" s="6"/>
      <c r="E85" s="2"/>
      <c r="F85" s="7">
        <f t="shared" si="56"/>
        <v>0</v>
      </c>
      <c r="G85" s="2"/>
      <c r="H85" s="6">
        <v>20000</v>
      </c>
      <c r="I85" s="2"/>
      <c r="J85" s="7">
        <f t="shared" si="57"/>
        <v>0</v>
      </c>
      <c r="K85" s="2"/>
      <c r="L85" s="6">
        <f t="shared" si="58"/>
        <v>-20000</v>
      </c>
      <c r="M85" s="2"/>
      <c r="N85" s="7">
        <f t="shared" si="59"/>
        <v>-1</v>
      </c>
      <c r="O85" s="11"/>
      <c r="P85" s="6">
        <v>11354</v>
      </c>
      <c r="Q85" s="2"/>
      <c r="R85" s="7">
        <f t="shared" si="60"/>
        <v>0</v>
      </c>
      <c r="S85" s="2"/>
      <c r="T85" s="6">
        <v>35000</v>
      </c>
      <c r="U85" s="2"/>
      <c r="V85" s="7">
        <f t="shared" si="61"/>
        <v>0</v>
      </c>
      <c r="W85" s="2"/>
      <c r="X85" s="6">
        <f t="shared" si="62"/>
        <v>-23646</v>
      </c>
      <c r="Y85" s="2"/>
      <c r="Z85" s="7">
        <f t="shared" si="63"/>
        <v>-0.67559999999999998</v>
      </c>
    </row>
    <row r="86" spans="1:26" s="63" customFormat="1" x14ac:dyDescent="0.25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collapsed="1" x14ac:dyDescent="0.25">
      <c r="A87" s="10"/>
      <c r="B87" s="28" t="s">
        <v>0</v>
      </c>
      <c r="C87" s="10"/>
      <c r="D87" s="4">
        <f>SUM(OSRRefD25x_0)</f>
        <v>402.28</v>
      </c>
      <c r="E87" s="4"/>
      <c r="F87" s="12">
        <f t="shared" ref="F87:F89" si="64">IF(D$12=0,0,D87/D$12)</f>
        <v>0</v>
      </c>
      <c r="G87" s="4"/>
      <c r="H87" s="4">
        <f>SUM(OSRRefH25x_0)</f>
        <v>1897</v>
      </c>
      <c r="I87" s="4"/>
      <c r="J87" s="12">
        <f t="shared" ref="J87:J89" si="65">IF(H$12=0,0,H87/H$12)</f>
        <v>0</v>
      </c>
      <c r="K87" s="4"/>
      <c r="L87" s="4">
        <f t="shared" ref="L87:L89" si="66">+D87-H87</f>
        <v>-1494.72</v>
      </c>
      <c r="M87" s="4"/>
      <c r="N87" s="12">
        <f t="shared" ref="N87:N89" si="67">IF(H87=0,0,L87/H87)</f>
        <v>-0.78793885081707959</v>
      </c>
      <c r="O87" s="10"/>
      <c r="P87" s="4">
        <f>SUM(OSRRefP25x_0)</f>
        <v>2815.14</v>
      </c>
      <c r="Q87" s="4"/>
      <c r="R87" s="12">
        <f t="shared" ref="R87:R89" si="68">IF(P$12=0,0,P87/P$12)</f>
        <v>0</v>
      </c>
      <c r="S87" s="4"/>
      <c r="T87" s="4">
        <f>SUM(OSRRefT25x_0)</f>
        <v>3185</v>
      </c>
      <c r="U87" s="4"/>
      <c r="V87" s="12">
        <f t="shared" ref="V87:V89" si="69">IF(T$12=0,0,T87/T$12)</f>
        <v>0</v>
      </c>
      <c r="W87" s="4"/>
      <c r="X87" s="4">
        <f t="shared" ref="X87:X89" si="70">+P87-T87</f>
        <v>-369.86000000000013</v>
      </c>
      <c r="Y87" s="4"/>
      <c r="Z87" s="12">
        <f t="shared" ref="Z87:Z89" si="71">IF(T87=0,0,X87/T87)</f>
        <v>-0.11612558869701731</v>
      </c>
    </row>
    <row r="88" spans="1:26" s="24" customFormat="1" hidden="1" outlineLevel="1" x14ac:dyDescent="0.25">
      <c r="A88" s="46"/>
      <c r="B88" s="11" t="str">
        <f>CONCATENATE("          ", "9150", " - ", "MISC. INCOME")</f>
        <v xml:space="preserve">          9150 - MISC. INCOME</v>
      </c>
      <c r="C88" s="11"/>
      <c r="D88" s="2">
        <f>--402.28</f>
        <v>402.28</v>
      </c>
      <c r="E88" s="2"/>
      <c r="F88" s="21">
        <f t="shared" si="64"/>
        <v>0</v>
      </c>
      <c r="G88" s="2"/>
      <c r="H88" s="2">
        <v>1897</v>
      </c>
      <c r="I88" s="2"/>
      <c r="J88" s="21">
        <f t="shared" si="65"/>
        <v>0</v>
      </c>
      <c r="K88" s="2"/>
      <c r="L88" s="2">
        <f t="shared" si="66"/>
        <v>-1494.72</v>
      </c>
      <c r="M88" s="2"/>
      <c r="N88" s="21">
        <f t="shared" si="67"/>
        <v>-0.78793885081707959</v>
      </c>
      <c r="O88" s="11"/>
      <c r="P88" s="2">
        <f>--1804.21</f>
        <v>1804.21</v>
      </c>
      <c r="Q88" s="2"/>
      <c r="R88" s="21">
        <f t="shared" si="68"/>
        <v>0</v>
      </c>
      <c r="S88" s="2"/>
      <c r="T88" s="2">
        <v>3185</v>
      </c>
      <c r="U88" s="2"/>
      <c r="V88" s="21">
        <f t="shared" si="69"/>
        <v>0</v>
      </c>
      <c r="W88" s="2"/>
      <c r="X88" s="2">
        <f t="shared" si="70"/>
        <v>-1380.79</v>
      </c>
      <c r="Y88" s="2"/>
      <c r="Z88" s="21">
        <f t="shared" si="71"/>
        <v>-0.43352904238618523</v>
      </c>
    </row>
    <row r="89" spans="1:26" s="24" customFormat="1" hidden="1" outlineLevel="1" x14ac:dyDescent="0.25">
      <c r="A89" s="46"/>
      <c r="B89" s="11" t="str">
        <f>CONCATENATE("          ", "9160", " - ", "MISC. INCOME")</f>
        <v xml:space="preserve">          9160 - MISC. INCOME</v>
      </c>
      <c r="C89" s="11"/>
      <c r="D89" s="2">
        <f>0</f>
        <v>0</v>
      </c>
      <c r="E89" s="2"/>
      <c r="F89" s="21">
        <f t="shared" si="64"/>
        <v>0</v>
      </c>
      <c r="G89" s="2"/>
      <c r="H89" s="2"/>
      <c r="I89" s="2"/>
      <c r="J89" s="21">
        <f t="shared" si="65"/>
        <v>0</v>
      </c>
      <c r="K89" s="2"/>
      <c r="L89" s="2">
        <f t="shared" si="66"/>
        <v>0</v>
      </c>
      <c r="M89" s="2"/>
      <c r="N89" s="21">
        <f t="shared" si="67"/>
        <v>0</v>
      </c>
      <c r="O89" s="11"/>
      <c r="P89" s="2">
        <f>--1010.93</f>
        <v>1010.93</v>
      </c>
      <c r="Q89" s="2"/>
      <c r="R89" s="21">
        <f t="shared" si="68"/>
        <v>0</v>
      </c>
      <c r="S89" s="2"/>
      <c r="T89" s="2"/>
      <c r="U89" s="2"/>
      <c r="V89" s="21">
        <f t="shared" si="69"/>
        <v>0</v>
      </c>
      <c r="W89" s="2"/>
      <c r="X89" s="2">
        <f t="shared" si="70"/>
        <v>1010.93</v>
      </c>
      <c r="Y89" s="2"/>
      <c r="Z89" s="21">
        <f t="shared" si="71"/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9" t="s">
        <v>3</v>
      </c>
      <c r="C91" s="29"/>
      <c r="D91" s="22">
        <f>+D16-D18+D87</f>
        <v>-74946.680000000008</v>
      </c>
      <c r="E91" s="14"/>
      <c r="F91" s="20">
        <f>IF(D$12=0,0,D91/D$12)</f>
        <v>0</v>
      </c>
      <c r="G91" s="14"/>
      <c r="H91" s="22">
        <f>+H16-H18+H87</f>
        <v>-108272.75402804124</v>
      </c>
      <c r="I91" s="14"/>
      <c r="J91" s="20">
        <f>IF(H$12=0,0,H91/H$12)</f>
        <v>0</v>
      </c>
      <c r="K91" s="15"/>
      <c r="L91" s="22">
        <f>+D91-H91</f>
        <v>33326.074028041228</v>
      </c>
      <c r="M91" s="15"/>
      <c r="N91" s="20">
        <f>IF(H91=0,0,L91/H91)</f>
        <v>-0.30779741706219282</v>
      </c>
      <c r="O91" s="28"/>
      <c r="P91" s="22">
        <f>+P16-P18+P87</f>
        <v>-168905.79999999996</v>
      </c>
      <c r="Q91" s="14"/>
      <c r="R91" s="20">
        <f>IF(P$12=0,0,P91/P$12)</f>
        <v>0</v>
      </c>
      <c r="S91" s="14"/>
      <c r="T91" s="22">
        <f>+T16-T18+T87</f>
        <v>-207301.69964500278</v>
      </c>
      <c r="U91" s="14"/>
      <c r="V91" s="20">
        <f>IF(T$12=0,0,T91/T$12)</f>
        <v>0</v>
      </c>
      <c r="W91" s="15"/>
      <c r="X91" s="22">
        <f>+P91-T91</f>
        <v>38395.899645002821</v>
      </c>
      <c r="Y91" s="15"/>
      <c r="Z91" s="20">
        <f>IF(T91=0,0,X91/T91)</f>
        <v>-0.18521748596733414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/>
      <c r="E93" s="4"/>
      <c r="F93" s="12">
        <f>IF(D$12=0,0,D93/D$12)</f>
        <v>0</v>
      </c>
      <c r="G93" s="4"/>
      <c r="H93" s="4"/>
      <c r="I93" s="4"/>
      <c r="J93" s="12">
        <f>IF(H$12=0,0,H93/H$12)</f>
        <v>0</v>
      </c>
      <c r="K93" s="4"/>
      <c r="L93" s="4">
        <f>+D93-H93</f>
        <v>0</v>
      </c>
      <c r="M93" s="4"/>
      <c r="N93" s="12">
        <f>IF(H93=0,0,L93/H93)</f>
        <v>0</v>
      </c>
      <c r="O93" s="10"/>
      <c r="P93" s="4"/>
      <c r="Q93" s="4"/>
      <c r="R93" s="12">
        <f>IF(P$12=0,0,P93/P$12)</f>
        <v>0</v>
      </c>
      <c r="S93" s="4"/>
      <c r="T93" s="4"/>
      <c r="U93" s="4"/>
      <c r="V93" s="12">
        <f>IF(T$12=0,0,T93/T$12)</f>
        <v>0</v>
      </c>
      <c r="W93" s="4"/>
      <c r="X93" s="4">
        <f>+P93-T93</f>
        <v>0</v>
      </c>
      <c r="Y93" s="4"/>
      <c r="Z93" s="12">
        <f>IF(T93=0,0,X93/T93)</f>
        <v>0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9" t="s">
        <v>4</v>
      </c>
      <c r="C95" s="29"/>
      <c r="D95" s="31">
        <f>+D91-D93</f>
        <v>-74946.680000000008</v>
      </c>
      <c r="E95" s="14"/>
      <c r="F95" s="32">
        <f>IF(D$12=0,0,D95/D$12)</f>
        <v>0</v>
      </c>
      <c r="G95" s="14"/>
      <c r="H95" s="31">
        <f>+H91-H93</f>
        <v>-108272.75402804124</v>
      </c>
      <c r="I95" s="14"/>
      <c r="J95" s="32">
        <f>IF(H$12=0,0,H95/H$12)</f>
        <v>0</v>
      </c>
      <c r="K95" s="15"/>
      <c r="L95" s="31">
        <f>D95-H95</f>
        <v>33326.074028041228</v>
      </c>
      <c r="M95" s="15"/>
      <c r="N95" s="32">
        <f>IF(H95=0,0,L95/H95)</f>
        <v>-0.30779741706219282</v>
      </c>
      <c r="O95" s="28"/>
      <c r="P95" s="31">
        <f>+P91-P93</f>
        <v>-168905.79999999996</v>
      </c>
      <c r="Q95" s="14"/>
      <c r="R95" s="32">
        <f>IF(P$12=0,0,P95/P$12)</f>
        <v>0</v>
      </c>
      <c r="S95" s="14"/>
      <c r="T95" s="31">
        <f>+T91-T93</f>
        <v>-207301.69964500278</v>
      </c>
      <c r="U95" s="14"/>
      <c r="V95" s="32">
        <f>IF(T$12=0,0,T95/T$12)</f>
        <v>0</v>
      </c>
      <c r="W95" s="15"/>
      <c r="X95" s="31">
        <f>P95-T95</f>
        <v>38395.899645002821</v>
      </c>
      <c r="Y95" s="15"/>
      <c r="Z95" s="32">
        <f>IF(T95=0,0,X95/T95)</f>
        <v>-0.18521748596733414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5</v>
      </c>
      <c r="C98" s="29"/>
      <c r="D98" s="33">
        <f>SUM(D95:D97)</f>
        <v>-74946.680000000008</v>
      </c>
      <c r="E98" s="14"/>
      <c r="F98" s="35">
        <f>IF(D$12=0,0,D98/D$12)</f>
        <v>0</v>
      </c>
      <c r="G98" s="14"/>
      <c r="H98" s="33">
        <f>SUM(H95:H97)</f>
        <v>-108272.75402804124</v>
      </c>
      <c r="I98" s="14"/>
      <c r="J98" s="35">
        <f>IF(H$12=0,0,H98/H$12)</f>
        <v>0</v>
      </c>
      <c r="K98" s="15"/>
      <c r="L98" s="33">
        <f>+D98-H98</f>
        <v>33326.074028041228</v>
      </c>
      <c r="M98" s="15"/>
      <c r="N98" s="35">
        <f>IF(H98=0,0,L98/H98)</f>
        <v>-0.30779741706219282</v>
      </c>
      <c r="O98" s="28"/>
      <c r="P98" s="33">
        <f>SUM(P95:P97)</f>
        <v>-168905.79999999996</v>
      </c>
      <c r="Q98" s="14"/>
      <c r="R98" s="35">
        <f>IF(P$12=0,0,P98/P$12)</f>
        <v>0</v>
      </c>
      <c r="S98" s="14"/>
      <c r="T98" s="33">
        <f>SUM(T95:T97)</f>
        <v>-207301.69964500278</v>
      </c>
      <c r="U98" s="14"/>
      <c r="V98" s="35">
        <f>IF(T$12=0,0,T98/T$12)</f>
        <v>0</v>
      </c>
      <c r="W98" s="15"/>
      <c r="X98" s="33">
        <f>+P98-T98</f>
        <v>38395.899645002821</v>
      </c>
      <c r="Y98" s="15"/>
      <c r="Z98" s="35">
        <f>IF(T98=0,0,X98/T98)</f>
        <v>-0.18521748596733414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25">
      <c r="A100" s="9"/>
      <c r="B100" s="61">
        <v>43732.706327395834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2" t="s">
        <v>314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58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","412", " - ", "Chartroom")</f>
        <v>Department 412 - Chartroom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65473.24</v>
      </c>
      <c r="E12" s="4"/>
      <c r="F12" s="12"/>
      <c r="G12" s="4"/>
      <c r="H12" s="4">
        <f>SUM(OSRRefH13x_0)</f>
        <v>96000</v>
      </c>
      <c r="I12" s="4"/>
      <c r="J12" s="12"/>
      <c r="K12" s="4"/>
      <c r="L12" s="4">
        <f t="shared" ref="L12:L16" si="0">+D12-H12</f>
        <v>-30526.760000000002</v>
      </c>
      <c r="M12" s="4"/>
      <c r="N12" s="12">
        <f t="shared" ref="N12:N16" si="1">IF(H12=0,0,L12/H12)</f>
        <v>-0.31798708333333336</v>
      </c>
      <c r="O12" s="10"/>
      <c r="P12" s="4">
        <f>SUM(OSRRefP13x_0)</f>
        <v>112682.89</v>
      </c>
      <c r="Q12" s="4"/>
      <c r="R12" s="12"/>
      <c r="S12" s="4"/>
      <c r="T12" s="4">
        <f>SUM(OSRRefT13x_0)</f>
        <v>196000</v>
      </c>
      <c r="U12" s="4"/>
      <c r="V12" s="12"/>
      <c r="W12" s="4"/>
      <c r="X12" s="4">
        <f t="shared" ref="X12:X16" si="2">+P12-T12</f>
        <v>-83317.11</v>
      </c>
      <c r="Y12" s="4"/>
      <c r="Z12" s="12">
        <f t="shared" ref="Z12:Z16" si="3">IF(T12=0,0,X12/T12)</f>
        <v>-0.42508729591836736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90000</v>
      </c>
      <c r="I13" s="2"/>
      <c r="J13" s="21"/>
      <c r="K13" s="2"/>
      <c r="L13" s="2">
        <f t="shared" si="0"/>
        <v>-90000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189000</v>
      </c>
      <c r="U13" s="2"/>
      <c r="V13" s="21"/>
      <c r="W13" s="2"/>
      <c r="X13" s="2">
        <f t="shared" si="2"/>
        <v>-189000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"4052", " - ", "TAXABLE SALES-FOOD")</f>
        <v xml:space="preserve">          4052 - TAXABLE SALES-FOOD</v>
      </c>
      <c r="C14" s="11"/>
      <c r="D14" s="2">
        <f>--61482.81</f>
        <v>61482.81</v>
      </c>
      <c r="E14" s="2"/>
      <c r="F14" s="21"/>
      <c r="G14" s="2"/>
      <c r="H14" s="2"/>
      <c r="I14" s="2"/>
      <c r="J14" s="21"/>
      <c r="K14" s="2"/>
      <c r="L14" s="2">
        <f t="shared" si="0"/>
        <v>61482.81</v>
      </c>
      <c r="M14" s="2"/>
      <c r="N14" s="21">
        <f t="shared" si="1"/>
        <v>0</v>
      </c>
      <c r="O14" s="11"/>
      <c r="P14" s="2">
        <f>--105025.37</f>
        <v>105025.37</v>
      </c>
      <c r="Q14" s="2"/>
      <c r="R14" s="21"/>
      <c r="S14" s="2"/>
      <c r="T14" s="2"/>
      <c r="U14" s="2"/>
      <c r="V14" s="21"/>
      <c r="W14" s="2"/>
      <c r="X14" s="2">
        <f t="shared" si="2"/>
        <v>105025.37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1"/>
      <c r="G15" s="2"/>
      <c r="H15" s="2">
        <v>6000</v>
      </c>
      <c r="I15" s="2"/>
      <c r="J15" s="21"/>
      <c r="K15" s="2"/>
      <c r="L15" s="2">
        <f t="shared" si="0"/>
        <v>-6000</v>
      </c>
      <c r="M15" s="2"/>
      <c r="N15" s="21">
        <f t="shared" si="1"/>
        <v>-1</v>
      </c>
      <c r="O15" s="11"/>
      <c r="P15" s="2">
        <f>0</f>
        <v>0</v>
      </c>
      <c r="Q15" s="2"/>
      <c r="R15" s="21"/>
      <c r="S15" s="2"/>
      <c r="T15" s="2">
        <v>7000</v>
      </c>
      <c r="U15" s="2"/>
      <c r="V15" s="21"/>
      <c r="W15" s="2"/>
      <c r="X15" s="2">
        <f t="shared" si="2"/>
        <v>-7000</v>
      </c>
      <c r="Y15" s="2"/>
      <c r="Z15" s="21">
        <f t="shared" si="3"/>
        <v>-1</v>
      </c>
    </row>
    <row r="16" spans="1:26" s="24" customFormat="1" hidden="1" outlineLevel="1" x14ac:dyDescent="0.25">
      <c r="A16" s="46"/>
      <c r="B16" s="11" t="str">
        <f>CONCATENATE("          ", "4152", " - ", "NON-TAXABLE SALES-FOOD")</f>
        <v xml:space="preserve">          4152 - NON-TAXABLE SALES-FOOD</v>
      </c>
      <c r="C16" s="11"/>
      <c r="D16" s="2">
        <f>--3990.43</f>
        <v>3990.43</v>
      </c>
      <c r="E16" s="2"/>
      <c r="F16" s="21"/>
      <c r="G16" s="2"/>
      <c r="H16" s="2"/>
      <c r="I16" s="2"/>
      <c r="J16" s="21"/>
      <c r="K16" s="2"/>
      <c r="L16" s="2">
        <f t="shared" si="0"/>
        <v>3990.43</v>
      </c>
      <c r="M16" s="2"/>
      <c r="N16" s="21">
        <f t="shared" si="1"/>
        <v>0</v>
      </c>
      <c r="O16" s="11"/>
      <c r="P16" s="2">
        <f>--7657.52</f>
        <v>7657.52</v>
      </c>
      <c r="Q16" s="2"/>
      <c r="R16" s="21"/>
      <c r="S16" s="2"/>
      <c r="T16" s="2"/>
      <c r="U16" s="2"/>
      <c r="V16" s="21"/>
      <c r="W16" s="2"/>
      <c r="X16" s="2">
        <f t="shared" si="2"/>
        <v>7657.52</v>
      </c>
      <c r="Y16" s="2"/>
      <c r="Z16" s="21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19230.080000000002</v>
      </c>
      <c r="E18" s="4"/>
      <c r="F18" s="12">
        <f t="shared" ref="F18:F20" si="4">IF(D$12=0,0,D18/D$12)</f>
        <v>0.29370900233438885</v>
      </c>
      <c r="G18" s="4"/>
      <c r="H18" s="4">
        <f>SUM(OSRRefH16x_0)</f>
        <v>29760</v>
      </c>
      <c r="I18" s="4"/>
      <c r="J18" s="12">
        <f t="shared" ref="J18:J20" si="5">IF(H$12=0,0,H18/H$12)</f>
        <v>0.31</v>
      </c>
      <c r="K18" s="4"/>
      <c r="L18" s="4">
        <f t="shared" ref="L18:L20" si="6">+D18-H18</f>
        <v>-10529.919999999998</v>
      </c>
      <c r="M18" s="4"/>
      <c r="N18" s="12">
        <f t="shared" ref="N18:N20" si="7">IF(H18=0,0,L18/H18)</f>
        <v>-0.35382795698924724</v>
      </c>
      <c r="O18" s="10"/>
      <c r="P18" s="4">
        <f>SUM(OSRRefP16x_0)</f>
        <v>39004.36</v>
      </c>
      <c r="Q18" s="4"/>
      <c r="R18" s="12">
        <f t="shared" ref="R18:R20" si="8">IF(P$12=0,0,P18/P$12)</f>
        <v>0.34614270187780949</v>
      </c>
      <c r="S18" s="4"/>
      <c r="T18" s="4">
        <f>SUM(OSRRefT16x_0)</f>
        <v>60760</v>
      </c>
      <c r="U18" s="4"/>
      <c r="V18" s="12">
        <f t="shared" ref="V18:V20" si="9">IF(T$12=0,0,T18/T$12)</f>
        <v>0.31</v>
      </c>
      <c r="W18" s="4"/>
      <c r="X18" s="4">
        <f t="shared" ref="X18:X20" si="10">+P18-T18</f>
        <v>-21755.64</v>
      </c>
      <c r="Y18" s="4"/>
      <c r="Z18" s="12">
        <f t="shared" ref="Z18:Z20" si="11">IF(T18=0,0,X18/T18)</f>
        <v>-0.35805859117840683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1">
        <f t="shared" si="4"/>
        <v>0</v>
      </c>
      <c r="G19" s="2"/>
      <c r="H19" s="2">
        <v>29760</v>
      </c>
      <c r="I19" s="2"/>
      <c r="J19" s="21">
        <f t="shared" si="5"/>
        <v>0.31</v>
      </c>
      <c r="K19" s="2"/>
      <c r="L19" s="2">
        <f t="shared" si="6"/>
        <v>-29760</v>
      </c>
      <c r="M19" s="2"/>
      <c r="N19" s="21">
        <f t="shared" si="7"/>
        <v>-1</v>
      </c>
      <c r="O19" s="11"/>
      <c r="P19" s="2"/>
      <c r="Q19" s="2"/>
      <c r="R19" s="21">
        <f t="shared" si="8"/>
        <v>0</v>
      </c>
      <c r="S19" s="2"/>
      <c r="T19" s="2">
        <v>60760</v>
      </c>
      <c r="U19" s="2"/>
      <c r="V19" s="21">
        <f t="shared" si="9"/>
        <v>0.31</v>
      </c>
      <c r="W19" s="2"/>
      <c r="X19" s="2">
        <f t="shared" si="10"/>
        <v>-60760</v>
      </c>
      <c r="Y19" s="2"/>
      <c r="Z19" s="21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19230.080000000002</v>
      </c>
      <c r="E20" s="2"/>
      <c r="F20" s="21">
        <f t="shared" si="4"/>
        <v>0.29370900233438885</v>
      </c>
      <c r="G20" s="2"/>
      <c r="H20" s="2"/>
      <c r="I20" s="2"/>
      <c r="J20" s="21">
        <f t="shared" si="5"/>
        <v>0</v>
      </c>
      <c r="K20" s="2"/>
      <c r="L20" s="2">
        <f t="shared" si="6"/>
        <v>19230.080000000002</v>
      </c>
      <c r="M20" s="2"/>
      <c r="N20" s="21">
        <f t="shared" si="7"/>
        <v>0</v>
      </c>
      <c r="O20" s="11"/>
      <c r="P20" s="2">
        <v>39004.36</v>
      </c>
      <c r="Q20" s="2"/>
      <c r="R20" s="21">
        <f t="shared" si="8"/>
        <v>0.34614270187780949</v>
      </c>
      <c r="S20" s="2"/>
      <c r="T20" s="2"/>
      <c r="U20" s="2"/>
      <c r="V20" s="21">
        <f t="shared" si="9"/>
        <v>0</v>
      </c>
      <c r="W20" s="2"/>
      <c r="X20" s="2">
        <f t="shared" si="10"/>
        <v>39004.36</v>
      </c>
      <c r="Y20" s="2"/>
      <c r="Z20" s="21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D12-D18</f>
        <v>46243.159999999996</v>
      </c>
      <c r="E22" s="14"/>
      <c r="F22" s="20">
        <f>IF(D$12=0,0,D22/D$12)</f>
        <v>0.7062909976656111</v>
      </c>
      <c r="G22" s="14"/>
      <c r="H22" s="22">
        <f>H12-H18</f>
        <v>66240</v>
      </c>
      <c r="I22" s="14"/>
      <c r="J22" s="20">
        <f>IF(H$12=0,0,H22/H$12)</f>
        <v>0.69</v>
      </c>
      <c r="K22" s="15"/>
      <c r="L22" s="22">
        <f>+D22-H22</f>
        <v>-19996.840000000004</v>
      </c>
      <c r="M22" s="15"/>
      <c r="N22" s="20">
        <f>IF(H22=0,0,L22/H22)</f>
        <v>-0.30188466183574886</v>
      </c>
      <c r="O22" s="28"/>
      <c r="P22" s="22">
        <f>P12-P18</f>
        <v>73678.53</v>
      </c>
      <c r="Q22" s="14"/>
      <c r="R22" s="20">
        <f>IF(P$12=0,0,P22/P$12)</f>
        <v>0.65385729812219051</v>
      </c>
      <c r="S22" s="14"/>
      <c r="T22" s="22">
        <f>T12-T18</f>
        <v>135240</v>
      </c>
      <c r="U22" s="14"/>
      <c r="V22" s="20">
        <f>IF(T$12=0,0,T22/T$12)</f>
        <v>0.69</v>
      </c>
      <c r="W22" s="15"/>
      <c r="X22" s="22">
        <f>+P22-T22</f>
        <v>-61561.47</v>
      </c>
      <c r="Y22" s="15"/>
      <c r="Z22" s="20">
        <f>IF(T22=0,0,X22/T22)</f>
        <v>-0.4552016415261757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19">
        <f>SUM(OSRRefD22x_0)</f>
        <v>52101.979999999996</v>
      </c>
      <c r="E24" s="19"/>
      <c r="F24" s="34">
        <f t="shared" ref="F24:F34" si="12">IF(D$12=0,0,D24/D$12)</f>
        <v>0.7957751899860156</v>
      </c>
      <c r="G24" s="19"/>
      <c r="H24" s="19">
        <f>SUM(OSRRefH22x_0)</f>
        <v>68777.037323638477</v>
      </c>
      <c r="I24" s="19"/>
      <c r="J24" s="34">
        <f t="shared" ref="J24:J34" si="13">IF(H$12=0,0,H24/H$12)</f>
        <v>0.71642747212123414</v>
      </c>
      <c r="K24" s="4"/>
      <c r="L24" s="19">
        <f t="shared" ref="L24:L34" si="14">+D24-H24</f>
        <v>-16675.057323638481</v>
      </c>
      <c r="M24" s="4"/>
      <c r="N24" s="34">
        <f t="shared" ref="N24:N34" si="15">IF(H24=0,0,L24/H24)</f>
        <v>-0.24245093962352621</v>
      </c>
      <c r="O24" s="10"/>
      <c r="P24" s="19">
        <f>SUM(OSRRefP22x_0)</f>
        <v>107142.12999999998</v>
      </c>
      <c r="Q24" s="19"/>
      <c r="R24" s="34">
        <f t="shared" ref="R24:R34" si="16">IF(P$12=0,0,P24/P$12)</f>
        <v>0.95082873717562599</v>
      </c>
      <c r="S24" s="19"/>
      <c r="T24" s="19">
        <f>SUM(OSRRefT22x_0)</f>
        <v>138468.35738379226</v>
      </c>
      <c r="U24" s="19"/>
      <c r="V24" s="34">
        <f t="shared" ref="V24:V34" si="17">IF(T$12=0,0,T24/T$12)</f>
        <v>0.70647121114179723</v>
      </c>
      <c r="W24" s="4"/>
      <c r="X24" s="19">
        <f t="shared" ref="X24:X34" si="18">+P24-T24</f>
        <v>-31326.227383792284</v>
      </c>
      <c r="Y24" s="4"/>
      <c r="Z24" s="34">
        <f t="shared" ref="Z24:Z34" si="19">IF(T24=0,0,X24/T24)</f>
        <v>-0.22623383403737138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12581.25</v>
      </c>
      <c r="E25" s="1"/>
      <c r="F25" s="5">
        <f t="shared" si="12"/>
        <v>0.19215865901855475</v>
      </c>
      <c r="G25" s="1"/>
      <c r="H25" s="1">
        <f>SUM(OSRRefH22_0x_0)</f>
        <v>15060.428746715392</v>
      </c>
      <c r="I25" s="1"/>
      <c r="J25" s="5">
        <f t="shared" si="13"/>
        <v>0.15687946611161865</v>
      </c>
      <c r="K25" s="1"/>
      <c r="L25" s="1">
        <f t="shared" si="14"/>
        <v>-2479.1787467153918</v>
      </c>
      <c r="M25" s="1"/>
      <c r="N25" s="5">
        <f t="shared" si="15"/>
        <v>-0.16461541622817935</v>
      </c>
      <c r="O25" s="13"/>
      <c r="P25" s="1">
        <f>SUM(OSRRefP22_0x_0)</f>
        <v>26473.19</v>
      </c>
      <c r="Q25" s="1"/>
      <c r="R25" s="5">
        <f t="shared" si="16"/>
        <v>0.23493531271695284</v>
      </c>
      <c r="S25" s="1"/>
      <c r="T25" s="1">
        <f>SUM(OSRRefT22_0x_0)</f>
        <v>30174.154960715387</v>
      </c>
      <c r="U25" s="1"/>
      <c r="V25" s="5">
        <f t="shared" si="17"/>
        <v>0.15394977020773157</v>
      </c>
      <c r="W25" s="1"/>
      <c r="X25" s="1">
        <f t="shared" si="18"/>
        <v>-3700.9649607153879</v>
      </c>
      <c r="Y25" s="1"/>
      <c r="Z25" s="5">
        <f t="shared" si="19"/>
        <v>-0.12265347498658313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2629.07</v>
      </c>
      <c r="E26" s="2"/>
      <c r="F26" s="7">
        <f t="shared" si="12"/>
        <v>4.0154878542745104E-2</v>
      </c>
      <c r="G26" s="2"/>
      <c r="H26" s="6">
        <v>3816.0189810230795</v>
      </c>
      <c r="I26" s="2"/>
      <c r="J26" s="7">
        <f t="shared" si="13"/>
        <v>3.975019771899041E-2</v>
      </c>
      <c r="K26" s="2"/>
      <c r="L26" s="6">
        <f t="shared" si="14"/>
        <v>-1186.9489810230793</v>
      </c>
      <c r="M26" s="2"/>
      <c r="N26" s="7">
        <f t="shared" si="15"/>
        <v>-0.31104378330551619</v>
      </c>
      <c r="O26" s="11"/>
      <c r="P26" s="6">
        <v>4973.53</v>
      </c>
      <c r="Q26" s="2"/>
      <c r="R26" s="7">
        <f t="shared" si="16"/>
        <v>4.4137401871748229E-2</v>
      </c>
      <c r="S26" s="2"/>
      <c r="T26" s="6">
        <v>7268.5663211769297</v>
      </c>
      <c r="U26" s="2"/>
      <c r="V26" s="7">
        <f t="shared" si="17"/>
        <v>3.708452204682107E-2</v>
      </c>
      <c r="W26" s="2"/>
      <c r="X26" s="6">
        <f t="shared" si="18"/>
        <v>-2295.03632117693</v>
      </c>
      <c r="Y26" s="2"/>
      <c r="Z26" s="7">
        <f t="shared" si="19"/>
        <v>-0.31574814341176938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1118.72</v>
      </c>
      <c r="E27" s="2"/>
      <c r="F27" s="7">
        <f t="shared" si="12"/>
        <v>1.7086675411206165E-2</v>
      </c>
      <c r="G27" s="2"/>
      <c r="H27" s="6">
        <v>1943.9982206153802</v>
      </c>
      <c r="I27" s="2"/>
      <c r="J27" s="7">
        <f t="shared" si="13"/>
        <v>2.0249981464743542E-2</v>
      </c>
      <c r="K27" s="2"/>
      <c r="L27" s="6">
        <f t="shared" si="14"/>
        <v>-825.27822061538018</v>
      </c>
      <c r="M27" s="2"/>
      <c r="N27" s="7">
        <f t="shared" si="15"/>
        <v>-0.4245262222277833</v>
      </c>
      <c r="O27" s="11"/>
      <c r="P27" s="6">
        <v>2109.91</v>
      </c>
      <c r="Q27" s="2"/>
      <c r="R27" s="7">
        <f t="shared" si="16"/>
        <v>1.8724315643661605E-2</v>
      </c>
      <c r="S27" s="2"/>
      <c r="T27" s="6">
        <v>3694.4076913846102</v>
      </c>
      <c r="U27" s="2"/>
      <c r="V27" s="7">
        <f t="shared" si="17"/>
        <v>1.8849018833594949E-2</v>
      </c>
      <c r="W27" s="2"/>
      <c r="X27" s="6">
        <f t="shared" si="18"/>
        <v>-1584.4976913846103</v>
      </c>
      <c r="Y27" s="2"/>
      <c r="Z27" s="7">
        <f t="shared" si="19"/>
        <v>-0.42889085984735043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5334.36</v>
      </c>
      <c r="E28" s="2"/>
      <c r="F28" s="7">
        <f t="shared" si="12"/>
        <v>8.1473896816470354E-2</v>
      </c>
      <c r="G28" s="2"/>
      <c r="H28" s="6">
        <v>5411.0384615384601</v>
      </c>
      <c r="I28" s="2"/>
      <c r="J28" s="7">
        <f t="shared" si="13"/>
        <v>5.6364983974358962E-2</v>
      </c>
      <c r="K28" s="2"/>
      <c r="L28" s="6">
        <f t="shared" si="14"/>
        <v>-76.678461538460397</v>
      </c>
      <c r="M28" s="2"/>
      <c r="N28" s="7">
        <f t="shared" si="15"/>
        <v>-1.4170747830289727E-2</v>
      </c>
      <c r="O28" s="11"/>
      <c r="P28" s="6">
        <v>10668.72</v>
      </c>
      <c r="Q28" s="2"/>
      <c r="R28" s="7">
        <f t="shared" si="16"/>
        <v>9.4679147828033161E-2</v>
      </c>
      <c r="S28" s="2"/>
      <c r="T28" s="6">
        <v>11050.19230769231</v>
      </c>
      <c r="U28" s="2"/>
      <c r="V28" s="7">
        <f t="shared" si="17"/>
        <v>5.6378532182103626E-2</v>
      </c>
      <c r="W28" s="2"/>
      <c r="X28" s="6">
        <f t="shared" si="18"/>
        <v>-381.47230769231101</v>
      </c>
      <c r="Y28" s="2"/>
      <c r="Z28" s="7">
        <f t="shared" si="19"/>
        <v>-3.4521779989906486E-2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79.900000000000006</v>
      </c>
      <c r="E29" s="2"/>
      <c r="F29" s="7">
        <f t="shared" si="12"/>
        <v>1.2203459000959783E-3</v>
      </c>
      <c r="G29" s="2"/>
      <c r="H29" s="6">
        <v>130.267922</v>
      </c>
      <c r="I29" s="2"/>
      <c r="J29" s="7">
        <f t="shared" si="13"/>
        <v>1.3569575208333333E-3</v>
      </c>
      <c r="K29" s="2"/>
      <c r="L29" s="6">
        <f t="shared" si="14"/>
        <v>-50.367921999999993</v>
      </c>
      <c r="M29" s="2"/>
      <c r="N29" s="7">
        <f t="shared" si="15"/>
        <v>-0.38664869468018376</v>
      </c>
      <c r="O29" s="11"/>
      <c r="P29" s="6">
        <v>150.83000000000001</v>
      </c>
      <c r="Q29" s="2"/>
      <c r="R29" s="7">
        <f t="shared" si="16"/>
        <v>1.3385350695212025E-3</v>
      </c>
      <c r="S29" s="2"/>
      <c r="T29" s="6">
        <v>247.563402</v>
      </c>
      <c r="U29" s="2"/>
      <c r="V29" s="7">
        <f t="shared" si="17"/>
        <v>1.263078581632653E-3</v>
      </c>
      <c r="W29" s="2"/>
      <c r="X29" s="6">
        <f t="shared" si="18"/>
        <v>-96.733401999999984</v>
      </c>
      <c r="Y29" s="2"/>
      <c r="Z29" s="7">
        <f t="shared" si="19"/>
        <v>-0.39074193204050406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1165.79</v>
      </c>
      <c r="E30" s="2"/>
      <c r="F30" s="7">
        <f t="shared" si="12"/>
        <v>1.780559507976083E-2</v>
      </c>
      <c r="G30" s="2"/>
      <c r="H30" s="6">
        <v>1244.75341538462</v>
      </c>
      <c r="I30" s="2"/>
      <c r="J30" s="7">
        <f t="shared" si="13"/>
        <v>1.2966181410256458E-2</v>
      </c>
      <c r="K30" s="2"/>
      <c r="L30" s="6">
        <f t="shared" si="14"/>
        <v>-78.963415384620021</v>
      </c>
      <c r="M30" s="2"/>
      <c r="N30" s="7">
        <f t="shared" si="15"/>
        <v>-6.3436994354597445E-2</v>
      </c>
      <c r="O30" s="11"/>
      <c r="P30" s="6">
        <v>2331.58</v>
      </c>
      <c r="Q30" s="2"/>
      <c r="R30" s="7">
        <f t="shared" si="16"/>
        <v>2.0691517585322845E-2</v>
      </c>
      <c r="S30" s="2"/>
      <c r="T30" s="6">
        <v>2800.6951846153902</v>
      </c>
      <c r="U30" s="2"/>
      <c r="V30" s="7">
        <f t="shared" si="17"/>
        <v>1.4289261145996889E-2</v>
      </c>
      <c r="W30" s="2"/>
      <c r="X30" s="6">
        <f t="shared" si="18"/>
        <v>-469.11518461539026</v>
      </c>
      <c r="Y30" s="2"/>
      <c r="Z30" s="7">
        <f t="shared" si="19"/>
        <v>-0.16749955053741852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955.42</v>
      </c>
      <c r="E32" s="2"/>
      <c r="F32" s="7">
        <f t="shared" si="12"/>
        <v>1.4592526656692108E-2</v>
      </c>
      <c r="G32" s="2"/>
      <c r="H32" s="6">
        <v>1011.26033846154</v>
      </c>
      <c r="I32" s="2"/>
      <c r="J32" s="7">
        <f t="shared" si="13"/>
        <v>1.0533961858974374E-2</v>
      </c>
      <c r="K32" s="2"/>
      <c r="L32" s="6">
        <f t="shared" si="14"/>
        <v>-55.84033846154</v>
      </c>
      <c r="M32" s="2"/>
      <c r="N32" s="7">
        <f t="shared" si="15"/>
        <v>-5.5218558800092514E-2</v>
      </c>
      <c r="O32" s="11"/>
      <c r="P32" s="6">
        <v>2387.4899999999998</v>
      </c>
      <c r="Q32" s="2"/>
      <c r="R32" s="7">
        <f t="shared" si="16"/>
        <v>2.1187688743162337E-2</v>
      </c>
      <c r="S32" s="2"/>
      <c r="T32" s="6">
        <v>2256.2292615384599</v>
      </c>
      <c r="U32" s="2"/>
      <c r="V32" s="7">
        <f t="shared" si="17"/>
        <v>1.151137378335949E-2</v>
      </c>
      <c r="W32" s="2"/>
      <c r="X32" s="6">
        <f t="shared" si="18"/>
        <v>131.26073846153986</v>
      </c>
      <c r="Y32" s="2"/>
      <c r="Z32" s="7">
        <f t="shared" si="19"/>
        <v>5.8177039319150047E-2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802.42</v>
      </c>
      <c r="E33" s="2"/>
      <c r="F33" s="7">
        <f t="shared" si="12"/>
        <v>1.2255694082040235E-2</v>
      </c>
      <c r="G33" s="2"/>
      <c r="H33" s="6">
        <v>1503.0914076923102</v>
      </c>
      <c r="I33" s="2"/>
      <c r="J33" s="7">
        <f t="shared" si="13"/>
        <v>1.5657202163461566E-2</v>
      </c>
      <c r="K33" s="2"/>
      <c r="L33" s="6">
        <f t="shared" si="14"/>
        <v>-700.67140769231025</v>
      </c>
      <c r="M33" s="2"/>
      <c r="N33" s="7">
        <f t="shared" si="15"/>
        <v>-0.46615355799821123</v>
      </c>
      <c r="O33" s="11"/>
      <c r="P33" s="6">
        <v>2866.72</v>
      </c>
      <c r="Q33" s="2"/>
      <c r="R33" s="7">
        <f t="shared" si="16"/>
        <v>2.5440597059589079E-2</v>
      </c>
      <c r="S33" s="2"/>
      <c r="T33" s="6">
        <v>2856.5007923076901</v>
      </c>
      <c r="U33" s="2"/>
      <c r="V33" s="7">
        <f t="shared" si="17"/>
        <v>1.4573983634222909E-2</v>
      </c>
      <c r="W33" s="2"/>
      <c r="X33" s="6">
        <f t="shared" si="18"/>
        <v>10.219207692309737</v>
      </c>
      <c r="Y33" s="2"/>
      <c r="Z33" s="7">
        <f t="shared" si="19"/>
        <v>3.5775266437275918E-3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495.57</v>
      </c>
      <c r="E34" s="2"/>
      <c r="F34" s="7">
        <f t="shared" si="12"/>
        <v>7.5690465295439784E-3</v>
      </c>
      <c r="G34" s="2"/>
      <c r="H34" s="6"/>
      <c r="I34" s="2"/>
      <c r="J34" s="7">
        <f t="shared" si="13"/>
        <v>0</v>
      </c>
      <c r="K34" s="2"/>
      <c r="L34" s="6">
        <f t="shared" si="14"/>
        <v>495.57</v>
      </c>
      <c r="M34" s="2"/>
      <c r="N34" s="7">
        <f t="shared" si="15"/>
        <v>0</v>
      </c>
      <c r="O34" s="11"/>
      <c r="P34" s="6">
        <v>984.41</v>
      </c>
      <c r="Q34" s="2"/>
      <c r="R34" s="7">
        <f t="shared" si="16"/>
        <v>8.7361089159143854E-3</v>
      </c>
      <c r="S34" s="2"/>
      <c r="T34" s="6"/>
      <c r="U34" s="2"/>
      <c r="V34" s="7">
        <f t="shared" si="17"/>
        <v>0</v>
      </c>
      <c r="W34" s="2"/>
      <c r="X34" s="6">
        <f t="shared" si="18"/>
        <v>984.41</v>
      </c>
      <c r="Y34" s="2"/>
      <c r="Z34" s="7">
        <f t="shared" si="19"/>
        <v>0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34618.85</v>
      </c>
      <c r="E35" s="1"/>
      <c r="F35" s="5">
        <f t="shared" ref="F35:F45" si="20">IF(D$12=0,0,D35/D$12)</f>
        <v>0.52874808089533987</v>
      </c>
      <c r="G35" s="1"/>
      <c r="H35" s="1">
        <f>SUM(OSRRefH22_1x_0)</f>
        <v>46303.178576923099</v>
      </c>
      <c r="I35" s="1"/>
      <c r="J35" s="5">
        <f t="shared" ref="J35:J45" si="21">IF(H$12=0,0,H35/H$12)</f>
        <v>0.48232477684294894</v>
      </c>
      <c r="K35" s="1"/>
      <c r="L35" s="1">
        <f t="shared" ref="L35:L45" si="22">+D35-H35</f>
        <v>-11684.328576923101</v>
      </c>
      <c r="M35" s="1"/>
      <c r="N35" s="5">
        <f t="shared" ref="N35:N45" si="23">IF(H35=0,0,L35/H35)</f>
        <v>-0.252343984495838</v>
      </c>
      <c r="O35" s="13"/>
      <c r="P35" s="1">
        <f>SUM(OSRRefP22_1x_0)</f>
        <v>69455.839999999997</v>
      </c>
      <c r="Q35" s="1"/>
      <c r="R35" s="5">
        <f t="shared" ref="R35:R45" si="24">IF(P$12=0,0,P35/P$12)</f>
        <v>0.61638319712957301</v>
      </c>
      <c r="S35" s="1"/>
      <c r="T35" s="1">
        <f>SUM(OSRRefT22_1x_0)</f>
        <v>86990.8724230769</v>
      </c>
      <c r="U35" s="1"/>
      <c r="V35" s="5">
        <f t="shared" ref="V35:V45" si="25">IF(T$12=0,0,T35/T$12)</f>
        <v>0.44383098175039237</v>
      </c>
      <c r="W35" s="1"/>
      <c r="X35" s="1">
        <f t="shared" ref="X35:X45" si="26">+P35-T35</f>
        <v>-17535.032423076904</v>
      </c>
      <c r="Y35" s="1"/>
      <c r="Z35" s="5">
        <f t="shared" ref="Z35:Z45" si="27">IF(T35=0,0,X35/T35)</f>
        <v>-0.20157324480890271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14470.02</v>
      </c>
      <c r="E37" s="2"/>
      <c r="F37" s="7">
        <f t="shared" si="20"/>
        <v>0.22100662805139934</v>
      </c>
      <c r="G37" s="2"/>
      <c r="H37" s="6">
        <v>13165.9670769231</v>
      </c>
      <c r="I37" s="2"/>
      <c r="J37" s="7">
        <f t="shared" si="21"/>
        <v>0.13714549038461563</v>
      </c>
      <c r="K37" s="2"/>
      <c r="L37" s="6">
        <f t="shared" si="22"/>
        <v>1304.0529230769007</v>
      </c>
      <c r="M37" s="2"/>
      <c r="N37" s="7">
        <f t="shared" si="23"/>
        <v>9.9047256875083964E-2</v>
      </c>
      <c r="O37" s="11"/>
      <c r="P37" s="6">
        <v>30270.92</v>
      </c>
      <c r="Q37" s="2"/>
      <c r="R37" s="7">
        <f t="shared" si="24"/>
        <v>0.26863812243367202</v>
      </c>
      <c r="S37" s="2"/>
      <c r="T37" s="6">
        <v>29623.425923076902</v>
      </c>
      <c r="U37" s="2"/>
      <c r="V37" s="7">
        <f t="shared" si="25"/>
        <v>0.15113992817896379</v>
      </c>
      <c r="W37" s="2"/>
      <c r="X37" s="6">
        <f t="shared" si="26"/>
        <v>647.49407692309615</v>
      </c>
      <c r="Y37" s="2"/>
      <c r="Z37" s="7">
        <f t="shared" si="27"/>
        <v>2.1857501512635401E-2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>
        <v>6301.86</v>
      </c>
      <c r="E39" s="2"/>
      <c r="F39" s="7">
        <f t="shared" si="20"/>
        <v>9.6250926332651324E-2</v>
      </c>
      <c r="G39" s="2"/>
      <c r="H39" s="6">
        <v>33137.211499999998</v>
      </c>
      <c r="I39" s="2"/>
      <c r="J39" s="7">
        <f t="shared" si="21"/>
        <v>0.34517928645833329</v>
      </c>
      <c r="K39" s="2"/>
      <c r="L39" s="6">
        <f t="shared" si="22"/>
        <v>-26835.351499999997</v>
      </c>
      <c r="M39" s="2"/>
      <c r="N39" s="7">
        <f t="shared" si="23"/>
        <v>-0.80982527754334421</v>
      </c>
      <c r="O39" s="11"/>
      <c r="P39" s="6">
        <v>10702.51</v>
      </c>
      <c r="Q39" s="2"/>
      <c r="R39" s="7">
        <f t="shared" si="24"/>
        <v>9.497901589140996E-2</v>
      </c>
      <c r="S39" s="2"/>
      <c r="T39" s="6">
        <v>57367.446499999998</v>
      </c>
      <c r="U39" s="2"/>
      <c r="V39" s="7">
        <f t="shared" si="25"/>
        <v>0.29269105357142855</v>
      </c>
      <c r="W39" s="2"/>
      <c r="X39" s="6">
        <f t="shared" si="26"/>
        <v>-46664.936499999996</v>
      </c>
      <c r="Y39" s="2"/>
      <c r="Z39" s="7">
        <f t="shared" si="27"/>
        <v>-0.81343931701753536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7483.58</v>
      </c>
      <c r="E40" s="2"/>
      <c r="F40" s="7">
        <f t="shared" si="20"/>
        <v>0.11429982692165533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7483.58</v>
      </c>
      <c r="M40" s="2"/>
      <c r="N40" s="7">
        <f t="shared" si="23"/>
        <v>0</v>
      </c>
      <c r="O40" s="11"/>
      <c r="P40" s="6">
        <v>13678.83</v>
      </c>
      <c r="Q40" s="2"/>
      <c r="R40" s="7">
        <f t="shared" si="24"/>
        <v>0.12139225396153755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13678.83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>
        <v>329.88</v>
      </c>
      <c r="Q41" s="2"/>
      <c r="R41" s="7">
        <f t="shared" si="24"/>
        <v>2.9275074503325215E-3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329.88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4762.6499999999996</v>
      </c>
      <c r="E42" s="2"/>
      <c r="F42" s="7">
        <f t="shared" si="20"/>
        <v>7.2741932429187861E-2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4762.6499999999996</v>
      </c>
      <c r="M42" s="2"/>
      <c r="N42" s="7">
        <f t="shared" si="23"/>
        <v>0</v>
      </c>
      <c r="O42" s="11"/>
      <c r="P42" s="6">
        <v>12187.54</v>
      </c>
      <c r="Q42" s="2"/>
      <c r="R42" s="7">
        <f t="shared" si="24"/>
        <v>0.10815785786111805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12187.54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>
        <v>1600.74</v>
      </c>
      <c r="E43" s="2"/>
      <c r="F43" s="7">
        <f t="shared" si="20"/>
        <v>2.444876716044601E-2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1600.74</v>
      </c>
      <c r="M43" s="2"/>
      <c r="N43" s="7">
        <f t="shared" si="23"/>
        <v>0</v>
      </c>
      <c r="O43" s="11"/>
      <c r="P43" s="6">
        <v>2286.16</v>
      </c>
      <c r="Q43" s="2"/>
      <c r="R43" s="7">
        <f t="shared" si="24"/>
        <v>2.0288439531502962E-2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2286.16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0</v>
      </c>
      <c r="E46" s="1"/>
      <c r="F46" s="5">
        <f t="shared" ref="F46:F60" si="28">IF(D$12=0,0,D46/D$12)</f>
        <v>0</v>
      </c>
      <c r="G46" s="1"/>
      <c r="H46" s="1">
        <f>SUM(OSRRefH22_2x_0)</f>
        <v>200</v>
      </c>
      <c r="I46" s="1"/>
      <c r="J46" s="5">
        <f t="shared" ref="J46:J60" si="29">IF(H$12=0,0,H46/H$12)</f>
        <v>2.0833333333333333E-3</v>
      </c>
      <c r="K46" s="1"/>
      <c r="L46" s="1">
        <f t="shared" ref="L46:L60" si="30">+D46-H46</f>
        <v>-200</v>
      </c>
      <c r="M46" s="1"/>
      <c r="N46" s="5">
        <f t="shared" ref="N46:N60" si="31">IF(H46=0,0,L46/H46)</f>
        <v>-1</v>
      </c>
      <c r="O46" s="13"/>
      <c r="P46" s="1">
        <f>SUM(OSRRefP22_2x_0)</f>
        <v>12.52</v>
      </c>
      <c r="Q46" s="1"/>
      <c r="R46" s="5">
        <f t="shared" ref="R46:R60" si="32">IF(P$12=0,0,P46/P$12)</f>
        <v>1.1110826142283003E-4</v>
      </c>
      <c r="S46" s="1"/>
      <c r="T46" s="1">
        <f>SUM(OSRRefT22_2x_0)</f>
        <v>700</v>
      </c>
      <c r="U46" s="1"/>
      <c r="V46" s="5">
        <f t="shared" ref="V46:V60" si="33">IF(T$12=0,0,T46/T$12)</f>
        <v>3.5714285714285713E-3</v>
      </c>
      <c r="W46" s="1"/>
      <c r="X46" s="1">
        <f t="shared" ref="X46:X60" si="34">+P46-T46</f>
        <v>-687.48</v>
      </c>
      <c r="Y46" s="1"/>
      <c r="Z46" s="5">
        <f t="shared" ref="Z46:Z60" si="35">IF(T46=0,0,X46/T46)</f>
        <v>-0.98211428571428572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28"/>
        <v>0</v>
      </c>
      <c r="G47" s="2"/>
      <c r="H47" s="6">
        <v>200</v>
      </c>
      <c r="I47" s="2"/>
      <c r="J47" s="7">
        <f t="shared" si="29"/>
        <v>2.0833333333333333E-3</v>
      </c>
      <c r="K47" s="2"/>
      <c r="L47" s="6">
        <f t="shared" si="30"/>
        <v>-200</v>
      </c>
      <c r="M47" s="2"/>
      <c r="N47" s="7">
        <f t="shared" si="31"/>
        <v>-1</v>
      </c>
      <c r="O47" s="11"/>
      <c r="P47" s="6">
        <v>12.52</v>
      </c>
      <c r="Q47" s="2"/>
      <c r="R47" s="7">
        <f t="shared" si="32"/>
        <v>1.1110826142283003E-4</v>
      </c>
      <c r="S47" s="2"/>
      <c r="T47" s="6">
        <v>700</v>
      </c>
      <c r="U47" s="2"/>
      <c r="V47" s="7">
        <f t="shared" si="33"/>
        <v>3.5714285714285713E-3</v>
      </c>
      <c r="W47" s="2"/>
      <c r="X47" s="6">
        <f t="shared" si="34"/>
        <v>-687.48</v>
      </c>
      <c r="Y47" s="2"/>
      <c r="Z47" s="7">
        <f t="shared" si="35"/>
        <v>-0.98211428571428572</v>
      </c>
    </row>
    <row r="48" spans="1:26" s="26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0.24</v>
      </c>
      <c r="E48" s="1"/>
      <c r="F48" s="5">
        <f t="shared" si="28"/>
        <v>3.6656197249441144E-6</v>
      </c>
      <c r="G48" s="1"/>
      <c r="H48" s="1">
        <f>SUM(OSRRefH22_3x_0)</f>
        <v>-1</v>
      </c>
      <c r="I48" s="1"/>
      <c r="J48" s="5">
        <f t="shared" si="29"/>
        <v>-1.0416666666666666E-5</v>
      </c>
      <c r="K48" s="1"/>
      <c r="L48" s="1">
        <f t="shared" si="30"/>
        <v>1.24</v>
      </c>
      <c r="M48" s="1"/>
      <c r="N48" s="5">
        <f t="shared" si="31"/>
        <v>-1.24</v>
      </c>
      <c r="O48" s="13"/>
      <c r="P48" s="1">
        <f>SUM(OSRRefP22_3x_0)</f>
        <v>0.73</v>
      </c>
      <c r="Q48" s="1"/>
      <c r="R48" s="5">
        <f t="shared" si="32"/>
        <v>6.4783570957400895E-6</v>
      </c>
      <c r="S48" s="1"/>
      <c r="T48" s="1">
        <f>SUM(OSRRefT22_3x_0)</f>
        <v>-2</v>
      </c>
      <c r="U48" s="1"/>
      <c r="V48" s="5">
        <f t="shared" si="33"/>
        <v>-1.0204081632653061E-5</v>
      </c>
      <c r="W48" s="1"/>
      <c r="X48" s="1">
        <f t="shared" si="34"/>
        <v>2.73</v>
      </c>
      <c r="Y48" s="1"/>
      <c r="Z48" s="5">
        <f t="shared" si="35"/>
        <v>-1.365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0.24</v>
      </c>
      <c r="E49" s="2"/>
      <c r="F49" s="7">
        <f t="shared" si="28"/>
        <v>3.6656197249441144E-6</v>
      </c>
      <c r="G49" s="2"/>
      <c r="H49" s="6">
        <v>-1</v>
      </c>
      <c r="I49" s="2"/>
      <c r="J49" s="7">
        <f t="shared" si="29"/>
        <v>-1.0416666666666666E-5</v>
      </c>
      <c r="K49" s="2"/>
      <c r="L49" s="6">
        <f t="shared" si="30"/>
        <v>1.24</v>
      </c>
      <c r="M49" s="2"/>
      <c r="N49" s="7">
        <f t="shared" si="31"/>
        <v>-1.24</v>
      </c>
      <c r="O49" s="11"/>
      <c r="P49" s="6">
        <v>0.73</v>
      </c>
      <c r="Q49" s="2"/>
      <c r="R49" s="7">
        <f t="shared" si="32"/>
        <v>6.4783570957400895E-6</v>
      </c>
      <c r="S49" s="2"/>
      <c r="T49" s="6">
        <v>-2</v>
      </c>
      <c r="U49" s="2"/>
      <c r="V49" s="7">
        <f t="shared" si="33"/>
        <v>-1.0204081632653061E-5</v>
      </c>
      <c r="W49" s="2"/>
      <c r="X49" s="6">
        <f t="shared" si="34"/>
        <v>2.73</v>
      </c>
      <c r="Y49" s="2"/>
      <c r="Z49" s="7">
        <f t="shared" si="35"/>
        <v>-1.365</v>
      </c>
    </row>
    <row r="50" spans="1:26" s="26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445.95</v>
      </c>
      <c r="E50" s="1"/>
      <c r="F50" s="5">
        <f t="shared" si="28"/>
        <v>6.8111796514117827E-3</v>
      </c>
      <c r="G50" s="1"/>
      <c r="H50" s="1">
        <f>SUM(OSRRefH22_4x_0)</f>
        <v>800</v>
      </c>
      <c r="I50" s="1"/>
      <c r="J50" s="5">
        <f t="shared" si="29"/>
        <v>8.3333333333333332E-3</v>
      </c>
      <c r="K50" s="1"/>
      <c r="L50" s="1">
        <f t="shared" si="30"/>
        <v>-354.05</v>
      </c>
      <c r="M50" s="1"/>
      <c r="N50" s="5">
        <f t="shared" si="31"/>
        <v>-0.44256250000000003</v>
      </c>
      <c r="O50" s="13"/>
      <c r="P50" s="1">
        <f>SUM(OSRRefP22_4x_0)</f>
        <v>975.7</v>
      </c>
      <c r="Q50" s="1"/>
      <c r="R50" s="5">
        <f t="shared" si="32"/>
        <v>8.658812353854255E-3</v>
      </c>
      <c r="S50" s="1"/>
      <c r="T50" s="1">
        <f>SUM(OSRRefT22_4x_0)</f>
        <v>1650</v>
      </c>
      <c r="U50" s="1"/>
      <c r="V50" s="5">
        <f t="shared" si="33"/>
        <v>8.4183673469387758E-3</v>
      </c>
      <c r="W50" s="1"/>
      <c r="X50" s="1">
        <f t="shared" si="34"/>
        <v>-674.3</v>
      </c>
      <c r="Y50" s="1"/>
      <c r="Z50" s="5">
        <f t="shared" si="35"/>
        <v>-0.40866666666666662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445.95</v>
      </c>
      <c r="E51" s="2"/>
      <c r="F51" s="7">
        <f t="shared" si="28"/>
        <v>6.8111796514117827E-3</v>
      </c>
      <c r="G51" s="2"/>
      <c r="H51" s="6">
        <v>800</v>
      </c>
      <c r="I51" s="2"/>
      <c r="J51" s="7">
        <f t="shared" si="29"/>
        <v>8.3333333333333332E-3</v>
      </c>
      <c r="K51" s="2"/>
      <c r="L51" s="6">
        <f t="shared" si="30"/>
        <v>-354.05</v>
      </c>
      <c r="M51" s="2"/>
      <c r="N51" s="7">
        <f t="shared" si="31"/>
        <v>-0.44256250000000003</v>
      </c>
      <c r="O51" s="11"/>
      <c r="P51" s="6">
        <v>975.7</v>
      </c>
      <c r="Q51" s="2"/>
      <c r="R51" s="7">
        <f t="shared" si="32"/>
        <v>8.658812353854255E-3</v>
      </c>
      <c r="S51" s="2"/>
      <c r="T51" s="6">
        <v>1650</v>
      </c>
      <c r="U51" s="2"/>
      <c r="V51" s="7">
        <f t="shared" si="33"/>
        <v>8.4183673469387758E-3</v>
      </c>
      <c r="W51" s="2"/>
      <c r="X51" s="6">
        <f t="shared" si="34"/>
        <v>-674.3</v>
      </c>
      <c r="Y51" s="2"/>
      <c r="Z51" s="7">
        <f t="shared" si="35"/>
        <v>-0.40866666666666662</v>
      </c>
    </row>
    <row r="52" spans="1:26" s="26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297.99</v>
      </c>
      <c r="E52" s="1"/>
      <c r="F52" s="5">
        <f t="shared" si="28"/>
        <v>4.5513250909837363E-3</v>
      </c>
      <c r="G52" s="1"/>
      <c r="H52" s="1">
        <f>SUM(OSRRefH22_5x_0)</f>
        <v>298</v>
      </c>
      <c r="I52" s="1"/>
      <c r="J52" s="5">
        <f t="shared" si="29"/>
        <v>3.1041666666666665E-3</v>
      </c>
      <c r="K52" s="1"/>
      <c r="L52" s="1">
        <f t="shared" si="30"/>
        <v>-9.9999999999909051E-3</v>
      </c>
      <c r="M52" s="1"/>
      <c r="N52" s="5">
        <f t="shared" si="31"/>
        <v>-3.3557046979835255E-5</v>
      </c>
      <c r="O52" s="13"/>
      <c r="P52" s="1">
        <f>SUM(OSRRefP22_5x_0)</f>
        <v>595.98</v>
      </c>
      <c r="Q52" s="1"/>
      <c r="R52" s="5">
        <f t="shared" si="32"/>
        <v>5.2890017286564093E-3</v>
      </c>
      <c r="S52" s="1"/>
      <c r="T52" s="1">
        <f>SUM(OSRRefT22_5x_0)</f>
        <v>596</v>
      </c>
      <c r="U52" s="1"/>
      <c r="V52" s="5">
        <f t="shared" si="33"/>
        <v>3.0408163265306124E-3</v>
      </c>
      <c r="W52" s="1"/>
      <c r="X52" s="1">
        <f t="shared" si="34"/>
        <v>-1.999999999998181E-2</v>
      </c>
      <c r="Y52" s="1"/>
      <c r="Z52" s="5">
        <f t="shared" si="35"/>
        <v>-3.3557046979835255E-5</v>
      </c>
    </row>
    <row r="53" spans="1:26" s="24" customFormat="1" hidden="1" outlineLevel="2" x14ac:dyDescent="0.25">
      <c r="A53" s="27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297.99</v>
      </c>
      <c r="E53" s="2"/>
      <c r="F53" s="7">
        <f t="shared" si="28"/>
        <v>4.5513250909837363E-3</v>
      </c>
      <c r="G53" s="2"/>
      <c r="H53" s="6">
        <v>298</v>
      </c>
      <c r="I53" s="2"/>
      <c r="J53" s="7">
        <f t="shared" si="29"/>
        <v>3.1041666666666665E-3</v>
      </c>
      <c r="K53" s="2"/>
      <c r="L53" s="6">
        <f t="shared" si="30"/>
        <v>-9.9999999999909051E-3</v>
      </c>
      <c r="M53" s="2"/>
      <c r="N53" s="7">
        <f t="shared" si="31"/>
        <v>-3.3557046979835255E-5</v>
      </c>
      <c r="O53" s="11"/>
      <c r="P53" s="6">
        <v>595.98</v>
      </c>
      <c r="Q53" s="2"/>
      <c r="R53" s="7">
        <f t="shared" si="32"/>
        <v>5.2890017286564093E-3</v>
      </c>
      <c r="S53" s="2"/>
      <c r="T53" s="6">
        <v>596</v>
      </c>
      <c r="U53" s="2"/>
      <c r="V53" s="7">
        <f t="shared" si="33"/>
        <v>3.0408163265306124E-3</v>
      </c>
      <c r="W53" s="2"/>
      <c r="X53" s="6">
        <f t="shared" si="34"/>
        <v>-1.999999999998181E-2</v>
      </c>
      <c r="Y53" s="2"/>
      <c r="Z53" s="7">
        <f t="shared" si="35"/>
        <v>-3.3557046979835255E-5</v>
      </c>
    </row>
    <row r="54" spans="1:26" s="26" customFormat="1" outlineLevel="1" collapsed="1" x14ac:dyDescent="0.25">
      <c r="A54" s="25"/>
      <c r="B54" s="13" t="str">
        <f>CONCATENATE("     ","Equipment Rental                                  ")</f>
        <v xml:space="preserve">     Equipment Rental                                  </v>
      </c>
      <c r="C54" s="13"/>
      <c r="D54" s="1">
        <f>SUM(OSRRefD22_6x_0)</f>
        <v>24.97</v>
      </c>
      <c r="E54" s="1"/>
      <c r="F54" s="5">
        <f t="shared" si="28"/>
        <v>3.813771855493939E-4</v>
      </c>
      <c r="G54" s="1"/>
      <c r="H54" s="1">
        <f>SUM(OSRRefH22_6x_0)</f>
        <v>200</v>
      </c>
      <c r="I54" s="1"/>
      <c r="J54" s="5">
        <f t="shared" si="29"/>
        <v>2.0833333333333333E-3</v>
      </c>
      <c r="K54" s="1"/>
      <c r="L54" s="1">
        <f t="shared" si="30"/>
        <v>-175.03</v>
      </c>
      <c r="M54" s="1"/>
      <c r="N54" s="5">
        <f t="shared" si="31"/>
        <v>-0.87514999999999998</v>
      </c>
      <c r="O54" s="13"/>
      <c r="P54" s="1">
        <f>SUM(OSRRefP22_6x_0)</f>
        <v>24.97</v>
      </c>
      <c r="Q54" s="1"/>
      <c r="R54" s="5">
        <f t="shared" si="32"/>
        <v>2.2159531052141102E-4</v>
      </c>
      <c r="S54" s="1"/>
      <c r="T54" s="1">
        <f>SUM(OSRRefT22_6x_0)</f>
        <v>200</v>
      </c>
      <c r="U54" s="1"/>
      <c r="V54" s="5">
        <f t="shared" si="33"/>
        <v>1.0204081632653062E-3</v>
      </c>
      <c r="W54" s="1"/>
      <c r="X54" s="1">
        <f t="shared" si="34"/>
        <v>-175.03</v>
      </c>
      <c r="Y54" s="1"/>
      <c r="Z54" s="5">
        <f t="shared" si="35"/>
        <v>-0.87514999999999998</v>
      </c>
    </row>
    <row r="55" spans="1:26" s="24" customFormat="1" hidden="1" outlineLevel="2" x14ac:dyDescent="0.25">
      <c r="A55" s="27"/>
      <c r="B55" s="11" t="str">
        <f>CONCATENATE("          ", "6351", " - ", "EQUIPMENT RENTAL")</f>
        <v xml:space="preserve">          6351 - EQUIPMENT RENTAL</v>
      </c>
      <c r="C55" s="11"/>
      <c r="D55" s="6">
        <v>24.97</v>
      </c>
      <c r="E55" s="2"/>
      <c r="F55" s="7">
        <f t="shared" si="28"/>
        <v>3.813771855493939E-4</v>
      </c>
      <c r="G55" s="2"/>
      <c r="H55" s="6">
        <v>200</v>
      </c>
      <c r="I55" s="2"/>
      <c r="J55" s="7">
        <f t="shared" si="29"/>
        <v>2.0833333333333333E-3</v>
      </c>
      <c r="K55" s="2"/>
      <c r="L55" s="6">
        <f t="shared" si="30"/>
        <v>-175.03</v>
      </c>
      <c r="M55" s="2"/>
      <c r="N55" s="7">
        <f t="shared" si="31"/>
        <v>-0.87514999999999998</v>
      </c>
      <c r="O55" s="11"/>
      <c r="P55" s="6">
        <v>24.97</v>
      </c>
      <c r="Q55" s="2"/>
      <c r="R55" s="7">
        <f t="shared" si="32"/>
        <v>2.2159531052141102E-4</v>
      </c>
      <c r="S55" s="2"/>
      <c r="T55" s="6">
        <v>200</v>
      </c>
      <c r="U55" s="2"/>
      <c r="V55" s="7">
        <f t="shared" si="33"/>
        <v>1.0204081632653062E-3</v>
      </c>
      <c r="W55" s="2"/>
      <c r="X55" s="6">
        <f t="shared" si="34"/>
        <v>-175.03</v>
      </c>
      <c r="Y55" s="2"/>
      <c r="Z55" s="7">
        <f t="shared" si="35"/>
        <v>-0.87514999999999998</v>
      </c>
    </row>
    <row r="56" spans="1:26" s="26" customFormat="1" outlineLevel="1" collapsed="1" x14ac:dyDescent="0.25">
      <c r="A56" s="25"/>
      <c r="B56" s="13" t="str">
        <f>CONCATENATE("     ","General                                           ")</f>
        <v xml:space="preserve">     General                                           </v>
      </c>
      <c r="C56" s="13"/>
      <c r="D56" s="1">
        <f>SUM(OSRRefD22_7x_0)</f>
        <v>108.98</v>
      </c>
      <c r="E56" s="1"/>
      <c r="F56" s="5">
        <f t="shared" si="28"/>
        <v>1.6644968234350401E-3</v>
      </c>
      <c r="G56" s="1"/>
      <c r="H56" s="1">
        <f>SUM(OSRRefH22_7x_0)</f>
        <v>50</v>
      </c>
      <c r="I56" s="1"/>
      <c r="J56" s="5">
        <f t="shared" si="29"/>
        <v>5.2083333333333333E-4</v>
      </c>
      <c r="K56" s="1"/>
      <c r="L56" s="1">
        <f t="shared" si="30"/>
        <v>58.980000000000004</v>
      </c>
      <c r="M56" s="1"/>
      <c r="N56" s="5">
        <f t="shared" si="31"/>
        <v>1.1796</v>
      </c>
      <c r="O56" s="13"/>
      <c r="P56" s="1">
        <f>SUM(OSRRefP22_7x_0)</f>
        <v>1903.53</v>
      </c>
      <c r="Q56" s="1"/>
      <c r="R56" s="5">
        <f t="shared" si="32"/>
        <v>1.6892804222539907E-2</v>
      </c>
      <c r="S56" s="1"/>
      <c r="T56" s="1">
        <f>SUM(OSRRefT22_7x_0)</f>
        <v>3650</v>
      </c>
      <c r="U56" s="1"/>
      <c r="V56" s="5">
        <f t="shared" si="33"/>
        <v>1.8622448979591838E-2</v>
      </c>
      <c r="W56" s="1"/>
      <c r="X56" s="1">
        <f t="shared" si="34"/>
        <v>-1746.47</v>
      </c>
      <c r="Y56" s="1"/>
      <c r="Z56" s="5">
        <f t="shared" si="35"/>
        <v>-0.47848493150684934</v>
      </c>
    </row>
    <row r="57" spans="1:26" s="24" customFormat="1" hidden="1" outlineLevel="2" x14ac:dyDescent="0.25">
      <c r="A57" s="27"/>
      <c r="B57" s="11" t="str">
        <f>CONCATENATE("          ", "6279", " - ", "GENERAL EXPENSE")</f>
        <v xml:space="preserve">          6279 - GENERAL EXPENSE</v>
      </c>
      <c r="C57" s="11"/>
      <c r="D57" s="6">
        <v>108.98</v>
      </c>
      <c r="E57" s="2"/>
      <c r="F57" s="7">
        <f t="shared" si="28"/>
        <v>1.6644968234350401E-3</v>
      </c>
      <c r="G57" s="2"/>
      <c r="H57" s="6">
        <v>50</v>
      </c>
      <c r="I57" s="2"/>
      <c r="J57" s="7">
        <f t="shared" si="29"/>
        <v>5.2083333333333333E-4</v>
      </c>
      <c r="K57" s="2"/>
      <c r="L57" s="6">
        <f t="shared" si="30"/>
        <v>58.980000000000004</v>
      </c>
      <c r="M57" s="2"/>
      <c r="N57" s="7">
        <f t="shared" si="31"/>
        <v>1.1796</v>
      </c>
      <c r="O57" s="11"/>
      <c r="P57" s="6">
        <v>1903.53</v>
      </c>
      <c r="Q57" s="2"/>
      <c r="R57" s="7">
        <f t="shared" si="32"/>
        <v>1.6892804222539907E-2</v>
      </c>
      <c r="S57" s="2"/>
      <c r="T57" s="6">
        <v>3650</v>
      </c>
      <c r="U57" s="2"/>
      <c r="V57" s="7">
        <f t="shared" si="33"/>
        <v>1.8622448979591838E-2</v>
      </c>
      <c r="W57" s="2"/>
      <c r="X57" s="6">
        <f t="shared" si="34"/>
        <v>-1746.47</v>
      </c>
      <c r="Y57" s="2"/>
      <c r="Z57" s="7">
        <f t="shared" si="35"/>
        <v>-0.47848493150684934</v>
      </c>
    </row>
    <row r="58" spans="1:26" s="26" customFormat="1" outlineLevel="1" collapsed="1" x14ac:dyDescent="0.25">
      <c r="A58" s="25"/>
      <c r="B58" s="13" t="str">
        <f>CONCATENATE("     ","Repair and Maintenance                            ")</f>
        <v xml:space="preserve">     Repair and Maintenance                            </v>
      </c>
      <c r="C58" s="13"/>
      <c r="D58" s="1">
        <f>SUM(OSRRefD22_8x_0)</f>
        <v>542.1400000000001</v>
      </c>
      <c r="E58" s="1"/>
      <c r="F58" s="5">
        <f t="shared" si="28"/>
        <v>8.280329490338344E-3</v>
      </c>
      <c r="G58" s="1"/>
      <c r="H58" s="1">
        <f>SUM(OSRRefH22_8x_0)</f>
        <v>1000</v>
      </c>
      <c r="I58" s="1"/>
      <c r="J58" s="5">
        <f t="shared" si="29"/>
        <v>1.0416666666666666E-2</v>
      </c>
      <c r="K58" s="1"/>
      <c r="L58" s="1">
        <f t="shared" si="30"/>
        <v>-457.8599999999999</v>
      </c>
      <c r="M58" s="1"/>
      <c r="N58" s="5">
        <f t="shared" si="31"/>
        <v>-0.45785999999999988</v>
      </c>
      <c r="O58" s="13"/>
      <c r="P58" s="1">
        <f>SUM(OSRRefP22_8x_0)</f>
        <v>808.01</v>
      </c>
      <c r="Q58" s="1"/>
      <c r="R58" s="5">
        <f t="shared" si="32"/>
        <v>7.1706538588067808E-3</v>
      </c>
      <c r="S58" s="1"/>
      <c r="T58" s="1">
        <f>SUM(OSRRefT22_8x_0)</f>
        <v>2000</v>
      </c>
      <c r="U58" s="1"/>
      <c r="V58" s="5">
        <f t="shared" si="33"/>
        <v>1.020408163265306E-2</v>
      </c>
      <c r="W58" s="1"/>
      <c r="X58" s="1">
        <f t="shared" si="34"/>
        <v>-1191.99</v>
      </c>
      <c r="Y58" s="1"/>
      <c r="Z58" s="5">
        <f t="shared" si="35"/>
        <v>-0.59599500000000005</v>
      </c>
    </row>
    <row r="59" spans="1:26" s="24" customFormat="1" hidden="1" outlineLevel="2" x14ac:dyDescent="0.25">
      <c r="A59" s="27"/>
      <c r="B59" s="11" t="str">
        <f>CONCATENATE("          ", "6373", " - ", "MAINTENANCE CONTRACTS")</f>
        <v xml:space="preserve">          6373 - MAINTENANCE CONTRACTS</v>
      </c>
      <c r="C59" s="11"/>
      <c r="D59" s="6">
        <v>18.45</v>
      </c>
      <c r="E59" s="2"/>
      <c r="F59" s="7">
        <f t="shared" si="28"/>
        <v>2.8179451635507879E-4</v>
      </c>
      <c r="G59" s="2"/>
      <c r="H59" s="6"/>
      <c r="I59" s="2"/>
      <c r="J59" s="7">
        <f t="shared" si="29"/>
        <v>0</v>
      </c>
      <c r="K59" s="2"/>
      <c r="L59" s="6">
        <f t="shared" si="30"/>
        <v>18.45</v>
      </c>
      <c r="M59" s="2"/>
      <c r="N59" s="7">
        <f t="shared" si="31"/>
        <v>0</v>
      </c>
      <c r="O59" s="11"/>
      <c r="P59" s="6">
        <v>18.45</v>
      </c>
      <c r="Q59" s="2"/>
      <c r="R59" s="7">
        <f t="shared" si="32"/>
        <v>1.6373381974849952E-4</v>
      </c>
      <c r="S59" s="2"/>
      <c r="T59" s="6"/>
      <c r="U59" s="2"/>
      <c r="V59" s="7">
        <f t="shared" si="33"/>
        <v>0</v>
      </c>
      <c r="W59" s="2"/>
      <c r="X59" s="6">
        <f t="shared" si="34"/>
        <v>18.45</v>
      </c>
      <c r="Y59" s="2"/>
      <c r="Z59" s="7">
        <f t="shared" si="35"/>
        <v>0</v>
      </c>
    </row>
    <row r="60" spans="1:26" s="24" customFormat="1" hidden="1" outlineLevel="2" x14ac:dyDescent="0.25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523.69000000000005</v>
      </c>
      <c r="E60" s="2"/>
      <c r="F60" s="7">
        <f t="shared" si="28"/>
        <v>7.9985349739832654E-3</v>
      </c>
      <c r="G60" s="2"/>
      <c r="H60" s="6">
        <v>1000</v>
      </c>
      <c r="I60" s="2"/>
      <c r="J60" s="7">
        <f t="shared" si="29"/>
        <v>1.0416666666666666E-2</v>
      </c>
      <c r="K60" s="2"/>
      <c r="L60" s="6">
        <f t="shared" si="30"/>
        <v>-476.30999999999995</v>
      </c>
      <c r="M60" s="2"/>
      <c r="N60" s="7">
        <f t="shared" si="31"/>
        <v>-0.47630999999999996</v>
      </c>
      <c r="O60" s="11"/>
      <c r="P60" s="6">
        <v>789.56</v>
      </c>
      <c r="Q60" s="2"/>
      <c r="R60" s="7">
        <f t="shared" si="32"/>
        <v>7.0069200390582807E-3</v>
      </c>
      <c r="S60" s="2"/>
      <c r="T60" s="6">
        <v>2000</v>
      </c>
      <c r="U60" s="2"/>
      <c r="V60" s="7">
        <f t="shared" si="33"/>
        <v>1.020408163265306E-2</v>
      </c>
      <c r="W60" s="2"/>
      <c r="X60" s="6">
        <f t="shared" si="34"/>
        <v>-1210.44</v>
      </c>
      <c r="Y60" s="2"/>
      <c r="Z60" s="7">
        <f t="shared" si="35"/>
        <v>-0.60521999999999998</v>
      </c>
    </row>
    <row r="61" spans="1:26" s="26" customFormat="1" outlineLevel="1" collapsed="1" x14ac:dyDescent="0.25">
      <c r="A61" s="25"/>
      <c r="B61" s="13" t="str">
        <f>CONCATENATE("     ","Royalty &amp; Commissions                             ")</f>
        <v xml:space="preserve">     Royalty &amp; Commissions                             </v>
      </c>
      <c r="C61" s="13"/>
      <c r="D61" s="1">
        <f>SUM(OSRRefD22_9x_0)</f>
        <v>0</v>
      </c>
      <c r="E61" s="1"/>
      <c r="F61" s="5">
        <f t="shared" ref="F61:F65" si="36">IF(D$12=0,0,D61/D$12)</f>
        <v>0</v>
      </c>
      <c r="G61" s="1"/>
      <c r="H61" s="1">
        <f>SUM(OSRRefH22_9x_0)</f>
        <v>0</v>
      </c>
      <c r="I61" s="1"/>
      <c r="J61" s="5">
        <f t="shared" ref="J61:J65" si="37">IF(H$12=0,0,H61/H$12)</f>
        <v>0</v>
      </c>
      <c r="K61" s="1"/>
      <c r="L61" s="1">
        <f t="shared" ref="L61:L65" si="38">+D61-H61</f>
        <v>0</v>
      </c>
      <c r="M61" s="1"/>
      <c r="N61" s="5">
        <f t="shared" ref="N61:N65" si="39">IF(H61=0,0,L61/H61)</f>
        <v>0</v>
      </c>
      <c r="O61" s="13"/>
      <c r="P61" s="1">
        <f>SUM(OSRRefP22_9x_0)</f>
        <v>0</v>
      </c>
      <c r="Q61" s="1"/>
      <c r="R61" s="5">
        <f t="shared" ref="R61:R65" si="40">IF(P$12=0,0,P61/P$12)</f>
        <v>0</v>
      </c>
      <c r="S61" s="1"/>
      <c r="T61" s="1">
        <f>SUM(OSRRefT22_9x_0)</f>
        <v>3000</v>
      </c>
      <c r="U61" s="1"/>
      <c r="V61" s="5">
        <f t="shared" ref="V61:V65" si="41">IF(T$12=0,0,T61/T$12)</f>
        <v>1.5306122448979591E-2</v>
      </c>
      <c r="W61" s="1"/>
      <c r="X61" s="1">
        <f t="shared" ref="X61:X65" si="42">+P61-T61</f>
        <v>-3000</v>
      </c>
      <c r="Y61" s="1"/>
      <c r="Z61" s="5">
        <f t="shared" ref="Z61:Z65" si="43">IF(T61=0,0,X61/T61)</f>
        <v>-1</v>
      </c>
    </row>
    <row r="62" spans="1:26" s="24" customFormat="1" hidden="1" outlineLevel="2" x14ac:dyDescent="0.25">
      <c r="A62" s="27"/>
      <c r="B62" s="11" t="str">
        <f>CONCATENATE("          ", "6254", " - ", "ROYALTY &amp; COMMISSIONS")</f>
        <v xml:space="preserve">          6254 - ROYALTY &amp; COMMISSIONS</v>
      </c>
      <c r="C62" s="11"/>
      <c r="D62" s="6"/>
      <c r="E62" s="2"/>
      <c r="F62" s="7">
        <f t="shared" si="36"/>
        <v>0</v>
      </c>
      <c r="G62" s="2"/>
      <c r="H62" s="6"/>
      <c r="I62" s="2"/>
      <c r="J62" s="7">
        <f t="shared" si="37"/>
        <v>0</v>
      </c>
      <c r="K62" s="2"/>
      <c r="L62" s="6">
        <f t="shared" si="38"/>
        <v>0</v>
      </c>
      <c r="M62" s="2"/>
      <c r="N62" s="7">
        <f t="shared" si="39"/>
        <v>0</v>
      </c>
      <c r="O62" s="11"/>
      <c r="P62" s="6"/>
      <c r="Q62" s="2"/>
      <c r="R62" s="7">
        <f t="shared" si="40"/>
        <v>0</v>
      </c>
      <c r="S62" s="2"/>
      <c r="T62" s="6">
        <v>3000</v>
      </c>
      <c r="U62" s="2"/>
      <c r="V62" s="7">
        <f t="shared" si="41"/>
        <v>1.5306122448979591E-2</v>
      </c>
      <c r="W62" s="2"/>
      <c r="X62" s="6">
        <f t="shared" si="42"/>
        <v>-3000</v>
      </c>
      <c r="Y62" s="2"/>
      <c r="Z62" s="7">
        <f t="shared" si="43"/>
        <v>-1</v>
      </c>
    </row>
    <row r="63" spans="1:26" s="26" customFormat="1" outlineLevel="1" collapsed="1" x14ac:dyDescent="0.25">
      <c r="A63" s="25"/>
      <c r="B63" s="13" t="str">
        <f>CONCATENATE("     ","Services                                          ")</f>
        <v xml:space="preserve">     Services                                          </v>
      </c>
      <c r="C63" s="13"/>
      <c r="D63" s="1">
        <f>SUM(OSRRefD22_10x_0)</f>
        <v>1850.3700000000001</v>
      </c>
      <c r="E63" s="1"/>
      <c r="F63" s="5">
        <f t="shared" si="36"/>
        <v>2.8261469876853507E-2</v>
      </c>
      <c r="G63" s="1"/>
      <c r="H63" s="1">
        <f>SUM(OSRRefH22_10x_0)</f>
        <v>1760</v>
      </c>
      <c r="I63" s="1"/>
      <c r="J63" s="5">
        <f t="shared" si="37"/>
        <v>1.8333333333333333E-2</v>
      </c>
      <c r="K63" s="1"/>
      <c r="L63" s="1">
        <f t="shared" si="38"/>
        <v>90.370000000000118</v>
      </c>
      <c r="M63" s="1"/>
      <c r="N63" s="5">
        <f t="shared" si="39"/>
        <v>5.1346590909090974E-2</v>
      </c>
      <c r="O63" s="13"/>
      <c r="P63" s="1">
        <f>SUM(OSRRefP22_10x_0)</f>
        <v>4284.42</v>
      </c>
      <c r="Q63" s="1"/>
      <c r="R63" s="5">
        <f t="shared" si="40"/>
        <v>3.8021921517987334E-2</v>
      </c>
      <c r="S63" s="1"/>
      <c r="T63" s="1">
        <f>SUM(OSRRefT22_10x_0)</f>
        <v>4720</v>
      </c>
      <c r="U63" s="1"/>
      <c r="V63" s="5">
        <f t="shared" si="41"/>
        <v>2.4081632653061225E-2</v>
      </c>
      <c r="W63" s="1"/>
      <c r="X63" s="1">
        <f t="shared" si="42"/>
        <v>-435.57999999999993</v>
      </c>
      <c r="Y63" s="1"/>
      <c r="Z63" s="5">
        <f t="shared" si="43"/>
        <v>-9.2283898305084724E-2</v>
      </c>
    </row>
    <row r="64" spans="1:26" s="24" customFormat="1" hidden="1" outlineLevel="2" x14ac:dyDescent="0.25">
      <c r="A64" s="27"/>
      <c r="B64" s="11" t="str">
        <f>CONCATENATE("          ", "6283", " - ", "PLANT SERVICE")</f>
        <v xml:space="preserve">          6283 - PLANT SERVICE</v>
      </c>
      <c r="C64" s="11"/>
      <c r="D64" s="6">
        <v>62.95</v>
      </c>
      <c r="E64" s="2"/>
      <c r="F64" s="7">
        <f t="shared" si="36"/>
        <v>9.6146150702180013E-4</v>
      </c>
      <c r="G64" s="2"/>
      <c r="H64" s="6">
        <v>60</v>
      </c>
      <c r="I64" s="2"/>
      <c r="J64" s="7">
        <f t="shared" si="37"/>
        <v>6.2500000000000001E-4</v>
      </c>
      <c r="K64" s="2"/>
      <c r="L64" s="6">
        <f t="shared" si="38"/>
        <v>2.9500000000000028</v>
      </c>
      <c r="M64" s="2"/>
      <c r="N64" s="7">
        <f t="shared" si="39"/>
        <v>4.9166666666666713E-2</v>
      </c>
      <c r="O64" s="11"/>
      <c r="P64" s="6">
        <v>125.9</v>
      </c>
      <c r="Q64" s="2"/>
      <c r="R64" s="7">
        <f t="shared" si="40"/>
        <v>1.1172947374707908E-3</v>
      </c>
      <c r="S64" s="2"/>
      <c r="T64" s="6">
        <v>120</v>
      </c>
      <c r="U64" s="2"/>
      <c r="V64" s="7">
        <f t="shared" si="41"/>
        <v>6.1224489795918364E-4</v>
      </c>
      <c r="W64" s="2"/>
      <c r="X64" s="6">
        <f t="shared" si="42"/>
        <v>5.9000000000000057</v>
      </c>
      <c r="Y64" s="2"/>
      <c r="Z64" s="7">
        <f t="shared" si="43"/>
        <v>4.9166666666666713E-2</v>
      </c>
    </row>
    <row r="65" spans="1:26" s="24" customFormat="1" hidden="1" outlineLevel="2" x14ac:dyDescent="0.25">
      <c r="A65" s="27"/>
      <c r="B65" s="11" t="str">
        <f>CONCATENATE("          ", "6286", " - ", "LAUNDRY EXPENSE")</f>
        <v xml:space="preserve">          6286 - LAUNDRY EXPENSE</v>
      </c>
      <c r="C65" s="11"/>
      <c r="D65" s="6">
        <v>1787.42</v>
      </c>
      <c r="E65" s="2"/>
      <c r="F65" s="7">
        <f t="shared" si="36"/>
        <v>2.7300008369831708E-2</v>
      </c>
      <c r="G65" s="2"/>
      <c r="H65" s="6">
        <v>1700</v>
      </c>
      <c r="I65" s="2"/>
      <c r="J65" s="7">
        <f t="shared" si="37"/>
        <v>1.7708333333333333E-2</v>
      </c>
      <c r="K65" s="2"/>
      <c r="L65" s="6">
        <f t="shared" si="38"/>
        <v>87.420000000000073</v>
      </c>
      <c r="M65" s="2"/>
      <c r="N65" s="7">
        <f t="shared" si="39"/>
        <v>5.142352941176475E-2</v>
      </c>
      <c r="O65" s="11"/>
      <c r="P65" s="6">
        <v>4158.5200000000004</v>
      </c>
      <c r="Q65" s="2"/>
      <c r="R65" s="7">
        <f t="shared" si="40"/>
        <v>3.690462678051655E-2</v>
      </c>
      <c r="S65" s="2"/>
      <c r="T65" s="6">
        <v>4600</v>
      </c>
      <c r="U65" s="2"/>
      <c r="V65" s="7">
        <f t="shared" si="41"/>
        <v>2.3469387755102041E-2</v>
      </c>
      <c r="W65" s="2"/>
      <c r="X65" s="6">
        <f t="shared" si="42"/>
        <v>-441.47999999999956</v>
      </c>
      <c r="Y65" s="2"/>
      <c r="Z65" s="7">
        <f t="shared" si="43"/>
        <v>-9.597391304347816E-2</v>
      </c>
    </row>
    <row r="66" spans="1:26" s="26" customFormat="1" outlineLevel="1" collapsed="1" x14ac:dyDescent="0.25">
      <c r="A66" s="25"/>
      <c r="B66" s="13" t="str">
        <f>CONCATENATE("     ","Supplies                                          ")</f>
        <v xml:space="preserve">     Supplies                                          </v>
      </c>
      <c r="C66" s="13"/>
      <c r="D66" s="1">
        <f>SUM(OSRRefD22_11x_0)</f>
        <v>1263.94</v>
      </c>
      <c r="E66" s="1"/>
      <c r="F66" s="5">
        <f t="shared" ref="F66:F72" si="44">IF(D$12=0,0,D66/D$12)</f>
        <v>1.930468081310777E-2</v>
      </c>
      <c r="G66" s="1"/>
      <c r="H66" s="1">
        <f>SUM(OSRRefH22_11x_0)</f>
        <v>2706.43</v>
      </c>
      <c r="I66" s="1"/>
      <c r="J66" s="5">
        <f t="shared" ref="J66:J72" si="45">IF(H$12=0,0,H66/H$12)</f>
        <v>2.8191979166666666E-2</v>
      </c>
      <c r="K66" s="1"/>
      <c r="L66" s="1">
        <f t="shared" ref="L66:L72" si="46">+D66-H66</f>
        <v>-1442.4899999999998</v>
      </c>
      <c r="M66" s="1"/>
      <c r="N66" s="5">
        <f t="shared" ref="N66:N72" si="47">IF(H66=0,0,L66/H66)</f>
        <v>-0.53298625865069482</v>
      </c>
      <c r="O66" s="13"/>
      <c r="P66" s="1">
        <f>SUM(OSRRefP22_11x_0)</f>
        <v>2209.6899999999996</v>
      </c>
      <c r="Q66" s="1"/>
      <c r="R66" s="5">
        <f t="shared" ref="R66:R72" si="48">IF(P$12=0,0,P66/P$12)</f>
        <v>1.9609809439569748E-2</v>
      </c>
      <c r="S66" s="1"/>
      <c r="T66" s="1">
        <f>SUM(OSRRefT22_11x_0)</f>
        <v>4389.33</v>
      </c>
      <c r="U66" s="1"/>
      <c r="V66" s="5">
        <f t="shared" ref="V66:V72" si="49">IF(T$12=0,0,T66/T$12)</f>
        <v>2.2394540816326532E-2</v>
      </c>
      <c r="W66" s="1"/>
      <c r="X66" s="1">
        <f t="shared" ref="X66:X72" si="50">+P66-T66</f>
        <v>-2179.6400000000003</v>
      </c>
      <c r="Y66" s="1"/>
      <c r="Z66" s="5">
        <f t="shared" ref="Z66:Z72" si="51">IF(T66=0,0,X66/T66)</f>
        <v>-0.49657692631905104</v>
      </c>
    </row>
    <row r="67" spans="1:26" s="24" customFormat="1" hidden="1" outlineLevel="2" x14ac:dyDescent="0.25">
      <c r="A67" s="27"/>
      <c r="B67" s="11" t="str">
        <f>CONCATENATE("          ", "6234", " - ", "EXPENDABLE SUPPLIES &amp; EQUIPMEN")</f>
        <v xml:space="preserve">          6234 - EXPENDABLE SUPPLIES &amp; EQUIPMEN</v>
      </c>
      <c r="C67" s="11"/>
      <c r="D67" s="6"/>
      <c r="E67" s="2"/>
      <c r="F67" s="7">
        <f t="shared" si="44"/>
        <v>0</v>
      </c>
      <c r="G67" s="2"/>
      <c r="H67" s="6">
        <v>1000</v>
      </c>
      <c r="I67" s="2"/>
      <c r="J67" s="7">
        <f t="shared" si="45"/>
        <v>1.0416666666666666E-2</v>
      </c>
      <c r="K67" s="2"/>
      <c r="L67" s="6">
        <f t="shared" si="46"/>
        <v>-1000</v>
      </c>
      <c r="M67" s="2"/>
      <c r="N67" s="7">
        <f t="shared" si="47"/>
        <v>-1</v>
      </c>
      <c r="O67" s="11"/>
      <c r="P67" s="6"/>
      <c r="Q67" s="2"/>
      <c r="R67" s="7">
        <f t="shared" si="48"/>
        <v>0</v>
      </c>
      <c r="S67" s="2"/>
      <c r="T67" s="6">
        <v>1500</v>
      </c>
      <c r="U67" s="2"/>
      <c r="V67" s="7">
        <f t="shared" si="49"/>
        <v>7.6530612244897957E-3</v>
      </c>
      <c r="W67" s="2"/>
      <c r="X67" s="6">
        <f t="shared" si="50"/>
        <v>-1500</v>
      </c>
      <c r="Y67" s="2"/>
      <c r="Z67" s="7">
        <f t="shared" si="51"/>
        <v>-1</v>
      </c>
    </row>
    <row r="68" spans="1:26" s="24" customFormat="1" hidden="1" outlineLevel="2" x14ac:dyDescent="0.25">
      <c r="A68" s="27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44"/>
        <v>0</v>
      </c>
      <c r="G68" s="2"/>
      <c r="H68" s="6">
        <v>500</v>
      </c>
      <c r="I68" s="2"/>
      <c r="J68" s="7">
        <f t="shared" si="45"/>
        <v>5.208333333333333E-3</v>
      </c>
      <c r="K68" s="2"/>
      <c r="L68" s="6">
        <f t="shared" si="46"/>
        <v>-500</v>
      </c>
      <c r="M68" s="2"/>
      <c r="N68" s="7">
        <f t="shared" si="47"/>
        <v>-1</v>
      </c>
      <c r="O68" s="11"/>
      <c r="P68" s="6">
        <v>116.54</v>
      </c>
      <c r="Q68" s="2"/>
      <c r="R68" s="7">
        <f t="shared" si="48"/>
        <v>1.0342297752569179E-3</v>
      </c>
      <c r="S68" s="2"/>
      <c r="T68" s="6">
        <v>500</v>
      </c>
      <c r="U68" s="2"/>
      <c r="V68" s="7">
        <f t="shared" si="49"/>
        <v>2.5510204081632651E-3</v>
      </c>
      <c r="W68" s="2"/>
      <c r="X68" s="6">
        <f t="shared" si="50"/>
        <v>-383.46</v>
      </c>
      <c r="Y68" s="2"/>
      <c r="Z68" s="7">
        <f t="shared" si="51"/>
        <v>-0.76691999999999994</v>
      </c>
    </row>
    <row r="69" spans="1:26" s="24" customFormat="1" hidden="1" outlineLevel="2" x14ac:dyDescent="0.25">
      <c r="A69" s="27"/>
      <c r="B69" s="11" t="str">
        <f>CONCATENATE("          ", "6241", " - ", "OFFICE EXPENSE")</f>
        <v xml:space="preserve">          6241 - OFFICE EXPENSE</v>
      </c>
      <c r="C69" s="11"/>
      <c r="D69" s="6">
        <v>12.81</v>
      </c>
      <c r="E69" s="2"/>
      <c r="F69" s="7">
        <f t="shared" si="44"/>
        <v>1.9565245281889213E-4</v>
      </c>
      <c r="G69" s="2"/>
      <c r="H69" s="6">
        <v>300</v>
      </c>
      <c r="I69" s="2"/>
      <c r="J69" s="7">
        <f t="shared" si="45"/>
        <v>3.1250000000000002E-3</v>
      </c>
      <c r="K69" s="2"/>
      <c r="L69" s="6">
        <f t="shared" si="46"/>
        <v>-287.19</v>
      </c>
      <c r="M69" s="2"/>
      <c r="N69" s="7">
        <f t="shared" si="47"/>
        <v>-0.95730000000000004</v>
      </c>
      <c r="O69" s="11"/>
      <c r="P69" s="6">
        <v>117.73</v>
      </c>
      <c r="Q69" s="2"/>
      <c r="R69" s="7">
        <f t="shared" si="48"/>
        <v>1.0447903847691517E-3</v>
      </c>
      <c r="S69" s="2"/>
      <c r="T69" s="6">
        <v>606.25</v>
      </c>
      <c r="U69" s="2"/>
      <c r="V69" s="7">
        <f t="shared" si="49"/>
        <v>3.093112244897959E-3</v>
      </c>
      <c r="W69" s="2"/>
      <c r="X69" s="6">
        <f t="shared" si="50"/>
        <v>-488.52</v>
      </c>
      <c r="Y69" s="2"/>
      <c r="Z69" s="7">
        <f t="shared" si="51"/>
        <v>-0.80580618556701022</v>
      </c>
    </row>
    <row r="70" spans="1:26" s="24" customFormat="1" hidden="1" outlineLevel="2" x14ac:dyDescent="0.25">
      <c r="A70" s="27"/>
      <c r="B70" s="11" t="str">
        <f>CONCATENATE("          ", "6243", " - ", "PAPER SUPPLIES")</f>
        <v xml:space="preserve">          6243 - PAPER SUPPLIES</v>
      </c>
      <c r="C70" s="11"/>
      <c r="D70" s="6">
        <v>874.87</v>
      </c>
      <c r="E70" s="2"/>
      <c r="F70" s="7">
        <f t="shared" si="44"/>
        <v>1.3362253036507741E-2</v>
      </c>
      <c r="G70" s="2"/>
      <c r="H70" s="6">
        <v>500</v>
      </c>
      <c r="I70" s="2"/>
      <c r="J70" s="7">
        <f t="shared" si="45"/>
        <v>5.208333333333333E-3</v>
      </c>
      <c r="K70" s="2"/>
      <c r="L70" s="6">
        <f t="shared" si="46"/>
        <v>374.87</v>
      </c>
      <c r="M70" s="2"/>
      <c r="N70" s="7">
        <f t="shared" si="47"/>
        <v>0.74973999999999996</v>
      </c>
      <c r="O70" s="11"/>
      <c r="P70" s="6">
        <v>1388.62</v>
      </c>
      <c r="Q70" s="2"/>
      <c r="R70" s="7">
        <f t="shared" si="48"/>
        <v>1.2323255109981647E-2</v>
      </c>
      <c r="S70" s="2"/>
      <c r="T70" s="6">
        <v>1000</v>
      </c>
      <c r="U70" s="2"/>
      <c r="V70" s="7">
        <f t="shared" si="49"/>
        <v>5.1020408163265302E-3</v>
      </c>
      <c r="W70" s="2"/>
      <c r="X70" s="6">
        <f t="shared" si="50"/>
        <v>388.61999999999989</v>
      </c>
      <c r="Y70" s="2"/>
      <c r="Z70" s="7">
        <f t="shared" si="51"/>
        <v>0.38861999999999991</v>
      </c>
    </row>
    <row r="71" spans="1:26" s="24" customFormat="1" hidden="1" outlineLevel="2" x14ac:dyDescent="0.25">
      <c r="A71" s="27"/>
      <c r="B71" s="11" t="str">
        <f>CONCATENATE("          ", "6247", " - ", "STORE SUPPLIES")</f>
        <v xml:space="preserve">          6247 - STORE SUPPLIES</v>
      </c>
      <c r="C71" s="11"/>
      <c r="D71" s="6">
        <v>155.55000000000001</v>
      </c>
      <c r="E71" s="2"/>
      <c r="F71" s="7">
        <f t="shared" si="44"/>
        <v>2.3757797842294047E-3</v>
      </c>
      <c r="G71" s="2"/>
      <c r="H71" s="6">
        <v>106.43</v>
      </c>
      <c r="I71" s="2"/>
      <c r="J71" s="7">
        <f t="shared" si="45"/>
        <v>1.1086458333333334E-3</v>
      </c>
      <c r="K71" s="2"/>
      <c r="L71" s="6">
        <f t="shared" si="46"/>
        <v>49.120000000000005</v>
      </c>
      <c r="M71" s="2"/>
      <c r="N71" s="7">
        <f t="shared" si="47"/>
        <v>0.46152400638917601</v>
      </c>
      <c r="O71" s="11"/>
      <c r="P71" s="6">
        <v>366.09</v>
      </c>
      <c r="Q71" s="2"/>
      <c r="R71" s="7">
        <f t="shared" si="48"/>
        <v>3.24885171120478E-3</v>
      </c>
      <c r="S71" s="2"/>
      <c r="T71" s="6">
        <v>183.08</v>
      </c>
      <c r="U71" s="2"/>
      <c r="V71" s="7">
        <f t="shared" si="49"/>
        <v>9.3408163265306125E-4</v>
      </c>
      <c r="W71" s="2"/>
      <c r="X71" s="6">
        <f t="shared" si="50"/>
        <v>183.00999999999996</v>
      </c>
      <c r="Y71" s="2"/>
      <c r="Z71" s="7">
        <f t="shared" si="51"/>
        <v>0.99961765348481513</v>
      </c>
    </row>
    <row r="72" spans="1:26" s="24" customFormat="1" hidden="1" outlineLevel="2" x14ac:dyDescent="0.25">
      <c r="A72" s="27"/>
      <c r="B72" s="11" t="str">
        <f>CONCATENATE("          ", "6248", " - ", "UNIFORMS")</f>
        <v xml:space="preserve">          6248 - UNIFORMS</v>
      </c>
      <c r="C72" s="11"/>
      <c r="D72" s="6">
        <v>220.71</v>
      </c>
      <c r="E72" s="2"/>
      <c r="F72" s="7">
        <f t="shared" si="44"/>
        <v>3.3709955395517317E-3</v>
      </c>
      <c r="G72" s="2"/>
      <c r="H72" s="6">
        <v>300</v>
      </c>
      <c r="I72" s="2"/>
      <c r="J72" s="7">
        <f t="shared" si="45"/>
        <v>3.1250000000000002E-3</v>
      </c>
      <c r="K72" s="2"/>
      <c r="L72" s="6">
        <f t="shared" si="46"/>
        <v>-79.289999999999992</v>
      </c>
      <c r="M72" s="2"/>
      <c r="N72" s="7">
        <f t="shared" si="47"/>
        <v>-0.26429999999999998</v>
      </c>
      <c r="O72" s="11"/>
      <c r="P72" s="6">
        <v>220.71</v>
      </c>
      <c r="Q72" s="2"/>
      <c r="R72" s="7">
        <f t="shared" si="48"/>
        <v>1.9586824583572538E-3</v>
      </c>
      <c r="S72" s="2"/>
      <c r="T72" s="6">
        <v>600</v>
      </c>
      <c r="U72" s="2"/>
      <c r="V72" s="7">
        <f t="shared" si="49"/>
        <v>3.0612244897959182E-3</v>
      </c>
      <c r="W72" s="2"/>
      <c r="X72" s="6">
        <f t="shared" si="50"/>
        <v>-379.28999999999996</v>
      </c>
      <c r="Y72" s="2"/>
      <c r="Z72" s="7">
        <f t="shared" si="51"/>
        <v>-0.63214999999999999</v>
      </c>
    </row>
    <row r="73" spans="1:26" s="26" customFormat="1" outlineLevel="1" collapsed="1" x14ac:dyDescent="0.25">
      <c r="A73" s="25"/>
      <c r="B73" s="13" t="str">
        <f>CONCATENATE("     ","Telephone/Data Lines                              ")</f>
        <v xml:space="preserve">     Telephone/Data Lines                              </v>
      </c>
      <c r="C73" s="13"/>
      <c r="D73" s="1">
        <f>SUM(OSRRefD22_12x_0)</f>
        <v>192.3</v>
      </c>
      <c r="E73" s="1"/>
      <c r="F73" s="5">
        <f t="shared" ref="F73:F76" si="52">IF(D$12=0,0,D73/D$12)</f>
        <v>2.9370778046114722E-3</v>
      </c>
      <c r="G73" s="1"/>
      <c r="H73" s="1">
        <f>SUM(OSRRefH22_12x_0)</f>
        <v>0</v>
      </c>
      <c r="I73" s="1"/>
      <c r="J73" s="5">
        <f t="shared" ref="J73:J76" si="53">IF(H$12=0,0,H73/H$12)</f>
        <v>0</v>
      </c>
      <c r="K73" s="1"/>
      <c r="L73" s="1">
        <f t="shared" ref="L73:L76" si="54">+D73-H73</f>
        <v>192.3</v>
      </c>
      <c r="M73" s="1"/>
      <c r="N73" s="5">
        <f t="shared" ref="N73:N76" si="55">IF(H73=0,0,L73/H73)</f>
        <v>0</v>
      </c>
      <c r="O73" s="13"/>
      <c r="P73" s="1">
        <f>SUM(OSRRefP22_12x_0)</f>
        <v>222.55</v>
      </c>
      <c r="Q73" s="1"/>
      <c r="R73" s="5">
        <f t="shared" ref="R73:R76" si="56">IF(P$12=0,0,P73/P$12)</f>
        <v>1.9750114680232287E-3</v>
      </c>
      <c r="S73" s="1"/>
      <c r="T73" s="1">
        <f>SUM(OSRRefT22_12x_0)</f>
        <v>0</v>
      </c>
      <c r="U73" s="1"/>
      <c r="V73" s="5">
        <f t="shared" ref="V73:V76" si="57">IF(T$12=0,0,T73/T$12)</f>
        <v>0</v>
      </c>
      <c r="W73" s="1"/>
      <c r="X73" s="1">
        <f t="shared" ref="X73:X76" si="58">+P73-T73</f>
        <v>222.55</v>
      </c>
      <c r="Y73" s="1"/>
      <c r="Z73" s="5">
        <f t="shared" ref="Z73:Z76" si="59">IF(T73=0,0,X73/T73)</f>
        <v>0</v>
      </c>
    </row>
    <row r="74" spans="1:26" s="24" customFormat="1" hidden="1" outlineLevel="2" x14ac:dyDescent="0.25">
      <c r="A74" s="27"/>
      <c r="B74" s="11" t="str">
        <f>CONCATENATE("          ", "6309", " - ", "TELEPHONE")</f>
        <v xml:space="preserve">          6309 - TELEPHONE</v>
      </c>
      <c r="C74" s="11"/>
      <c r="D74" s="6">
        <v>192.3</v>
      </c>
      <c r="E74" s="2"/>
      <c r="F74" s="7">
        <f t="shared" si="52"/>
        <v>2.9370778046114722E-3</v>
      </c>
      <c r="G74" s="2"/>
      <c r="H74" s="6"/>
      <c r="I74" s="2"/>
      <c r="J74" s="7">
        <f t="shared" si="53"/>
        <v>0</v>
      </c>
      <c r="K74" s="2"/>
      <c r="L74" s="6">
        <f t="shared" si="54"/>
        <v>192.3</v>
      </c>
      <c r="M74" s="2"/>
      <c r="N74" s="7">
        <f t="shared" si="55"/>
        <v>0</v>
      </c>
      <c r="O74" s="11"/>
      <c r="P74" s="6">
        <v>222.55</v>
      </c>
      <c r="Q74" s="2"/>
      <c r="R74" s="7">
        <f t="shared" si="56"/>
        <v>1.9750114680232287E-3</v>
      </c>
      <c r="S74" s="2"/>
      <c r="T74" s="6"/>
      <c r="U74" s="2"/>
      <c r="V74" s="7">
        <f t="shared" si="57"/>
        <v>0</v>
      </c>
      <c r="W74" s="2"/>
      <c r="X74" s="6">
        <f t="shared" si="58"/>
        <v>222.55</v>
      </c>
      <c r="Y74" s="2"/>
      <c r="Z74" s="7">
        <f t="shared" si="59"/>
        <v>0</v>
      </c>
    </row>
    <row r="75" spans="1:26" s="26" customFormat="1" outlineLevel="1" collapsed="1" x14ac:dyDescent="0.25">
      <c r="A75" s="25"/>
      <c r="B75" s="13" t="str">
        <f>CONCATENATE("     ","Training                                          ")</f>
        <v xml:space="preserve">     Training                                          </v>
      </c>
      <c r="C75" s="13"/>
      <c r="D75" s="1">
        <f>SUM(OSRRefD22_13x_0)</f>
        <v>175</v>
      </c>
      <c r="E75" s="1"/>
      <c r="F75" s="5">
        <f t="shared" si="52"/>
        <v>2.6728477161050835E-3</v>
      </c>
      <c r="G75" s="1"/>
      <c r="H75" s="1">
        <f>SUM(OSRRefH22_13x_0)</f>
        <v>400</v>
      </c>
      <c r="I75" s="1"/>
      <c r="J75" s="5">
        <f t="shared" si="53"/>
        <v>4.1666666666666666E-3</v>
      </c>
      <c r="K75" s="1"/>
      <c r="L75" s="1">
        <f t="shared" si="54"/>
        <v>-225</v>
      </c>
      <c r="M75" s="1"/>
      <c r="N75" s="5">
        <f t="shared" si="55"/>
        <v>-0.5625</v>
      </c>
      <c r="O75" s="13"/>
      <c r="P75" s="1">
        <f>SUM(OSRRefP22_13x_0)</f>
        <v>175</v>
      </c>
      <c r="Q75" s="1"/>
      <c r="R75" s="5">
        <f t="shared" si="56"/>
        <v>1.5530308106226243E-3</v>
      </c>
      <c r="S75" s="1"/>
      <c r="T75" s="1">
        <f>SUM(OSRRefT22_13x_0)</f>
        <v>400</v>
      </c>
      <c r="U75" s="1"/>
      <c r="V75" s="5">
        <f t="shared" si="57"/>
        <v>2.0408163265306124E-3</v>
      </c>
      <c r="W75" s="1"/>
      <c r="X75" s="1">
        <f t="shared" si="58"/>
        <v>-225</v>
      </c>
      <c r="Y75" s="1"/>
      <c r="Z75" s="5">
        <f t="shared" si="59"/>
        <v>-0.5625</v>
      </c>
    </row>
    <row r="76" spans="1:26" s="24" customFormat="1" hidden="1" outlineLevel="2" x14ac:dyDescent="0.25">
      <c r="A76" s="27"/>
      <c r="B76" s="11" t="str">
        <f>CONCATENATE("          ", "6376", " - ", "TRAINING")</f>
        <v xml:space="preserve">          6376 - TRAINING</v>
      </c>
      <c r="C76" s="11"/>
      <c r="D76" s="6">
        <v>175</v>
      </c>
      <c r="E76" s="2"/>
      <c r="F76" s="7">
        <f t="shared" si="52"/>
        <v>2.6728477161050835E-3</v>
      </c>
      <c r="G76" s="2"/>
      <c r="H76" s="6">
        <v>400</v>
      </c>
      <c r="I76" s="2"/>
      <c r="J76" s="7">
        <f t="shared" si="53"/>
        <v>4.1666666666666666E-3</v>
      </c>
      <c r="K76" s="2"/>
      <c r="L76" s="6">
        <f t="shared" si="54"/>
        <v>-225</v>
      </c>
      <c r="M76" s="2"/>
      <c r="N76" s="7">
        <f t="shared" si="55"/>
        <v>-0.5625</v>
      </c>
      <c r="O76" s="11"/>
      <c r="P76" s="6">
        <v>175</v>
      </c>
      <c r="Q76" s="2"/>
      <c r="R76" s="7">
        <f t="shared" si="56"/>
        <v>1.5530308106226243E-3</v>
      </c>
      <c r="S76" s="2"/>
      <c r="T76" s="6">
        <v>400</v>
      </c>
      <c r="U76" s="2"/>
      <c r="V76" s="7">
        <f t="shared" si="57"/>
        <v>2.0408163265306124E-3</v>
      </c>
      <c r="W76" s="2"/>
      <c r="X76" s="6">
        <f t="shared" si="58"/>
        <v>-225</v>
      </c>
      <c r="Y76" s="2"/>
      <c r="Z76" s="7">
        <f t="shared" si="59"/>
        <v>-0.5625</v>
      </c>
    </row>
    <row r="77" spans="1:26" s="63" customFormat="1" x14ac:dyDescent="0.25">
      <c r="A77" s="36"/>
      <c r="B77" s="36"/>
      <c r="C77" s="36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6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8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9" t="s">
        <v>3</v>
      </c>
      <c r="C80" s="29"/>
      <c r="D80" s="22">
        <f>+D22-D24+D78</f>
        <v>-5858.82</v>
      </c>
      <c r="E80" s="14"/>
      <c r="F80" s="20">
        <f>IF(D$12=0,0,D80/D$12)</f>
        <v>-8.9484192320404485E-2</v>
      </c>
      <c r="G80" s="14"/>
      <c r="H80" s="22">
        <f>+H22-H24+H78</f>
        <v>-2537.0373236384767</v>
      </c>
      <c r="I80" s="14"/>
      <c r="J80" s="20">
        <f>IF(H$12=0,0,H80/H$12)</f>
        <v>-2.6427472121234131E-2</v>
      </c>
      <c r="K80" s="15"/>
      <c r="L80" s="22">
        <f>+D80-H80</f>
        <v>-3321.782676361523</v>
      </c>
      <c r="M80" s="15"/>
      <c r="N80" s="20">
        <f>IF(H80=0,0,L80/H80)</f>
        <v>1.309315651532319</v>
      </c>
      <c r="O80" s="28"/>
      <c r="P80" s="22">
        <f>+P22-P24+P78</f>
        <v>-33463.599999999977</v>
      </c>
      <c r="Q80" s="14"/>
      <c r="R80" s="20">
        <f>IF(P$12=0,0,P80/P$12)</f>
        <v>-0.29697143905343548</v>
      </c>
      <c r="S80" s="14"/>
      <c r="T80" s="22">
        <f>+T22-T24+T78</f>
        <v>-3228.3573837922595</v>
      </c>
      <c r="U80" s="14"/>
      <c r="V80" s="20">
        <f>IF(T$12=0,0,T80/T$12)</f>
        <v>-1.6471211141797244E-2</v>
      </c>
      <c r="W80" s="15"/>
      <c r="X80" s="22">
        <f>+P80-T80</f>
        <v>-30235.242616207717</v>
      </c>
      <c r="Y80" s="15"/>
      <c r="Z80" s="20">
        <f>IF(T80=0,0,X80/T80)</f>
        <v>9.3655190617995459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>
        <v>4233.22</v>
      </c>
      <c r="E82" s="4"/>
      <c r="F82" s="12">
        <f>IF(D$12=0,0,D82/D$12)</f>
        <v>6.4655728050116365E-2</v>
      </c>
      <c r="G82" s="4"/>
      <c r="H82" s="4">
        <v>7460</v>
      </c>
      <c r="I82" s="4"/>
      <c r="J82" s="12">
        <f>IF(H$12=0,0,H82/H$12)</f>
        <v>7.7708333333333338E-2</v>
      </c>
      <c r="K82" s="4"/>
      <c r="L82" s="4">
        <f>+D82-H82</f>
        <v>-3226.7799999999997</v>
      </c>
      <c r="M82" s="4"/>
      <c r="N82" s="12">
        <f>IF(H82=0,0,L82/H82)</f>
        <v>-0.43254423592493296</v>
      </c>
      <c r="O82" s="10"/>
      <c r="P82" s="4">
        <v>14049.5</v>
      </c>
      <c r="Q82" s="4"/>
      <c r="R82" s="12">
        <f>IF(P$12=0,0,P82/P$12)</f>
        <v>0.12468175070767176</v>
      </c>
      <c r="S82" s="4"/>
      <c r="T82" s="4">
        <v>31831</v>
      </c>
      <c r="U82" s="4"/>
      <c r="V82" s="12">
        <f>IF(T$12=0,0,T82/T$12)</f>
        <v>0.1624030612244898</v>
      </c>
      <c r="W82" s="4"/>
      <c r="X82" s="4">
        <f>+P82-T82</f>
        <v>-17781.5</v>
      </c>
      <c r="Y82" s="4"/>
      <c r="Z82" s="12">
        <f>IF(T82=0,0,X82/T82)</f>
        <v>-0.55862209795482387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9" t="s">
        <v>4</v>
      </c>
      <c r="C84" s="29"/>
      <c r="D84" s="31">
        <f>+D80-D82</f>
        <v>-10092.040000000001</v>
      </c>
      <c r="E84" s="14"/>
      <c r="F84" s="32">
        <f>IF(D$12=0,0,D84/D$12)</f>
        <v>-0.15413992037052085</v>
      </c>
      <c r="G84" s="14"/>
      <c r="H84" s="31">
        <f>+H80-H82</f>
        <v>-9997.0373236384767</v>
      </c>
      <c r="I84" s="14"/>
      <c r="J84" s="32">
        <f>IF(H$12=0,0,H84/H$12)</f>
        <v>-0.10413580545456746</v>
      </c>
      <c r="K84" s="15"/>
      <c r="L84" s="31">
        <f>D84-H84</f>
        <v>-95.002676361524209</v>
      </c>
      <c r="M84" s="15"/>
      <c r="N84" s="32">
        <f>IF(H84=0,0,L84/H84)</f>
        <v>9.5030830921162806E-3</v>
      </c>
      <c r="O84" s="28"/>
      <c r="P84" s="31">
        <f>+P80-P82</f>
        <v>-47513.099999999977</v>
      </c>
      <c r="Q84" s="14"/>
      <c r="R84" s="32">
        <f>IF(P$12=0,0,P84/P$12)</f>
        <v>-0.42165318976110727</v>
      </c>
      <c r="S84" s="14"/>
      <c r="T84" s="31">
        <f>+T80-T82</f>
        <v>-35059.357383792259</v>
      </c>
      <c r="U84" s="14"/>
      <c r="V84" s="32">
        <f>IF(T$12=0,0,T84/T$12)</f>
        <v>-0.17887427236628703</v>
      </c>
      <c r="W84" s="15"/>
      <c r="X84" s="31">
        <f>P84-T84</f>
        <v>-12453.742616207717</v>
      </c>
      <c r="Y84" s="15"/>
      <c r="Z84" s="32">
        <f>IF(T84=0,0,X84/T84)</f>
        <v>0.35521879308503845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5</v>
      </c>
      <c r="C87" s="29"/>
      <c r="D87" s="33">
        <f>SUM(D84:D86)</f>
        <v>-10092.040000000001</v>
      </c>
      <c r="E87" s="14"/>
      <c r="F87" s="35">
        <f>IF(D$12=0,0,D87/D$12)</f>
        <v>-0.15413992037052085</v>
      </c>
      <c r="G87" s="14"/>
      <c r="H87" s="33">
        <f>SUM(H84:H86)</f>
        <v>-9997.0373236384767</v>
      </c>
      <c r="I87" s="14"/>
      <c r="J87" s="35">
        <f>IF(H$12=0,0,H87/H$12)</f>
        <v>-0.10413580545456746</v>
      </c>
      <c r="K87" s="15"/>
      <c r="L87" s="33">
        <f>+D87-H87</f>
        <v>-95.002676361524209</v>
      </c>
      <c r="M87" s="15"/>
      <c r="N87" s="35">
        <f>IF(H87=0,0,L87/H87)</f>
        <v>9.5030830921162806E-3</v>
      </c>
      <c r="O87" s="28"/>
      <c r="P87" s="33">
        <f>SUM(P84:P86)</f>
        <v>-47513.099999999977</v>
      </c>
      <c r="Q87" s="14"/>
      <c r="R87" s="35">
        <f>IF(P$12=0,0,P87/P$12)</f>
        <v>-0.42165318976110727</v>
      </c>
      <c r="S87" s="14"/>
      <c r="T87" s="33">
        <f>SUM(T84:T86)</f>
        <v>-35059.357383792259</v>
      </c>
      <c r="U87" s="14"/>
      <c r="V87" s="35">
        <f>IF(T$12=0,0,T87/T$12)</f>
        <v>-0.17887427236628703</v>
      </c>
      <c r="W87" s="15"/>
      <c r="X87" s="33">
        <f>+P87-T87</f>
        <v>-12453.742616207717</v>
      </c>
      <c r="Y87" s="15"/>
      <c r="Z87" s="35">
        <f>IF(T87=0,0,X87/T87)</f>
        <v>0.35521879308503845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25">
      <c r="A89" s="9"/>
      <c r="B89" s="61">
        <v>43732.70634517361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25">
      <c r="A90" s="9"/>
      <c r="B90" s="62" t="s">
        <v>314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25">
      <c r="A91" s="9"/>
      <c r="B91" s="58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","413", " - ", "Beach Walk")</f>
        <v>Department 413 - Beach Walk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20174.41</v>
      </c>
      <c r="E12" s="4"/>
      <c r="F12" s="12"/>
      <c r="G12" s="4"/>
      <c r="H12" s="4">
        <f>SUM(OSRRefH13x_0)</f>
        <v>19604</v>
      </c>
      <c r="I12" s="4"/>
      <c r="J12" s="12"/>
      <c r="K12" s="4"/>
      <c r="L12" s="4">
        <f t="shared" ref="L12:L16" si="0">+D12-H12</f>
        <v>570.40999999999985</v>
      </c>
      <c r="M12" s="4"/>
      <c r="N12" s="12">
        <f t="shared" ref="N12:N16" si="1">IF(H12=0,0,L12/H12)</f>
        <v>2.9096612936135476E-2</v>
      </c>
      <c r="O12" s="10"/>
      <c r="P12" s="4">
        <f>SUM(OSRRefP13x_0)</f>
        <v>26002</v>
      </c>
      <c r="Q12" s="4"/>
      <c r="R12" s="12"/>
      <c r="S12" s="4"/>
      <c r="T12" s="4">
        <f>SUM(OSRRefT13x_0)</f>
        <v>30879</v>
      </c>
      <c r="U12" s="4"/>
      <c r="V12" s="12"/>
      <c r="W12" s="4"/>
      <c r="X12" s="4">
        <f t="shared" ref="X12:X16" si="2">+P12-T12</f>
        <v>-4877</v>
      </c>
      <c r="Y12" s="4"/>
      <c r="Z12" s="12">
        <f t="shared" ref="Z12:Z16" si="3">IF(T12=0,0,X12/T12)</f>
        <v>-0.15793905243045436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2804</v>
      </c>
      <c r="I13" s="2"/>
      <c r="J13" s="21"/>
      <c r="K13" s="2"/>
      <c r="L13" s="2">
        <f t="shared" si="0"/>
        <v>-2804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5059</v>
      </c>
      <c r="U13" s="2"/>
      <c r="V13" s="21"/>
      <c r="W13" s="2"/>
      <c r="X13" s="2">
        <f t="shared" si="2"/>
        <v>-5059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"4051", " - ", "TAXABLE SALES-FOOD")</f>
        <v xml:space="preserve">          4051 - TAXABLE SALES-FOOD</v>
      </c>
      <c r="C14" s="11"/>
      <c r="D14" s="2">
        <f>--5507.79</f>
        <v>5507.79</v>
      </c>
      <c r="E14" s="2"/>
      <c r="F14" s="21"/>
      <c r="G14" s="2"/>
      <c r="H14" s="2"/>
      <c r="I14" s="2"/>
      <c r="J14" s="21"/>
      <c r="K14" s="2"/>
      <c r="L14" s="2">
        <f t="shared" si="0"/>
        <v>5507.79</v>
      </c>
      <c r="M14" s="2"/>
      <c r="N14" s="21">
        <f t="shared" si="1"/>
        <v>0</v>
      </c>
      <c r="O14" s="11"/>
      <c r="P14" s="2">
        <f>--9013.24</f>
        <v>9013.24</v>
      </c>
      <c r="Q14" s="2"/>
      <c r="R14" s="21"/>
      <c r="S14" s="2"/>
      <c r="T14" s="2"/>
      <c r="U14" s="2"/>
      <c r="V14" s="21"/>
      <c r="W14" s="2"/>
      <c r="X14" s="2">
        <f t="shared" si="2"/>
        <v>9013.24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1"/>
      <c r="G15" s="2"/>
      <c r="H15" s="2">
        <v>16800</v>
      </c>
      <c r="I15" s="2"/>
      <c r="J15" s="21"/>
      <c r="K15" s="2"/>
      <c r="L15" s="2">
        <f t="shared" si="0"/>
        <v>-16800</v>
      </c>
      <c r="M15" s="2"/>
      <c r="N15" s="21">
        <f t="shared" si="1"/>
        <v>-1</v>
      </c>
      <c r="O15" s="11"/>
      <c r="P15" s="2">
        <f>0</f>
        <v>0</v>
      </c>
      <c r="Q15" s="2"/>
      <c r="R15" s="21"/>
      <c r="S15" s="2"/>
      <c r="T15" s="2">
        <v>25820</v>
      </c>
      <c r="U15" s="2"/>
      <c r="V15" s="21"/>
      <c r="W15" s="2"/>
      <c r="X15" s="2">
        <f t="shared" si="2"/>
        <v>-25820</v>
      </c>
      <c r="Y15" s="2"/>
      <c r="Z15" s="21">
        <f t="shared" si="3"/>
        <v>-1</v>
      </c>
    </row>
    <row r="16" spans="1:26" s="24" customFormat="1" hidden="1" outlineLevel="1" x14ac:dyDescent="0.25">
      <c r="A16" s="46"/>
      <c r="B16" s="11" t="str">
        <f>CONCATENATE("          ", "4151", " - ", "NON-TAXABLE SALES-FOOD")</f>
        <v xml:space="preserve">          4151 - NON-TAXABLE SALES-FOOD</v>
      </c>
      <c r="C16" s="11"/>
      <c r="D16" s="2">
        <f>--14666.62</f>
        <v>14666.62</v>
      </c>
      <c r="E16" s="2"/>
      <c r="F16" s="21"/>
      <c r="G16" s="2"/>
      <c r="H16" s="2"/>
      <c r="I16" s="2"/>
      <c r="J16" s="21"/>
      <c r="K16" s="2"/>
      <c r="L16" s="2">
        <f t="shared" si="0"/>
        <v>14666.62</v>
      </c>
      <c r="M16" s="2"/>
      <c r="N16" s="21">
        <f t="shared" si="1"/>
        <v>0</v>
      </c>
      <c r="O16" s="11"/>
      <c r="P16" s="2">
        <f>--16988.76</f>
        <v>16988.759999999998</v>
      </c>
      <c r="Q16" s="2"/>
      <c r="R16" s="21"/>
      <c r="S16" s="2"/>
      <c r="T16" s="2"/>
      <c r="U16" s="2"/>
      <c r="V16" s="21"/>
      <c r="W16" s="2"/>
      <c r="X16" s="2">
        <f t="shared" si="2"/>
        <v>16988.759999999998</v>
      </c>
      <c r="Y16" s="2"/>
      <c r="Z16" s="21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7282.86</v>
      </c>
      <c r="E18" s="4"/>
      <c r="F18" s="12">
        <f t="shared" ref="F18:F21" si="4">IF(D$12=0,0,D18/D$12)</f>
        <v>0.36099494359438516</v>
      </c>
      <c r="G18" s="4"/>
      <c r="H18" s="4">
        <f>SUM(OSRRefH16x_0)</f>
        <v>7070</v>
      </c>
      <c r="I18" s="4"/>
      <c r="J18" s="12">
        <f t="shared" ref="J18:J21" si="5">IF(H$12=0,0,H18/H$12)</f>
        <v>0.36064068557437257</v>
      </c>
      <c r="K18" s="4"/>
      <c r="L18" s="4">
        <f t="shared" ref="L18:L21" si="6">+D18-H18</f>
        <v>212.85999999999967</v>
      </c>
      <c r="M18" s="4"/>
      <c r="N18" s="12">
        <f t="shared" ref="N18:N21" si="7">IF(H18=0,0,L18/H18)</f>
        <v>3.010749646393206E-2</v>
      </c>
      <c r="O18" s="10"/>
      <c r="P18" s="4">
        <f>SUM(OSRRefP16x_0)</f>
        <v>9932.7099999999991</v>
      </c>
      <c r="Q18" s="4"/>
      <c r="R18" s="12">
        <f t="shared" ref="R18:R21" si="8">IF(P$12=0,0,P18/P$12)</f>
        <v>0.38199792323667409</v>
      </c>
      <c r="S18" s="4"/>
      <c r="T18" s="4">
        <f>SUM(OSRRefT16x_0)</f>
        <v>10000</v>
      </c>
      <c r="U18" s="4"/>
      <c r="V18" s="12">
        <f t="shared" ref="V18:V21" si="9">IF(T$12=0,0,T18/T$12)</f>
        <v>0.32384468408951067</v>
      </c>
      <c r="W18" s="4"/>
      <c r="X18" s="4">
        <f t="shared" ref="X18:X21" si="10">+P18-T18</f>
        <v>-67.290000000000873</v>
      </c>
      <c r="Y18" s="4"/>
      <c r="Z18" s="12">
        <f t="shared" ref="Z18:Z21" si="11">IF(T18=0,0,X18/T18)</f>
        <v>-6.7290000000000873E-3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1">
        <f t="shared" si="4"/>
        <v>0</v>
      </c>
      <c r="G19" s="2"/>
      <c r="H19" s="2">
        <v>7070</v>
      </c>
      <c r="I19" s="2"/>
      <c r="J19" s="21">
        <f t="shared" si="5"/>
        <v>0.36064068557437257</v>
      </c>
      <c r="K19" s="2"/>
      <c r="L19" s="2">
        <f t="shared" si="6"/>
        <v>-7070</v>
      </c>
      <c r="M19" s="2"/>
      <c r="N19" s="21">
        <f t="shared" si="7"/>
        <v>-1</v>
      </c>
      <c r="O19" s="11"/>
      <c r="P19" s="2"/>
      <c r="Q19" s="2"/>
      <c r="R19" s="21">
        <f t="shared" si="8"/>
        <v>0</v>
      </c>
      <c r="S19" s="2"/>
      <c r="T19" s="2">
        <v>10000</v>
      </c>
      <c r="U19" s="2"/>
      <c r="V19" s="21">
        <f t="shared" si="9"/>
        <v>0.32384468408951067</v>
      </c>
      <c r="W19" s="2"/>
      <c r="X19" s="2">
        <f t="shared" si="10"/>
        <v>-10000</v>
      </c>
      <c r="Y19" s="2"/>
      <c r="Z19" s="21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7841.2</v>
      </c>
      <c r="E20" s="2"/>
      <c r="F20" s="21">
        <f t="shared" si="4"/>
        <v>0.38867059804970749</v>
      </c>
      <c r="G20" s="2"/>
      <c r="H20" s="2"/>
      <c r="I20" s="2"/>
      <c r="J20" s="21">
        <f t="shared" si="5"/>
        <v>0</v>
      </c>
      <c r="K20" s="2"/>
      <c r="L20" s="2">
        <f t="shared" si="6"/>
        <v>7841.2</v>
      </c>
      <c r="M20" s="2"/>
      <c r="N20" s="21">
        <f t="shared" si="7"/>
        <v>0</v>
      </c>
      <c r="O20" s="11"/>
      <c r="P20" s="2">
        <v>11203.05</v>
      </c>
      <c r="Q20" s="2"/>
      <c r="R20" s="21">
        <f t="shared" si="8"/>
        <v>0.43085339589262361</v>
      </c>
      <c r="S20" s="2"/>
      <c r="T20" s="2"/>
      <c r="U20" s="2"/>
      <c r="V20" s="21">
        <f t="shared" si="9"/>
        <v>0</v>
      </c>
      <c r="W20" s="2"/>
      <c r="X20" s="2">
        <f t="shared" si="10"/>
        <v>11203.05</v>
      </c>
      <c r="Y20" s="2"/>
      <c r="Z20" s="21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-558.34</v>
      </c>
      <c r="E21" s="2"/>
      <c r="F21" s="21">
        <f t="shared" si="4"/>
        <v>-2.7675654455322364E-2</v>
      </c>
      <c r="G21" s="2"/>
      <c r="H21" s="2"/>
      <c r="I21" s="2"/>
      <c r="J21" s="21">
        <f t="shared" si="5"/>
        <v>0</v>
      </c>
      <c r="K21" s="2"/>
      <c r="L21" s="2">
        <f t="shared" si="6"/>
        <v>-558.34</v>
      </c>
      <c r="M21" s="2"/>
      <c r="N21" s="21">
        <f t="shared" si="7"/>
        <v>0</v>
      </c>
      <c r="O21" s="11"/>
      <c r="P21" s="2">
        <v>-1270.3399999999999</v>
      </c>
      <c r="Q21" s="2"/>
      <c r="R21" s="21">
        <f t="shared" si="8"/>
        <v>-4.8855472655949542E-2</v>
      </c>
      <c r="S21" s="2"/>
      <c r="T21" s="2"/>
      <c r="U21" s="2"/>
      <c r="V21" s="21">
        <f t="shared" si="9"/>
        <v>0</v>
      </c>
      <c r="W21" s="2"/>
      <c r="X21" s="2">
        <f t="shared" si="10"/>
        <v>-1270.3399999999999</v>
      </c>
      <c r="Y21" s="2"/>
      <c r="Z21" s="21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12891.55</v>
      </c>
      <c r="E23" s="14"/>
      <c r="F23" s="20">
        <f>IF(D$12=0,0,D23/D$12)</f>
        <v>0.63900505640561478</v>
      </c>
      <c r="G23" s="14"/>
      <c r="H23" s="22">
        <f>H12-H18</f>
        <v>12534</v>
      </c>
      <c r="I23" s="14"/>
      <c r="J23" s="20">
        <f>IF(H$12=0,0,H23/H$12)</f>
        <v>0.63935931442562743</v>
      </c>
      <c r="K23" s="15"/>
      <c r="L23" s="22">
        <f>+D23-H23</f>
        <v>357.54999999999927</v>
      </c>
      <c r="M23" s="15"/>
      <c r="N23" s="20">
        <f>IF(H23=0,0,L23/H23)</f>
        <v>2.8526408169778146E-2</v>
      </c>
      <c r="O23" s="28"/>
      <c r="P23" s="22">
        <f>P12-P18</f>
        <v>16069.29</v>
      </c>
      <c r="Q23" s="14"/>
      <c r="R23" s="20">
        <f>IF(P$12=0,0,P23/P$12)</f>
        <v>0.61800207676332597</v>
      </c>
      <c r="S23" s="14"/>
      <c r="T23" s="22">
        <f>T12-T18</f>
        <v>20879</v>
      </c>
      <c r="U23" s="14"/>
      <c r="V23" s="20">
        <f>IF(T$12=0,0,T23/T$12)</f>
        <v>0.67615531591048927</v>
      </c>
      <c r="W23" s="15"/>
      <c r="X23" s="22">
        <f>+P23-T23</f>
        <v>-4809.7099999999991</v>
      </c>
      <c r="Y23" s="15"/>
      <c r="Z23" s="20">
        <f>IF(T23=0,0,X23/T23)</f>
        <v>-0.23036112840653283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19">
        <f>SUM(OSRRefD22x_0)</f>
        <v>18174.020000000004</v>
      </c>
      <c r="E25" s="19"/>
      <c r="F25" s="34">
        <f t="shared" ref="F25:F35" si="12">IF(D$12=0,0,D25/D$12)</f>
        <v>0.9008451796112007</v>
      </c>
      <c r="G25" s="19"/>
      <c r="H25" s="19">
        <f>SUM(OSRRefH22x_0)</f>
        <v>15762.223496700002</v>
      </c>
      <c r="I25" s="19"/>
      <c r="J25" s="34">
        <f t="shared" ref="J25:J35" si="13">IF(H$12=0,0,H25/H$12)</f>
        <v>0.80403098840542753</v>
      </c>
      <c r="K25" s="4"/>
      <c r="L25" s="19">
        <f t="shared" ref="L25:L35" si="14">+D25-H25</f>
        <v>2411.7965033000019</v>
      </c>
      <c r="M25" s="4"/>
      <c r="N25" s="34">
        <f t="shared" ref="N25:N35" si="15">IF(H25=0,0,L25/H25)</f>
        <v>0.15301118549708032</v>
      </c>
      <c r="O25" s="10"/>
      <c r="P25" s="19">
        <f>SUM(OSRRefP22x_0)</f>
        <v>34897.31</v>
      </c>
      <c r="Q25" s="19"/>
      <c r="R25" s="34">
        <f t="shared" ref="R25:R35" si="16">IF(P$12=0,0,P25/P$12)</f>
        <v>1.3421009922313667</v>
      </c>
      <c r="S25" s="19"/>
      <c r="T25" s="19">
        <f>SUM(OSRRefT22x_0)</f>
        <v>29852.781386324998</v>
      </c>
      <c r="U25" s="19"/>
      <c r="V25" s="34">
        <f t="shared" ref="V25:V35" si="17">IF(T$12=0,0,T25/T$12)</f>
        <v>0.96676645572476427</v>
      </c>
      <c r="W25" s="4"/>
      <c r="X25" s="19">
        <f t="shared" ref="X25:X35" si="18">+P25-T25</f>
        <v>5044.5286136750001</v>
      </c>
      <c r="Y25" s="4"/>
      <c r="Z25" s="34">
        <f t="shared" ref="Z25:Z35" si="19">IF(T25=0,0,X25/T25)</f>
        <v>0.16898018809013904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3305.1499999999996</v>
      </c>
      <c r="E26" s="1"/>
      <c r="F26" s="5">
        <f t="shared" si="12"/>
        <v>0.16382883068203727</v>
      </c>
      <c r="G26" s="1"/>
      <c r="H26" s="1">
        <f>SUM(OSRRefH22_0x_0)</f>
        <v>3538.6409582384617</v>
      </c>
      <c r="I26" s="1"/>
      <c r="J26" s="5">
        <f t="shared" si="13"/>
        <v>0.1805060680595012</v>
      </c>
      <c r="K26" s="1"/>
      <c r="L26" s="1">
        <f t="shared" si="14"/>
        <v>-233.4909582384621</v>
      </c>
      <c r="M26" s="1"/>
      <c r="N26" s="5">
        <f t="shared" si="15"/>
        <v>-6.5983229435826712E-2</v>
      </c>
      <c r="O26" s="13"/>
      <c r="P26" s="1">
        <f>SUM(OSRRefP22_0x_0)</f>
        <v>6738.9900000000007</v>
      </c>
      <c r="Q26" s="1"/>
      <c r="R26" s="5">
        <f t="shared" si="16"/>
        <v>0.25917198677024844</v>
      </c>
      <c r="S26" s="1"/>
      <c r="T26" s="1">
        <f>SUM(OSRRefT22_0x_0)</f>
        <v>7139.3456747865393</v>
      </c>
      <c r="U26" s="1"/>
      <c r="V26" s="5">
        <f t="shared" si="17"/>
        <v>0.23120391446570612</v>
      </c>
      <c r="W26" s="1"/>
      <c r="X26" s="1">
        <f t="shared" si="18"/>
        <v>-400.35567478653866</v>
      </c>
      <c r="Y26" s="1"/>
      <c r="Z26" s="5">
        <f t="shared" si="19"/>
        <v>-5.6077362411578284E-2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679.77</v>
      </c>
      <c r="E27" s="2"/>
      <c r="F27" s="7">
        <f t="shared" si="12"/>
        <v>3.3694665668041843E-2</v>
      </c>
      <c r="G27" s="2"/>
      <c r="H27" s="6">
        <v>715.48173685384597</v>
      </c>
      <c r="I27" s="2"/>
      <c r="J27" s="7">
        <f t="shared" si="13"/>
        <v>3.6496721937045805E-2</v>
      </c>
      <c r="K27" s="2"/>
      <c r="L27" s="6">
        <f t="shared" si="14"/>
        <v>-35.711736853845991</v>
      </c>
      <c r="M27" s="2"/>
      <c r="N27" s="7">
        <f t="shared" si="15"/>
        <v>-4.991285593239532E-2</v>
      </c>
      <c r="O27" s="11"/>
      <c r="P27" s="6">
        <v>1197.3399999999999</v>
      </c>
      <c r="Q27" s="2"/>
      <c r="R27" s="7">
        <f t="shared" si="16"/>
        <v>4.6047996307976305E-2</v>
      </c>
      <c r="S27" s="2"/>
      <c r="T27" s="6">
        <v>1392.249551671154</v>
      </c>
      <c r="U27" s="2"/>
      <c r="V27" s="7">
        <f t="shared" si="17"/>
        <v>4.5087261623470772E-2</v>
      </c>
      <c r="W27" s="2"/>
      <c r="X27" s="6">
        <f t="shared" si="18"/>
        <v>-194.90955167115408</v>
      </c>
      <c r="Y27" s="2"/>
      <c r="Z27" s="7">
        <f t="shared" si="19"/>
        <v>-0.13999613175468362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346.55</v>
      </c>
      <c r="E28" s="2"/>
      <c r="F28" s="7">
        <f t="shared" si="12"/>
        <v>1.7177701851008281E-2</v>
      </c>
      <c r="G28" s="2"/>
      <c r="H28" s="6">
        <v>387.419402769231</v>
      </c>
      <c r="I28" s="2"/>
      <c r="J28" s="7">
        <f t="shared" si="13"/>
        <v>1.9762262944767954E-2</v>
      </c>
      <c r="K28" s="2"/>
      <c r="L28" s="6">
        <f t="shared" si="14"/>
        <v>-40.869402769230987</v>
      </c>
      <c r="M28" s="2"/>
      <c r="N28" s="7">
        <f t="shared" si="15"/>
        <v>-0.10549136795189147</v>
      </c>
      <c r="O28" s="11"/>
      <c r="P28" s="6">
        <v>630.78</v>
      </c>
      <c r="Q28" s="2"/>
      <c r="R28" s="7">
        <f t="shared" si="16"/>
        <v>2.4258903161295284E-2</v>
      </c>
      <c r="S28" s="2"/>
      <c r="T28" s="6">
        <v>730.53440623076904</v>
      </c>
      <c r="U28" s="2"/>
      <c r="V28" s="7">
        <f t="shared" si="17"/>
        <v>2.3657968400232165E-2</v>
      </c>
      <c r="W28" s="2"/>
      <c r="X28" s="6">
        <f t="shared" si="18"/>
        <v>-99.754406230769064</v>
      </c>
      <c r="Y28" s="2"/>
      <c r="Z28" s="7">
        <f t="shared" si="19"/>
        <v>-0.13654990836839184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1286.5999999999999</v>
      </c>
      <c r="E29" s="2"/>
      <c r="F29" s="7">
        <f t="shared" si="12"/>
        <v>6.3773860053404283E-2</v>
      </c>
      <c r="G29" s="2"/>
      <c r="H29" s="6">
        <v>1381</v>
      </c>
      <c r="I29" s="2"/>
      <c r="J29" s="7">
        <f t="shared" si="13"/>
        <v>7.0444807182207719E-2</v>
      </c>
      <c r="K29" s="2"/>
      <c r="L29" s="6">
        <f t="shared" si="14"/>
        <v>-94.400000000000091</v>
      </c>
      <c r="M29" s="2"/>
      <c r="N29" s="7">
        <f t="shared" si="15"/>
        <v>-6.835626357711809E-2</v>
      </c>
      <c r="O29" s="11"/>
      <c r="P29" s="6">
        <v>2573.1999999999998</v>
      </c>
      <c r="Q29" s="2"/>
      <c r="R29" s="7">
        <f t="shared" si="16"/>
        <v>9.8961618337050986E-2</v>
      </c>
      <c r="S29" s="2"/>
      <c r="T29" s="6">
        <v>2762</v>
      </c>
      <c r="U29" s="2"/>
      <c r="V29" s="7">
        <f t="shared" si="17"/>
        <v>8.9445901745522846E-2</v>
      </c>
      <c r="W29" s="2"/>
      <c r="X29" s="6">
        <f t="shared" si="18"/>
        <v>-188.80000000000018</v>
      </c>
      <c r="Y29" s="2"/>
      <c r="Z29" s="7">
        <f t="shared" si="19"/>
        <v>-6.835626357711809E-2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23.22</v>
      </c>
      <c r="E30" s="2"/>
      <c r="F30" s="7">
        <f t="shared" si="12"/>
        <v>1.1509630269237118E-3</v>
      </c>
      <c r="G30" s="2"/>
      <c r="H30" s="6">
        <v>25.961093999999999</v>
      </c>
      <c r="I30" s="2"/>
      <c r="J30" s="7">
        <f t="shared" si="13"/>
        <v>1.3242753519689858E-3</v>
      </c>
      <c r="K30" s="2"/>
      <c r="L30" s="6">
        <f t="shared" si="14"/>
        <v>-2.7410940000000004</v>
      </c>
      <c r="M30" s="2"/>
      <c r="N30" s="7">
        <f t="shared" si="15"/>
        <v>-0.1055846876098519</v>
      </c>
      <c r="O30" s="11"/>
      <c r="P30" s="6">
        <v>42.27</v>
      </c>
      <c r="Q30" s="2"/>
      <c r="R30" s="7">
        <f t="shared" si="16"/>
        <v>1.6256441812168296E-3</v>
      </c>
      <c r="S30" s="2"/>
      <c r="T30" s="6">
        <v>48.953336499999999</v>
      </c>
      <c r="U30" s="2"/>
      <c r="V30" s="7">
        <f t="shared" si="17"/>
        <v>1.5853277793970012E-3</v>
      </c>
      <c r="W30" s="2"/>
      <c r="X30" s="6">
        <f t="shared" si="18"/>
        <v>-6.6833364999999958</v>
      </c>
      <c r="Y30" s="2"/>
      <c r="Z30" s="7">
        <f t="shared" si="19"/>
        <v>-0.13652463708985385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326.52</v>
      </c>
      <c r="E31" s="2"/>
      <c r="F31" s="7">
        <f t="shared" si="12"/>
        <v>1.6184859928989249E-2</v>
      </c>
      <c r="G31" s="2"/>
      <c r="H31" s="6">
        <v>402.01010923076899</v>
      </c>
      <c r="I31" s="2"/>
      <c r="J31" s="7">
        <f t="shared" si="13"/>
        <v>2.0506534851600131E-2</v>
      </c>
      <c r="K31" s="2"/>
      <c r="L31" s="6">
        <f t="shared" si="14"/>
        <v>-75.490109230769008</v>
      </c>
      <c r="M31" s="2"/>
      <c r="N31" s="7">
        <f t="shared" si="15"/>
        <v>-0.18778161916180777</v>
      </c>
      <c r="O31" s="11"/>
      <c r="P31" s="6">
        <v>653.04</v>
      </c>
      <c r="Q31" s="2"/>
      <c r="R31" s="7">
        <f t="shared" si="16"/>
        <v>2.5114991154526572E-2</v>
      </c>
      <c r="S31" s="2"/>
      <c r="T31" s="6">
        <v>904.52274576923094</v>
      </c>
      <c r="U31" s="2"/>
      <c r="V31" s="7">
        <f t="shared" si="17"/>
        <v>2.9292488285541336E-2</v>
      </c>
      <c r="W31" s="2"/>
      <c r="X31" s="6">
        <f t="shared" si="18"/>
        <v>-251.48274576923097</v>
      </c>
      <c r="Y31" s="2"/>
      <c r="Z31" s="7">
        <f t="shared" si="19"/>
        <v>-0.27802810592160748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269.38</v>
      </c>
      <c r="E33" s="2"/>
      <c r="F33" s="7">
        <f t="shared" si="12"/>
        <v>1.3352559009160615E-2</v>
      </c>
      <c r="G33" s="2"/>
      <c r="H33" s="6">
        <v>233.72680769230803</v>
      </c>
      <c r="I33" s="2"/>
      <c r="J33" s="7">
        <f t="shared" si="13"/>
        <v>1.1922403983488473E-2</v>
      </c>
      <c r="K33" s="2"/>
      <c r="L33" s="6">
        <f t="shared" si="14"/>
        <v>35.653192307691967</v>
      </c>
      <c r="M33" s="2"/>
      <c r="N33" s="7">
        <f t="shared" si="15"/>
        <v>0.15254216090876474</v>
      </c>
      <c r="O33" s="11"/>
      <c r="P33" s="6">
        <v>622.85</v>
      </c>
      <c r="Q33" s="2"/>
      <c r="R33" s="7">
        <f t="shared" si="16"/>
        <v>2.3953926621029152E-2</v>
      </c>
      <c r="S33" s="2"/>
      <c r="T33" s="6">
        <v>525.88531730769296</v>
      </c>
      <c r="U33" s="2"/>
      <c r="V33" s="7">
        <f t="shared" si="17"/>
        <v>1.7030516445082189E-2</v>
      </c>
      <c r="W33" s="2"/>
      <c r="X33" s="6">
        <f t="shared" si="18"/>
        <v>96.964682692307065</v>
      </c>
      <c r="Y33" s="2"/>
      <c r="Z33" s="7">
        <f t="shared" si="19"/>
        <v>0.18438370401502102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215.62</v>
      </c>
      <c r="E34" s="2"/>
      <c r="F34" s="7">
        <f t="shared" si="12"/>
        <v>1.0687797065688662E-2</v>
      </c>
      <c r="G34" s="2"/>
      <c r="H34" s="6">
        <v>393.041807692308</v>
      </c>
      <c r="I34" s="2"/>
      <c r="J34" s="7">
        <f t="shared" si="13"/>
        <v>2.0049061808422159E-2</v>
      </c>
      <c r="K34" s="2"/>
      <c r="L34" s="6">
        <f t="shared" si="14"/>
        <v>-177.42180769230799</v>
      </c>
      <c r="M34" s="2"/>
      <c r="N34" s="7">
        <f t="shared" si="15"/>
        <v>-0.45140696032825672</v>
      </c>
      <c r="O34" s="11"/>
      <c r="P34" s="6">
        <v>765.13</v>
      </c>
      <c r="Q34" s="2"/>
      <c r="R34" s="7">
        <f t="shared" si="16"/>
        <v>2.9425813398969311E-2</v>
      </c>
      <c r="S34" s="2"/>
      <c r="T34" s="6">
        <v>775.2003173076929</v>
      </c>
      <c r="U34" s="2"/>
      <c r="V34" s="7">
        <f t="shared" si="17"/>
        <v>2.5104450186459824E-2</v>
      </c>
      <c r="W34" s="2"/>
      <c r="X34" s="6">
        <f t="shared" si="18"/>
        <v>-10.070317307692903</v>
      </c>
      <c r="Y34" s="2"/>
      <c r="Z34" s="7">
        <f t="shared" si="19"/>
        <v>-1.2990600084720796E-2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157.49</v>
      </c>
      <c r="E35" s="2"/>
      <c r="F35" s="7">
        <f t="shared" si="12"/>
        <v>7.8064240788206455E-3</v>
      </c>
      <c r="G35" s="2"/>
      <c r="H35" s="6"/>
      <c r="I35" s="2"/>
      <c r="J35" s="7">
        <f t="shared" si="13"/>
        <v>0</v>
      </c>
      <c r="K35" s="2"/>
      <c r="L35" s="6">
        <f t="shared" si="14"/>
        <v>157.49</v>
      </c>
      <c r="M35" s="2"/>
      <c r="N35" s="7">
        <f t="shared" si="15"/>
        <v>0</v>
      </c>
      <c r="O35" s="11"/>
      <c r="P35" s="6">
        <v>254.38</v>
      </c>
      <c r="Q35" s="2"/>
      <c r="R35" s="7">
        <f t="shared" si="16"/>
        <v>9.7830936081839855E-3</v>
      </c>
      <c r="S35" s="2"/>
      <c r="T35" s="6"/>
      <c r="U35" s="2"/>
      <c r="V35" s="7">
        <f t="shared" si="17"/>
        <v>0</v>
      </c>
      <c r="W35" s="2"/>
      <c r="X35" s="6">
        <f t="shared" si="18"/>
        <v>254.38</v>
      </c>
      <c r="Y35" s="2"/>
      <c r="Z35" s="7">
        <f t="shared" si="19"/>
        <v>0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10796.89</v>
      </c>
      <c r="E36" s="1"/>
      <c r="F36" s="5">
        <f t="shared" ref="F36:F46" si="20">IF(D$12=0,0,D36/D$12)</f>
        <v>0.53517748474428739</v>
      </c>
      <c r="G36" s="1"/>
      <c r="H36" s="1">
        <f>SUM(OSRRefH22_1x_0)</f>
        <v>9517.58253846154</v>
      </c>
      <c r="I36" s="1"/>
      <c r="J36" s="5">
        <f t="shared" ref="J36:J46" si="21">IF(H$12=0,0,H36/H$12)</f>
        <v>0.48549186586724852</v>
      </c>
      <c r="K36" s="1"/>
      <c r="L36" s="1">
        <f t="shared" ref="L36:L46" si="22">+D36-H36</f>
        <v>1279.3074615384594</v>
      </c>
      <c r="M36" s="1"/>
      <c r="N36" s="5">
        <f t="shared" ref="N36:N46" si="23">IF(H36=0,0,L36/H36)</f>
        <v>0.13441516859650493</v>
      </c>
      <c r="O36" s="13"/>
      <c r="P36" s="1">
        <f>SUM(OSRRefP22_1x_0)</f>
        <v>18710.59</v>
      </c>
      <c r="Q36" s="1"/>
      <c r="R36" s="5">
        <f t="shared" ref="R36:R46" si="24">IF(P$12=0,0,P36/P$12)</f>
        <v>0.71958272440581494</v>
      </c>
      <c r="S36" s="1"/>
      <c r="T36" s="1">
        <f>SUM(OSRRefT22_1x_0)</f>
        <v>17776.435711538459</v>
      </c>
      <c r="U36" s="1"/>
      <c r="V36" s="5">
        <f t="shared" ref="V36:V46" si="25">IF(T$12=0,0,T36/T$12)</f>
        <v>0.57568042072406678</v>
      </c>
      <c r="W36" s="1"/>
      <c r="X36" s="1">
        <f t="shared" ref="X36:X46" si="26">+P36-T36</f>
        <v>934.154288461541</v>
      </c>
      <c r="Y36" s="1"/>
      <c r="Z36" s="5">
        <f t="shared" ref="Z36:Z46" si="27">IF(T36=0,0,X36/T36)</f>
        <v>5.2550145800892657E-2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4674.62</v>
      </c>
      <c r="E38" s="2"/>
      <c r="F38" s="7">
        <f t="shared" si="20"/>
        <v>0.23171036972084932</v>
      </c>
      <c r="G38" s="2"/>
      <c r="H38" s="6">
        <v>4207.08253846154</v>
      </c>
      <c r="I38" s="2"/>
      <c r="J38" s="7">
        <f t="shared" si="21"/>
        <v>0.21460327170279228</v>
      </c>
      <c r="K38" s="2"/>
      <c r="L38" s="6">
        <f t="shared" si="22"/>
        <v>467.53746153845987</v>
      </c>
      <c r="M38" s="2"/>
      <c r="N38" s="7">
        <f t="shared" si="23"/>
        <v>0.11113104087314402</v>
      </c>
      <c r="O38" s="11"/>
      <c r="P38" s="6">
        <v>9583.32</v>
      </c>
      <c r="Q38" s="2"/>
      <c r="R38" s="7">
        <f t="shared" si="24"/>
        <v>0.3685608799323129</v>
      </c>
      <c r="S38" s="2"/>
      <c r="T38" s="6">
        <v>9465.9357115384591</v>
      </c>
      <c r="U38" s="2"/>
      <c r="V38" s="7">
        <f t="shared" si="25"/>
        <v>0.30654929601147896</v>
      </c>
      <c r="W38" s="2"/>
      <c r="X38" s="6">
        <f t="shared" si="26"/>
        <v>117.38428846154056</v>
      </c>
      <c r="Y38" s="2"/>
      <c r="Z38" s="7">
        <f t="shared" si="27"/>
        <v>1.2400706283949882E-2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2514.5</v>
      </c>
      <c r="I40" s="2"/>
      <c r="J40" s="7">
        <f t="shared" si="21"/>
        <v>0.12826463986941442</v>
      </c>
      <c r="K40" s="2"/>
      <c r="L40" s="6">
        <f t="shared" si="22"/>
        <v>-2514.5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3954.5</v>
      </c>
      <c r="U40" s="2"/>
      <c r="V40" s="7">
        <f t="shared" si="25"/>
        <v>0.128064380323197</v>
      </c>
      <c r="W40" s="2"/>
      <c r="X40" s="6">
        <f t="shared" si="26"/>
        <v>-3954.5</v>
      </c>
      <c r="Y40" s="2"/>
      <c r="Z40" s="7">
        <f t="shared" si="27"/>
        <v>-1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1629.96</v>
      </c>
      <c r="E41" s="2"/>
      <c r="F41" s="7">
        <f t="shared" si="20"/>
        <v>8.0793440799507898E-2</v>
      </c>
      <c r="G41" s="2"/>
      <c r="H41" s="6">
        <v>204</v>
      </c>
      <c r="I41" s="2"/>
      <c r="J41" s="7">
        <f t="shared" si="21"/>
        <v>1.0406039583758417E-2</v>
      </c>
      <c r="K41" s="2"/>
      <c r="L41" s="6">
        <f t="shared" si="22"/>
        <v>1425.96</v>
      </c>
      <c r="M41" s="2"/>
      <c r="N41" s="7">
        <f t="shared" si="23"/>
        <v>6.99</v>
      </c>
      <c r="O41" s="11"/>
      <c r="P41" s="6">
        <v>2637.96</v>
      </c>
      <c r="Q41" s="2"/>
      <c r="R41" s="7">
        <f t="shared" si="24"/>
        <v>0.10145219598492423</v>
      </c>
      <c r="S41" s="2"/>
      <c r="T41" s="6">
        <v>204</v>
      </c>
      <c r="U41" s="2"/>
      <c r="V41" s="7">
        <f t="shared" si="25"/>
        <v>6.606431555426018E-3</v>
      </c>
      <c r="W41" s="2"/>
      <c r="X41" s="6">
        <f t="shared" si="26"/>
        <v>2433.96</v>
      </c>
      <c r="Y41" s="2"/>
      <c r="Z41" s="7">
        <f t="shared" si="27"/>
        <v>11.931176470588236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4492.3100000000004</v>
      </c>
      <c r="E43" s="2"/>
      <c r="F43" s="7">
        <f t="shared" si="20"/>
        <v>0.22267367422393025</v>
      </c>
      <c r="G43" s="2"/>
      <c r="H43" s="6">
        <v>2160</v>
      </c>
      <c r="I43" s="2"/>
      <c r="J43" s="7">
        <f t="shared" si="21"/>
        <v>0.11018159559273617</v>
      </c>
      <c r="K43" s="2"/>
      <c r="L43" s="6">
        <f t="shared" si="22"/>
        <v>2332.3100000000004</v>
      </c>
      <c r="M43" s="2"/>
      <c r="N43" s="7">
        <f t="shared" si="23"/>
        <v>1.0797731481481483</v>
      </c>
      <c r="O43" s="11"/>
      <c r="P43" s="6">
        <v>6489.31</v>
      </c>
      <c r="Q43" s="2"/>
      <c r="R43" s="7">
        <f t="shared" si="24"/>
        <v>0.24956964848857782</v>
      </c>
      <c r="S43" s="2"/>
      <c r="T43" s="6">
        <v>3720</v>
      </c>
      <c r="U43" s="2"/>
      <c r="V43" s="7">
        <f t="shared" si="25"/>
        <v>0.12047022248129798</v>
      </c>
      <c r="W43" s="2"/>
      <c r="X43" s="6">
        <f t="shared" si="26"/>
        <v>2769.3100000000004</v>
      </c>
      <c r="Y43" s="2"/>
      <c r="Z43" s="7">
        <f t="shared" si="27"/>
        <v>0.74443817204301088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432</v>
      </c>
      <c r="I44" s="2"/>
      <c r="J44" s="7">
        <f t="shared" si="21"/>
        <v>2.2036319118547237E-2</v>
      </c>
      <c r="K44" s="2"/>
      <c r="L44" s="6">
        <f t="shared" si="22"/>
        <v>-432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432</v>
      </c>
      <c r="U44" s="2"/>
      <c r="V44" s="7">
        <f t="shared" si="25"/>
        <v>1.3990090352666861E-2</v>
      </c>
      <c r="W44" s="2"/>
      <c r="X44" s="6">
        <f t="shared" si="26"/>
        <v>-432</v>
      </c>
      <c r="Y44" s="2"/>
      <c r="Z44" s="7">
        <f t="shared" si="27"/>
        <v>-1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541.04999999999995</v>
      </c>
      <c r="E47" s="1"/>
      <c r="F47" s="5">
        <f t="shared" ref="F47:F66" si="28">IF(D$12=0,0,D47/D$12)</f>
        <v>2.6818628153190104E-2</v>
      </c>
      <c r="G47" s="1"/>
      <c r="H47" s="1">
        <f>SUM(OSRRefH22_2x_0)</f>
        <v>75</v>
      </c>
      <c r="I47" s="1"/>
      <c r="J47" s="5">
        <f t="shared" ref="J47:J66" si="29">IF(H$12=0,0,H47/H$12)</f>
        <v>3.8257498469700061E-3</v>
      </c>
      <c r="K47" s="1"/>
      <c r="L47" s="1">
        <f t="shared" ref="L47:L66" si="30">+D47-H47</f>
        <v>466.04999999999995</v>
      </c>
      <c r="M47" s="1"/>
      <c r="N47" s="5">
        <f t="shared" ref="N47:N66" si="31">IF(H47=0,0,L47/H47)</f>
        <v>6.2139999999999995</v>
      </c>
      <c r="O47" s="13"/>
      <c r="P47" s="1">
        <f>SUM(OSRRefP22_2x_0)</f>
        <v>998.55</v>
      </c>
      <c r="Q47" s="1"/>
      <c r="R47" s="5">
        <f t="shared" ref="R47:R66" si="32">IF(P$12=0,0,P47/P$12)</f>
        <v>3.8402815168063993E-2</v>
      </c>
      <c r="S47" s="1"/>
      <c r="T47" s="1">
        <f>SUM(OSRRefT22_2x_0)</f>
        <v>325</v>
      </c>
      <c r="U47" s="1"/>
      <c r="V47" s="5">
        <f t="shared" ref="V47:V66" si="33">IF(T$12=0,0,T47/T$12)</f>
        <v>1.0524952232909097E-2</v>
      </c>
      <c r="W47" s="1"/>
      <c r="X47" s="1">
        <f t="shared" ref="X47:X66" si="34">+P47-T47</f>
        <v>673.55</v>
      </c>
      <c r="Y47" s="1"/>
      <c r="Z47" s="5">
        <f t="shared" ref="Z47:Z66" si="35">IF(T47=0,0,X47/T47)</f>
        <v>2.0724615384615381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541.04999999999995</v>
      </c>
      <c r="E48" s="2"/>
      <c r="F48" s="7">
        <f t="shared" si="28"/>
        <v>2.6818628153190104E-2</v>
      </c>
      <c r="G48" s="2"/>
      <c r="H48" s="6">
        <v>75</v>
      </c>
      <c r="I48" s="2"/>
      <c r="J48" s="7">
        <f t="shared" si="29"/>
        <v>3.8257498469700061E-3</v>
      </c>
      <c r="K48" s="2"/>
      <c r="L48" s="6">
        <f t="shared" si="30"/>
        <v>466.04999999999995</v>
      </c>
      <c r="M48" s="2"/>
      <c r="N48" s="7">
        <f t="shared" si="31"/>
        <v>6.2139999999999995</v>
      </c>
      <c r="O48" s="11"/>
      <c r="P48" s="6">
        <v>998.55</v>
      </c>
      <c r="Q48" s="2"/>
      <c r="R48" s="7">
        <f t="shared" si="32"/>
        <v>3.8402815168063993E-2</v>
      </c>
      <c r="S48" s="2"/>
      <c r="T48" s="6">
        <v>325</v>
      </c>
      <c r="U48" s="2"/>
      <c r="V48" s="7">
        <f t="shared" si="33"/>
        <v>1.0524952232909097E-2</v>
      </c>
      <c r="W48" s="2"/>
      <c r="X48" s="6">
        <f t="shared" si="34"/>
        <v>673.55</v>
      </c>
      <c r="Y48" s="2"/>
      <c r="Z48" s="7">
        <f t="shared" si="35"/>
        <v>2.0724615384615381</v>
      </c>
    </row>
    <row r="49" spans="1:26" s="26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-6.63</v>
      </c>
      <c r="E49" s="1"/>
      <c r="F49" s="5">
        <f t="shared" si="28"/>
        <v>-3.2863414593041381E-4</v>
      </c>
      <c r="G49" s="1"/>
      <c r="H49" s="1">
        <f>SUM(OSRRefH22_3x_0)</f>
        <v>20</v>
      </c>
      <c r="I49" s="1"/>
      <c r="J49" s="5">
        <f t="shared" si="29"/>
        <v>1.0201999591920017E-3</v>
      </c>
      <c r="K49" s="1"/>
      <c r="L49" s="1">
        <f t="shared" si="30"/>
        <v>-26.63</v>
      </c>
      <c r="M49" s="1"/>
      <c r="N49" s="5">
        <f t="shared" si="31"/>
        <v>-1.3314999999999999</v>
      </c>
      <c r="O49" s="13"/>
      <c r="P49" s="1">
        <f>SUM(OSRRefP22_3x_0)</f>
        <v>-6.82</v>
      </c>
      <c r="Q49" s="1"/>
      <c r="R49" s="5">
        <f t="shared" si="32"/>
        <v>-2.6228751634489657E-4</v>
      </c>
      <c r="S49" s="1"/>
      <c r="T49" s="1">
        <f>SUM(OSRRefT22_3x_0)</f>
        <v>40</v>
      </c>
      <c r="U49" s="1"/>
      <c r="V49" s="5">
        <f t="shared" si="33"/>
        <v>1.2953787363580427E-3</v>
      </c>
      <c r="W49" s="1"/>
      <c r="X49" s="1">
        <f t="shared" si="34"/>
        <v>-46.82</v>
      </c>
      <c r="Y49" s="1"/>
      <c r="Z49" s="5">
        <f t="shared" si="35"/>
        <v>-1.1705000000000001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-6.63</v>
      </c>
      <c r="E50" s="2"/>
      <c r="F50" s="7">
        <f t="shared" si="28"/>
        <v>-3.2863414593041381E-4</v>
      </c>
      <c r="G50" s="2"/>
      <c r="H50" s="6">
        <v>20</v>
      </c>
      <c r="I50" s="2"/>
      <c r="J50" s="7">
        <f t="shared" si="29"/>
        <v>1.0201999591920017E-3</v>
      </c>
      <c r="K50" s="2"/>
      <c r="L50" s="6">
        <f t="shared" si="30"/>
        <v>-26.63</v>
      </c>
      <c r="M50" s="2"/>
      <c r="N50" s="7">
        <f t="shared" si="31"/>
        <v>-1.3314999999999999</v>
      </c>
      <c r="O50" s="11"/>
      <c r="P50" s="6">
        <v>-6.82</v>
      </c>
      <c r="Q50" s="2"/>
      <c r="R50" s="7">
        <f t="shared" si="32"/>
        <v>-2.6228751634489657E-4</v>
      </c>
      <c r="S50" s="2"/>
      <c r="T50" s="6">
        <v>40</v>
      </c>
      <c r="U50" s="2"/>
      <c r="V50" s="7">
        <f t="shared" si="33"/>
        <v>1.2953787363580427E-3</v>
      </c>
      <c r="W50" s="2"/>
      <c r="X50" s="6">
        <f t="shared" si="34"/>
        <v>-46.82</v>
      </c>
      <c r="Y50" s="2"/>
      <c r="Z50" s="7">
        <f t="shared" si="35"/>
        <v>-1.1705000000000001</v>
      </c>
    </row>
    <row r="51" spans="1:26" s="26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677.7</v>
      </c>
      <c r="E51" s="1"/>
      <c r="F51" s="5">
        <f t="shared" si="28"/>
        <v>3.3592060436959496E-2</v>
      </c>
      <c r="G51" s="1"/>
      <c r="H51" s="1">
        <f>SUM(OSRRefH22_4x_0)</f>
        <v>600</v>
      </c>
      <c r="I51" s="1"/>
      <c r="J51" s="5">
        <f t="shared" si="29"/>
        <v>3.0605998775760049E-2</v>
      </c>
      <c r="K51" s="1"/>
      <c r="L51" s="1">
        <f t="shared" si="30"/>
        <v>77.700000000000045</v>
      </c>
      <c r="M51" s="1"/>
      <c r="N51" s="5">
        <f t="shared" si="31"/>
        <v>0.12950000000000009</v>
      </c>
      <c r="O51" s="13"/>
      <c r="P51" s="1">
        <f>SUM(OSRRefP22_4x_0)</f>
        <v>810.2</v>
      </c>
      <c r="Q51" s="1"/>
      <c r="R51" s="5">
        <f t="shared" si="32"/>
        <v>3.1159141604491965E-2</v>
      </c>
      <c r="S51" s="1"/>
      <c r="T51" s="1">
        <f>SUM(OSRRefT22_4x_0)</f>
        <v>900</v>
      </c>
      <c r="U51" s="1"/>
      <c r="V51" s="5">
        <f t="shared" si="33"/>
        <v>2.9146021568055961E-2</v>
      </c>
      <c r="W51" s="1"/>
      <c r="X51" s="1">
        <f t="shared" si="34"/>
        <v>-89.799999999999955</v>
      </c>
      <c r="Y51" s="1"/>
      <c r="Z51" s="5">
        <f t="shared" si="35"/>
        <v>-9.9777777777777729E-2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677.7</v>
      </c>
      <c r="E52" s="2"/>
      <c r="F52" s="7">
        <f t="shared" si="28"/>
        <v>3.3592060436959496E-2</v>
      </c>
      <c r="G52" s="2"/>
      <c r="H52" s="6">
        <v>600</v>
      </c>
      <c r="I52" s="2"/>
      <c r="J52" s="7">
        <f t="shared" si="29"/>
        <v>3.0605998775760049E-2</v>
      </c>
      <c r="K52" s="2"/>
      <c r="L52" s="6">
        <f t="shared" si="30"/>
        <v>77.700000000000045</v>
      </c>
      <c r="M52" s="2"/>
      <c r="N52" s="7">
        <f t="shared" si="31"/>
        <v>0.12950000000000009</v>
      </c>
      <c r="O52" s="11"/>
      <c r="P52" s="6">
        <v>810.2</v>
      </c>
      <c r="Q52" s="2"/>
      <c r="R52" s="7">
        <f t="shared" si="32"/>
        <v>3.1159141604491965E-2</v>
      </c>
      <c r="S52" s="2"/>
      <c r="T52" s="6">
        <v>900</v>
      </c>
      <c r="U52" s="2"/>
      <c r="V52" s="7">
        <f t="shared" si="33"/>
        <v>2.9146021568055961E-2</v>
      </c>
      <c r="W52" s="2"/>
      <c r="X52" s="6">
        <f t="shared" si="34"/>
        <v>-89.799999999999955</v>
      </c>
      <c r="Y52" s="2"/>
      <c r="Z52" s="7">
        <f t="shared" si="35"/>
        <v>-9.9777777777777729E-2</v>
      </c>
    </row>
    <row r="53" spans="1:26" s="26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630.21</v>
      </c>
      <c r="E53" s="1"/>
      <c r="F53" s="5">
        <f t="shared" si="28"/>
        <v>3.1238088251403638E-2</v>
      </c>
      <c r="G53" s="1"/>
      <c r="H53" s="1">
        <f>SUM(OSRRefH22_5x_0)</f>
        <v>636</v>
      </c>
      <c r="I53" s="1"/>
      <c r="J53" s="5">
        <f t="shared" si="29"/>
        <v>3.2442358702305649E-2</v>
      </c>
      <c r="K53" s="1"/>
      <c r="L53" s="1">
        <f t="shared" si="30"/>
        <v>-5.7899999999999636</v>
      </c>
      <c r="M53" s="1"/>
      <c r="N53" s="5">
        <f t="shared" si="31"/>
        <v>-9.1037735849056039E-3</v>
      </c>
      <c r="O53" s="13"/>
      <c r="P53" s="1">
        <f>SUM(OSRRefP22_5x_0)</f>
        <v>1260.42</v>
      </c>
      <c r="Q53" s="1"/>
      <c r="R53" s="5">
        <f t="shared" si="32"/>
        <v>4.8473963541266062E-2</v>
      </c>
      <c r="S53" s="1"/>
      <c r="T53" s="1">
        <f>SUM(OSRRefT22_5x_0)</f>
        <v>1272</v>
      </c>
      <c r="U53" s="1"/>
      <c r="V53" s="5">
        <f t="shared" si="33"/>
        <v>4.1193043816185757E-2</v>
      </c>
      <c r="W53" s="1"/>
      <c r="X53" s="1">
        <f t="shared" si="34"/>
        <v>-11.579999999999927</v>
      </c>
      <c r="Y53" s="1"/>
      <c r="Z53" s="5">
        <f t="shared" si="35"/>
        <v>-9.1037735849056039E-3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630.21</v>
      </c>
      <c r="E54" s="2"/>
      <c r="F54" s="7">
        <f t="shared" si="28"/>
        <v>3.1238088251403638E-2</v>
      </c>
      <c r="G54" s="2"/>
      <c r="H54" s="6">
        <v>636</v>
      </c>
      <c r="I54" s="2"/>
      <c r="J54" s="7">
        <f t="shared" si="29"/>
        <v>3.2442358702305649E-2</v>
      </c>
      <c r="K54" s="2"/>
      <c r="L54" s="6">
        <f t="shared" si="30"/>
        <v>-5.7899999999999636</v>
      </c>
      <c r="M54" s="2"/>
      <c r="N54" s="7">
        <f t="shared" si="31"/>
        <v>-9.1037735849056039E-3</v>
      </c>
      <c r="O54" s="11"/>
      <c r="P54" s="6">
        <v>1260.42</v>
      </c>
      <c r="Q54" s="2"/>
      <c r="R54" s="7">
        <f t="shared" si="32"/>
        <v>4.8473963541266062E-2</v>
      </c>
      <c r="S54" s="2"/>
      <c r="T54" s="6">
        <v>1272</v>
      </c>
      <c r="U54" s="2"/>
      <c r="V54" s="7">
        <f t="shared" si="33"/>
        <v>4.1193043816185757E-2</v>
      </c>
      <c r="W54" s="2"/>
      <c r="X54" s="6">
        <f t="shared" si="34"/>
        <v>-11.579999999999927</v>
      </c>
      <c r="Y54" s="2"/>
      <c r="Z54" s="7">
        <f t="shared" si="35"/>
        <v>-9.1037735849056039E-3</v>
      </c>
    </row>
    <row r="55" spans="1:26" s="26" customFormat="1" outlineLevel="1" collapsed="1" x14ac:dyDescent="0.25">
      <c r="A55" s="25"/>
      <c r="B55" s="13" t="str">
        <f>CONCATENATE("     ","General                                           ")</f>
        <v xml:space="preserve">     General                                           </v>
      </c>
      <c r="C55" s="13"/>
      <c r="D55" s="1">
        <f>SUM(OSRRefD22_6x_0)</f>
        <v>0</v>
      </c>
      <c r="E55" s="1"/>
      <c r="F55" s="5">
        <f t="shared" si="28"/>
        <v>0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0</v>
      </c>
      <c r="M55" s="1"/>
      <c r="N55" s="5">
        <f t="shared" si="31"/>
        <v>0</v>
      </c>
      <c r="O55" s="13"/>
      <c r="P55" s="1">
        <f>SUM(OSRRefP22_6x_0)</f>
        <v>749.55</v>
      </c>
      <c r="Q55" s="1"/>
      <c r="R55" s="5">
        <f t="shared" si="32"/>
        <v>2.8826628720867623E-2</v>
      </c>
      <c r="S55" s="1"/>
      <c r="T55" s="1">
        <f>SUM(OSRRefT22_6x_0)</f>
        <v>0</v>
      </c>
      <c r="U55" s="1"/>
      <c r="V55" s="5">
        <f t="shared" si="33"/>
        <v>0</v>
      </c>
      <c r="W55" s="1"/>
      <c r="X55" s="1">
        <f t="shared" si="34"/>
        <v>749.55</v>
      </c>
      <c r="Y55" s="1"/>
      <c r="Z55" s="5">
        <f t="shared" si="35"/>
        <v>0</v>
      </c>
    </row>
    <row r="56" spans="1:26" s="24" customFormat="1" hidden="1" outlineLevel="2" x14ac:dyDescent="0.25">
      <c r="A56" s="27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8"/>
        <v>0</v>
      </c>
      <c r="G56" s="2"/>
      <c r="H56" s="6"/>
      <c r="I56" s="2"/>
      <c r="J56" s="7">
        <f t="shared" si="29"/>
        <v>0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749.55</v>
      </c>
      <c r="Q56" s="2"/>
      <c r="R56" s="7">
        <f t="shared" si="32"/>
        <v>2.8826628720867623E-2</v>
      </c>
      <c r="S56" s="2"/>
      <c r="T56" s="6"/>
      <c r="U56" s="2"/>
      <c r="V56" s="7">
        <f t="shared" si="33"/>
        <v>0</v>
      </c>
      <c r="W56" s="2"/>
      <c r="X56" s="6">
        <f t="shared" si="34"/>
        <v>749.55</v>
      </c>
      <c r="Y56" s="2"/>
      <c r="Z56" s="7">
        <f t="shared" si="35"/>
        <v>0</v>
      </c>
    </row>
    <row r="57" spans="1:26" s="26" customFormat="1" outlineLevel="1" collapsed="1" x14ac:dyDescent="0.25">
      <c r="A57" s="25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SUM(OSRRefD22_7x_0)</f>
        <v>1145.23</v>
      </c>
      <c r="E57" s="1"/>
      <c r="F57" s="5">
        <f t="shared" si="28"/>
        <v>5.6766468015669355E-2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1145.23</v>
      </c>
      <c r="M57" s="1"/>
      <c r="N57" s="5">
        <f t="shared" si="31"/>
        <v>0</v>
      </c>
      <c r="O57" s="13"/>
      <c r="P57" s="1">
        <f>SUM(OSRRefP22_7x_0)</f>
        <v>3964.44</v>
      </c>
      <c r="Q57" s="1"/>
      <c r="R57" s="5">
        <f t="shared" si="32"/>
        <v>0.15246673332820551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3964.44</v>
      </c>
      <c r="Y57" s="1"/>
      <c r="Z57" s="5">
        <f t="shared" si="35"/>
        <v>0</v>
      </c>
    </row>
    <row r="58" spans="1:26" s="24" customFormat="1" hidden="1" outlineLevel="2" x14ac:dyDescent="0.25">
      <c r="A58" s="27"/>
      <c r="B58" s="11" t="str">
        <f>CONCATENATE("          ", "6375", " - ", "OUTSIDE REPAIRS &amp; MAINTENANCE")</f>
        <v xml:space="preserve">          6375 - OUTSIDE REPAIRS &amp; MAINTENANCE</v>
      </c>
      <c r="C58" s="11"/>
      <c r="D58" s="6">
        <v>1145.23</v>
      </c>
      <c r="E58" s="2"/>
      <c r="F58" s="7">
        <f t="shared" si="28"/>
        <v>5.6766468015669355E-2</v>
      </c>
      <c r="G58" s="2"/>
      <c r="H58" s="6"/>
      <c r="I58" s="2"/>
      <c r="J58" s="7">
        <f t="shared" si="29"/>
        <v>0</v>
      </c>
      <c r="K58" s="2"/>
      <c r="L58" s="6">
        <f t="shared" si="30"/>
        <v>1145.23</v>
      </c>
      <c r="M58" s="2"/>
      <c r="N58" s="7">
        <f t="shared" si="31"/>
        <v>0</v>
      </c>
      <c r="O58" s="11"/>
      <c r="P58" s="6">
        <v>3964.44</v>
      </c>
      <c r="Q58" s="2"/>
      <c r="R58" s="7">
        <f t="shared" si="32"/>
        <v>0.15246673332820551</v>
      </c>
      <c r="S58" s="2"/>
      <c r="T58" s="6"/>
      <c r="U58" s="2"/>
      <c r="V58" s="7">
        <f t="shared" si="33"/>
        <v>0</v>
      </c>
      <c r="W58" s="2"/>
      <c r="X58" s="6">
        <f t="shared" si="34"/>
        <v>3964.44</v>
      </c>
      <c r="Y58" s="2"/>
      <c r="Z58" s="7">
        <f t="shared" si="35"/>
        <v>0</v>
      </c>
    </row>
    <row r="59" spans="1:26" s="26" customFormat="1" outlineLevel="1" collapsed="1" x14ac:dyDescent="0.25">
      <c r="A59" s="25"/>
      <c r="B59" s="13" t="str">
        <f>CONCATENATE("     ","Services                                          ")</f>
        <v xml:space="preserve">     Services                                          </v>
      </c>
      <c r="C59" s="13"/>
      <c r="D59" s="1">
        <f>SUM(OSRRefD22_8x_0)</f>
        <v>60.72</v>
      </c>
      <c r="E59" s="1"/>
      <c r="F59" s="5">
        <f t="shared" si="28"/>
        <v>3.0097534450821608E-3</v>
      </c>
      <c r="G59" s="1"/>
      <c r="H59" s="1">
        <f>SUM(OSRRefH22_8x_0)</f>
        <v>0</v>
      </c>
      <c r="I59" s="1"/>
      <c r="J59" s="5">
        <f t="shared" si="29"/>
        <v>0</v>
      </c>
      <c r="K59" s="1"/>
      <c r="L59" s="1">
        <f t="shared" si="30"/>
        <v>60.72</v>
      </c>
      <c r="M59" s="1"/>
      <c r="N59" s="5">
        <f t="shared" si="31"/>
        <v>0</v>
      </c>
      <c r="O59" s="13"/>
      <c r="P59" s="1">
        <f>SUM(OSRRefP22_8x_0)</f>
        <v>67.22</v>
      </c>
      <c r="Q59" s="1"/>
      <c r="R59" s="5">
        <f t="shared" si="32"/>
        <v>2.5851857549419274E-3</v>
      </c>
      <c r="S59" s="1"/>
      <c r="T59" s="1">
        <f>SUM(OSRRefT22_8x_0)</f>
        <v>90</v>
      </c>
      <c r="U59" s="1"/>
      <c r="V59" s="5">
        <f t="shared" si="33"/>
        <v>2.9146021568055959E-3</v>
      </c>
      <c r="W59" s="1"/>
      <c r="X59" s="1">
        <f t="shared" si="34"/>
        <v>-22.78</v>
      </c>
      <c r="Y59" s="1"/>
      <c r="Z59" s="5">
        <f t="shared" si="35"/>
        <v>-0.25311111111111112</v>
      </c>
    </row>
    <row r="60" spans="1:26" s="24" customFormat="1" hidden="1" outlineLevel="2" x14ac:dyDescent="0.25">
      <c r="A60" s="27"/>
      <c r="B60" s="11" t="str">
        <f>CONCATENATE("          ", "6286", " - ", "LAUNDRY EXPENSE")</f>
        <v xml:space="preserve">          6286 - LAUNDRY EXPENSE</v>
      </c>
      <c r="C60" s="11"/>
      <c r="D60" s="6">
        <v>60.72</v>
      </c>
      <c r="E60" s="2"/>
      <c r="F60" s="7">
        <f t="shared" si="28"/>
        <v>3.0097534450821608E-3</v>
      </c>
      <c r="G60" s="2"/>
      <c r="H60" s="6"/>
      <c r="I60" s="2"/>
      <c r="J60" s="7">
        <f t="shared" si="29"/>
        <v>0</v>
      </c>
      <c r="K60" s="2"/>
      <c r="L60" s="6">
        <f t="shared" si="30"/>
        <v>60.72</v>
      </c>
      <c r="M60" s="2"/>
      <c r="N60" s="7">
        <f t="shared" si="31"/>
        <v>0</v>
      </c>
      <c r="O60" s="11"/>
      <c r="P60" s="6">
        <v>67.22</v>
      </c>
      <c r="Q60" s="2"/>
      <c r="R60" s="7">
        <f t="shared" si="32"/>
        <v>2.5851857549419274E-3</v>
      </c>
      <c r="S60" s="2"/>
      <c r="T60" s="6">
        <v>90</v>
      </c>
      <c r="U60" s="2"/>
      <c r="V60" s="7">
        <f t="shared" si="33"/>
        <v>2.9146021568055959E-3</v>
      </c>
      <c r="W60" s="2"/>
      <c r="X60" s="6">
        <f t="shared" si="34"/>
        <v>-22.78</v>
      </c>
      <c r="Y60" s="2"/>
      <c r="Z60" s="7">
        <f t="shared" si="35"/>
        <v>-0.25311111111111112</v>
      </c>
    </row>
    <row r="61" spans="1:26" s="26" customFormat="1" outlineLevel="1" collapsed="1" x14ac:dyDescent="0.25">
      <c r="A61" s="25"/>
      <c r="B61" s="13" t="str">
        <f>CONCATENATE("     ","Supplies                                          ")</f>
        <v xml:space="preserve">     Supplies                                          </v>
      </c>
      <c r="C61" s="13"/>
      <c r="D61" s="1">
        <f>SUM(OSRRefD22_9x_0)</f>
        <v>952.7</v>
      </c>
      <c r="E61" s="1"/>
      <c r="F61" s="5">
        <f t="shared" si="28"/>
        <v>4.7223190170121457E-2</v>
      </c>
      <c r="G61" s="1"/>
      <c r="H61" s="1">
        <f>SUM(OSRRefH22_9x_0)</f>
        <v>980</v>
      </c>
      <c r="I61" s="1"/>
      <c r="J61" s="5">
        <f t="shared" si="29"/>
        <v>4.9989798000408078E-2</v>
      </c>
      <c r="K61" s="1"/>
      <c r="L61" s="1">
        <f t="shared" si="30"/>
        <v>-27.299999999999955</v>
      </c>
      <c r="M61" s="1"/>
      <c r="N61" s="5">
        <f t="shared" si="31"/>
        <v>-2.785714285714281E-2</v>
      </c>
      <c r="O61" s="13"/>
      <c r="P61" s="1">
        <f>SUM(OSRRefP22_9x_0)</f>
        <v>1536.17</v>
      </c>
      <c r="Q61" s="1"/>
      <c r="R61" s="5">
        <f t="shared" si="32"/>
        <v>5.9078917006384124E-2</v>
      </c>
      <c r="S61" s="1"/>
      <c r="T61" s="1">
        <f>SUM(OSRRefT22_9x_0)</f>
        <v>1820</v>
      </c>
      <c r="U61" s="1"/>
      <c r="V61" s="5">
        <f t="shared" si="33"/>
        <v>5.8939732504290944E-2</v>
      </c>
      <c r="W61" s="1"/>
      <c r="X61" s="1">
        <f t="shared" si="34"/>
        <v>-283.82999999999993</v>
      </c>
      <c r="Y61" s="1"/>
      <c r="Z61" s="5">
        <f t="shared" si="35"/>
        <v>-0.1559505494505494</v>
      </c>
    </row>
    <row r="62" spans="1:26" s="24" customFormat="1" hidden="1" outlineLevel="2" x14ac:dyDescent="0.25">
      <c r="A62" s="27"/>
      <c r="B62" s="11" t="str">
        <f>CONCATENATE("          ", "6239", " - ", "KITCHEN SUPPLIES")</f>
        <v xml:space="preserve">          6239 - KITCHEN SUPPLIES</v>
      </c>
      <c r="C62" s="11"/>
      <c r="D62" s="6"/>
      <c r="E62" s="2"/>
      <c r="F62" s="7">
        <f t="shared" si="28"/>
        <v>0</v>
      </c>
      <c r="G62" s="2"/>
      <c r="H62" s="6"/>
      <c r="I62" s="2"/>
      <c r="J62" s="7">
        <f t="shared" si="29"/>
        <v>0</v>
      </c>
      <c r="K62" s="2"/>
      <c r="L62" s="6">
        <f t="shared" si="30"/>
        <v>0</v>
      </c>
      <c r="M62" s="2"/>
      <c r="N62" s="7">
        <f t="shared" si="31"/>
        <v>0</v>
      </c>
      <c r="O62" s="11"/>
      <c r="P62" s="6">
        <v>540.89</v>
      </c>
      <c r="Q62" s="2"/>
      <c r="R62" s="7">
        <f t="shared" si="32"/>
        <v>2.0801861395277284E-2</v>
      </c>
      <c r="S62" s="2"/>
      <c r="T62" s="6">
        <v>600</v>
      </c>
      <c r="U62" s="2"/>
      <c r="V62" s="7">
        <f t="shared" si="33"/>
        <v>1.943068104537064E-2</v>
      </c>
      <c r="W62" s="2"/>
      <c r="X62" s="6">
        <f t="shared" si="34"/>
        <v>-59.110000000000014</v>
      </c>
      <c r="Y62" s="2"/>
      <c r="Z62" s="7">
        <f t="shared" si="35"/>
        <v>-9.8516666666666683E-2</v>
      </c>
    </row>
    <row r="63" spans="1:26" s="24" customFormat="1" hidden="1" outlineLevel="2" x14ac:dyDescent="0.25">
      <c r="A63" s="27"/>
      <c r="B63" s="11" t="str">
        <f>CONCATENATE("          ", "6241", " - ", "OFFICE EXPENSE")</f>
        <v xml:space="preserve">          6241 - OFFICE EXPENSE</v>
      </c>
      <c r="C63" s="11"/>
      <c r="D63" s="6">
        <v>105.78</v>
      </c>
      <c r="E63" s="2"/>
      <c r="F63" s="7">
        <f t="shared" si="28"/>
        <v>5.2432760115413536E-3</v>
      </c>
      <c r="G63" s="2"/>
      <c r="H63" s="6"/>
      <c r="I63" s="2"/>
      <c r="J63" s="7">
        <f t="shared" si="29"/>
        <v>0</v>
      </c>
      <c r="K63" s="2"/>
      <c r="L63" s="6">
        <f t="shared" si="30"/>
        <v>105.78</v>
      </c>
      <c r="M63" s="2"/>
      <c r="N63" s="7">
        <f t="shared" si="31"/>
        <v>0</v>
      </c>
      <c r="O63" s="11"/>
      <c r="P63" s="6">
        <v>105.78</v>
      </c>
      <c r="Q63" s="2"/>
      <c r="R63" s="7">
        <f t="shared" si="32"/>
        <v>4.0681486039535423E-3</v>
      </c>
      <c r="S63" s="2"/>
      <c r="T63" s="6"/>
      <c r="U63" s="2"/>
      <c r="V63" s="7">
        <f t="shared" si="33"/>
        <v>0</v>
      </c>
      <c r="W63" s="2"/>
      <c r="X63" s="6">
        <f t="shared" si="34"/>
        <v>105.78</v>
      </c>
      <c r="Y63" s="2"/>
      <c r="Z63" s="7">
        <f t="shared" si="35"/>
        <v>0</v>
      </c>
    </row>
    <row r="64" spans="1:26" s="24" customFormat="1" hidden="1" outlineLevel="2" x14ac:dyDescent="0.25">
      <c r="A64" s="27"/>
      <c r="B64" s="11" t="str">
        <f>CONCATENATE("          ", "6243", " - ", "PAPER SUPPLIES")</f>
        <v xml:space="preserve">          6243 - PAPER SUPPLIES</v>
      </c>
      <c r="C64" s="11"/>
      <c r="D64" s="6">
        <v>151.68</v>
      </c>
      <c r="E64" s="2"/>
      <c r="F64" s="7">
        <f t="shared" si="28"/>
        <v>7.5184354833672962E-3</v>
      </c>
      <c r="G64" s="2"/>
      <c r="H64" s="6">
        <v>240</v>
      </c>
      <c r="I64" s="2"/>
      <c r="J64" s="7">
        <f t="shared" si="29"/>
        <v>1.2242399510304019E-2</v>
      </c>
      <c r="K64" s="2"/>
      <c r="L64" s="6">
        <f t="shared" si="30"/>
        <v>-88.32</v>
      </c>
      <c r="M64" s="2"/>
      <c r="N64" s="7">
        <f t="shared" si="31"/>
        <v>-0.36799999999999999</v>
      </c>
      <c r="O64" s="11"/>
      <c r="P64" s="6">
        <v>194.26</v>
      </c>
      <c r="Q64" s="2"/>
      <c r="R64" s="7">
        <f t="shared" si="32"/>
        <v>7.4709637720175364E-3</v>
      </c>
      <c r="S64" s="2"/>
      <c r="T64" s="6">
        <v>320</v>
      </c>
      <c r="U64" s="2"/>
      <c r="V64" s="7">
        <f t="shared" si="33"/>
        <v>1.0363029890864342E-2</v>
      </c>
      <c r="W64" s="2"/>
      <c r="X64" s="6">
        <f t="shared" si="34"/>
        <v>-125.74000000000001</v>
      </c>
      <c r="Y64" s="2"/>
      <c r="Z64" s="7">
        <f t="shared" si="35"/>
        <v>-0.39293750000000005</v>
      </c>
    </row>
    <row r="65" spans="1:26" s="24" customFormat="1" hidden="1" outlineLevel="2" x14ac:dyDescent="0.25">
      <c r="A65" s="27"/>
      <c r="B65" s="11" t="str">
        <f>CONCATENATE("          ", "6247", " - ", "STORE SUPPLIES")</f>
        <v xml:space="preserve">          6247 - STORE SUPPLIES</v>
      </c>
      <c r="C65" s="11"/>
      <c r="D65" s="6"/>
      <c r="E65" s="2"/>
      <c r="F65" s="7">
        <f t="shared" si="28"/>
        <v>0</v>
      </c>
      <c r="G65" s="2"/>
      <c r="H65" s="6">
        <v>740</v>
      </c>
      <c r="I65" s="2"/>
      <c r="J65" s="7">
        <f t="shared" si="29"/>
        <v>3.7747398490104063E-2</v>
      </c>
      <c r="K65" s="2"/>
      <c r="L65" s="6">
        <f t="shared" si="30"/>
        <v>-740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900</v>
      </c>
      <c r="U65" s="2"/>
      <c r="V65" s="7">
        <f t="shared" si="33"/>
        <v>2.9146021568055961E-2</v>
      </c>
      <c r="W65" s="2"/>
      <c r="X65" s="6">
        <f t="shared" si="34"/>
        <v>-900</v>
      </c>
      <c r="Y65" s="2"/>
      <c r="Z65" s="7">
        <f t="shared" si="35"/>
        <v>-1</v>
      </c>
    </row>
    <row r="66" spans="1:26" s="24" customFormat="1" hidden="1" outlineLevel="2" x14ac:dyDescent="0.25">
      <c r="A66" s="27"/>
      <c r="B66" s="11" t="str">
        <f>CONCATENATE("          ", "6248", " - ", "UNIFORMS")</f>
        <v xml:space="preserve">          6248 - UNIFORMS</v>
      </c>
      <c r="C66" s="11"/>
      <c r="D66" s="6">
        <v>695.24</v>
      </c>
      <c r="E66" s="2"/>
      <c r="F66" s="7">
        <f t="shared" si="28"/>
        <v>3.4461478675212806E-2</v>
      </c>
      <c r="G66" s="2"/>
      <c r="H66" s="6"/>
      <c r="I66" s="2"/>
      <c r="J66" s="7">
        <f t="shared" si="29"/>
        <v>0</v>
      </c>
      <c r="K66" s="2"/>
      <c r="L66" s="6">
        <f t="shared" si="30"/>
        <v>695.24</v>
      </c>
      <c r="M66" s="2"/>
      <c r="N66" s="7">
        <f t="shared" si="31"/>
        <v>0</v>
      </c>
      <c r="O66" s="11"/>
      <c r="P66" s="6">
        <v>695.24</v>
      </c>
      <c r="Q66" s="2"/>
      <c r="R66" s="7">
        <f t="shared" si="32"/>
        <v>2.6737943235135758E-2</v>
      </c>
      <c r="S66" s="2"/>
      <c r="T66" s="6"/>
      <c r="U66" s="2"/>
      <c r="V66" s="7">
        <f t="shared" si="33"/>
        <v>0</v>
      </c>
      <c r="W66" s="2"/>
      <c r="X66" s="6">
        <f t="shared" si="34"/>
        <v>695.24</v>
      </c>
      <c r="Y66" s="2"/>
      <c r="Z66" s="7">
        <f t="shared" si="35"/>
        <v>0</v>
      </c>
    </row>
    <row r="67" spans="1:26" s="26" customFormat="1" outlineLevel="1" collapsed="1" x14ac:dyDescent="0.25">
      <c r="A67" s="25"/>
      <c r="B67" s="13" t="str">
        <f>CONCATENATE("     ","Telephone/Data Lines                              ")</f>
        <v xml:space="preserve">     Telephone/Data Lines                              </v>
      </c>
      <c r="C67" s="13"/>
      <c r="D67" s="1">
        <f>SUM(OSRRefD22_10x_0)</f>
        <v>71</v>
      </c>
      <c r="E67" s="1"/>
      <c r="F67" s="5">
        <f t="shared" ref="F67:F69" si="36">IF(D$12=0,0,D67/D$12)</f>
        <v>3.5193098583799973E-3</v>
      </c>
      <c r="G67" s="1"/>
      <c r="H67" s="1">
        <f>SUM(OSRRefH22_10x_0)</f>
        <v>95</v>
      </c>
      <c r="I67" s="1"/>
      <c r="J67" s="5">
        <f t="shared" ref="J67:J69" si="37">IF(H$12=0,0,H67/H$12)</f>
        <v>4.8459498061620074E-3</v>
      </c>
      <c r="K67" s="1"/>
      <c r="L67" s="1">
        <f t="shared" ref="L67:L69" si="38">+D67-H67</f>
        <v>-24</v>
      </c>
      <c r="M67" s="1"/>
      <c r="N67" s="5">
        <f t="shared" ref="N67:N69" si="39">IF(H67=0,0,L67/H67)</f>
        <v>-0.25263157894736843</v>
      </c>
      <c r="O67" s="13"/>
      <c r="P67" s="1">
        <f>SUM(OSRRefP22_10x_0)</f>
        <v>68</v>
      </c>
      <c r="Q67" s="1"/>
      <c r="R67" s="5">
        <f t="shared" ref="R67:R69" si="40">IF(P$12=0,0,P67/P$12)</f>
        <v>2.6151834474271211E-3</v>
      </c>
      <c r="S67" s="1"/>
      <c r="T67" s="1">
        <f>SUM(OSRRefT22_10x_0)</f>
        <v>190</v>
      </c>
      <c r="U67" s="1"/>
      <c r="V67" s="5">
        <f t="shared" ref="V67:V69" si="41">IF(T$12=0,0,T67/T$12)</f>
        <v>6.1530489977007028E-3</v>
      </c>
      <c r="W67" s="1"/>
      <c r="X67" s="1">
        <f t="shared" ref="X67:X69" si="42">+P67-T67</f>
        <v>-122</v>
      </c>
      <c r="Y67" s="1"/>
      <c r="Z67" s="5">
        <f t="shared" ref="Z67:Z69" si="43">IF(T67=0,0,X67/T67)</f>
        <v>-0.64210526315789473</v>
      </c>
    </row>
    <row r="68" spans="1:26" s="24" customFormat="1" hidden="1" outlineLevel="2" x14ac:dyDescent="0.25">
      <c r="A68" s="27"/>
      <c r="B68" s="11" t="str">
        <f>CONCATENATE("          ", "6303", " - ", "DATA PHONE LINES")</f>
        <v xml:space="preserve">          6303 - DATA PHONE LINES</v>
      </c>
      <c r="C68" s="11"/>
      <c r="D68" s="6"/>
      <c r="E68" s="2"/>
      <c r="F68" s="7">
        <f t="shared" si="36"/>
        <v>0</v>
      </c>
      <c r="G68" s="2"/>
      <c r="H68" s="6">
        <v>50</v>
      </c>
      <c r="I68" s="2"/>
      <c r="J68" s="7">
        <f t="shared" si="37"/>
        <v>2.5504998979800041E-3</v>
      </c>
      <c r="K68" s="2"/>
      <c r="L68" s="6">
        <f t="shared" si="38"/>
        <v>-50</v>
      </c>
      <c r="M68" s="2"/>
      <c r="N68" s="7">
        <f t="shared" si="39"/>
        <v>-1</v>
      </c>
      <c r="O68" s="11"/>
      <c r="P68" s="6"/>
      <c r="Q68" s="2"/>
      <c r="R68" s="7">
        <f t="shared" si="40"/>
        <v>0</v>
      </c>
      <c r="S68" s="2"/>
      <c r="T68" s="6">
        <v>100</v>
      </c>
      <c r="U68" s="2"/>
      <c r="V68" s="7">
        <f t="shared" si="41"/>
        <v>3.2384468408951069E-3</v>
      </c>
      <c r="W68" s="2"/>
      <c r="X68" s="6">
        <f t="shared" si="42"/>
        <v>-100</v>
      </c>
      <c r="Y68" s="2"/>
      <c r="Z68" s="7">
        <f t="shared" si="43"/>
        <v>-1</v>
      </c>
    </row>
    <row r="69" spans="1:26" s="24" customFormat="1" hidden="1" outlineLevel="2" x14ac:dyDescent="0.25">
      <c r="A69" s="27"/>
      <c r="B69" s="11" t="str">
        <f>CONCATENATE("          ", "6309", " - ", "TELEPHONE")</f>
        <v xml:space="preserve">          6309 - TELEPHONE</v>
      </c>
      <c r="C69" s="11"/>
      <c r="D69" s="6">
        <v>71</v>
      </c>
      <c r="E69" s="2"/>
      <c r="F69" s="7">
        <f t="shared" si="36"/>
        <v>3.5193098583799973E-3</v>
      </c>
      <c r="G69" s="2"/>
      <c r="H69" s="6">
        <v>45</v>
      </c>
      <c r="I69" s="2"/>
      <c r="J69" s="7">
        <f t="shared" si="37"/>
        <v>2.2954499081820037E-3</v>
      </c>
      <c r="K69" s="2"/>
      <c r="L69" s="6">
        <f t="shared" si="38"/>
        <v>26</v>
      </c>
      <c r="M69" s="2"/>
      <c r="N69" s="7">
        <f t="shared" si="39"/>
        <v>0.57777777777777772</v>
      </c>
      <c r="O69" s="11"/>
      <c r="P69" s="6">
        <v>68</v>
      </c>
      <c r="Q69" s="2"/>
      <c r="R69" s="7">
        <f t="shared" si="40"/>
        <v>2.6151834474271211E-3</v>
      </c>
      <c r="S69" s="2"/>
      <c r="T69" s="6">
        <v>90</v>
      </c>
      <c r="U69" s="2"/>
      <c r="V69" s="7">
        <f t="shared" si="41"/>
        <v>2.9146021568055959E-3</v>
      </c>
      <c r="W69" s="2"/>
      <c r="X69" s="6">
        <f t="shared" si="42"/>
        <v>-22</v>
      </c>
      <c r="Y69" s="2"/>
      <c r="Z69" s="7">
        <f t="shared" si="43"/>
        <v>-0.24444444444444444</v>
      </c>
    </row>
    <row r="70" spans="1:26" s="26" customFormat="1" outlineLevel="1" collapsed="1" x14ac:dyDescent="0.25">
      <c r="A70" s="25"/>
      <c r="B70" s="13" t="str">
        <f>CONCATENATE("     ","Training                                          ")</f>
        <v xml:space="preserve">     Training                                          </v>
      </c>
      <c r="C70" s="13"/>
      <c r="D70" s="1">
        <f>SUM(OSRRefD22_11x_0)</f>
        <v>0</v>
      </c>
      <c r="E70" s="1"/>
      <c r="F70" s="5">
        <f t="shared" ref="F70:F71" si="44">IF(D$12=0,0,D70/D$12)</f>
        <v>0</v>
      </c>
      <c r="G70" s="1"/>
      <c r="H70" s="1">
        <f>SUM(OSRRefH22_11x_0)</f>
        <v>300</v>
      </c>
      <c r="I70" s="1"/>
      <c r="J70" s="5">
        <f t="shared" ref="J70:J71" si="45">IF(H$12=0,0,H70/H$12)</f>
        <v>1.5302999387880024E-2</v>
      </c>
      <c r="K70" s="1"/>
      <c r="L70" s="1">
        <f t="shared" ref="L70:L71" si="46">+D70-H70</f>
        <v>-300</v>
      </c>
      <c r="M70" s="1"/>
      <c r="N70" s="5">
        <f t="shared" ref="N70:N71" si="47">IF(H70=0,0,L70/H70)</f>
        <v>-1</v>
      </c>
      <c r="O70" s="13"/>
      <c r="P70" s="1">
        <f>SUM(OSRRefP22_11x_0)</f>
        <v>0</v>
      </c>
      <c r="Q70" s="1"/>
      <c r="R70" s="5">
        <f t="shared" ref="R70:R71" si="48">IF(P$12=0,0,P70/P$12)</f>
        <v>0</v>
      </c>
      <c r="S70" s="1"/>
      <c r="T70" s="1">
        <f>SUM(OSRRefT22_11x_0)</f>
        <v>300</v>
      </c>
      <c r="U70" s="1"/>
      <c r="V70" s="5">
        <f t="shared" ref="V70:V71" si="49">IF(T$12=0,0,T70/T$12)</f>
        <v>9.7153405226853198E-3</v>
      </c>
      <c r="W70" s="1"/>
      <c r="X70" s="1">
        <f t="shared" ref="X70:X71" si="50">+P70-T70</f>
        <v>-300</v>
      </c>
      <c r="Y70" s="1"/>
      <c r="Z70" s="5">
        <f t="shared" ref="Z70:Z71" si="51">IF(T70=0,0,X70/T70)</f>
        <v>-1</v>
      </c>
    </row>
    <row r="71" spans="1:26" s="24" customFormat="1" hidden="1" outlineLevel="2" x14ac:dyDescent="0.25">
      <c r="A71" s="27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44"/>
        <v>0</v>
      </c>
      <c r="G71" s="2"/>
      <c r="H71" s="6">
        <v>300</v>
      </c>
      <c r="I71" s="2"/>
      <c r="J71" s="7">
        <f t="shared" si="45"/>
        <v>1.5302999387880024E-2</v>
      </c>
      <c r="K71" s="2"/>
      <c r="L71" s="6">
        <f t="shared" si="46"/>
        <v>-300</v>
      </c>
      <c r="M71" s="2"/>
      <c r="N71" s="7">
        <f t="shared" si="47"/>
        <v>-1</v>
      </c>
      <c r="O71" s="11"/>
      <c r="P71" s="6"/>
      <c r="Q71" s="2"/>
      <c r="R71" s="7">
        <f t="shared" si="48"/>
        <v>0</v>
      </c>
      <c r="S71" s="2"/>
      <c r="T71" s="6">
        <v>300</v>
      </c>
      <c r="U71" s="2"/>
      <c r="V71" s="7">
        <f t="shared" si="49"/>
        <v>9.7153405226853198E-3</v>
      </c>
      <c r="W71" s="2"/>
      <c r="X71" s="6">
        <f t="shared" si="50"/>
        <v>-300</v>
      </c>
      <c r="Y71" s="2"/>
      <c r="Z71" s="7">
        <f t="shared" si="51"/>
        <v>-1</v>
      </c>
    </row>
    <row r="72" spans="1:26" s="63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8" t="s">
        <v>0</v>
      </c>
      <c r="C73" s="10"/>
      <c r="D73" s="4">
        <f>SUM(OSRRefD25x_0)</f>
        <v>32</v>
      </c>
      <c r="E73" s="4"/>
      <c r="F73" s="12">
        <f t="shared" ref="F73:F74" si="52">IF(D$12=0,0,D73/D$12)</f>
        <v>1.58616782349521E-3</v>
      </c>
      <c r="G73" s="4"/>
      <c r="H73" s="4">
        <f>SUM(OSRRefH25x_0)</f>
        <v>0</v>
      </c>
      <c r="I73" s="4"/>
      <c r="J73" s="12">
        <f t="shared" ref="J73:J74" si="53">IF(H$12=0,0,H73/H$12)</f>
        <v>0</v>
      </c>
      <c r="K73" s="4"/>
      <c r="L73" s="4">
        <f t="shared" ref="L73:L74" si="54">+D73-H73</f>
        <v>32</v>
      </c>
      <c r="M73" s="4"/>
      <c r="N73" s="12">
        <f t="shared" ref="N73:N74" si="55">IF(H73=0,0,L73/H73)</f>
        <v>0</v>
      </c>
      <c r="O73" s="10"/>
      <c r="P73" s="4">
        <f>SUM(OSRRefP25x_0)</f>
        <v>32</v>
      </c>
      <c r="Q73" s="4"/>
      <c r="R73" s="12">
        <f t="shared" ref="R73:R74" si="56">IF(P$12=0,0,P73/P$12)</f>
        <v>1.2306745634951158E-3</v>
      </c>
      <c r="S73" s="4"/>
      <c r="T73" s="4">
        <f>SUM(OSRRefT25x_0)</f>
        <v>0</v>
      </c>
      <c r="U73" s="4"/>
      <c r="V73" s="12">
        <f t="shared" ref="V73:V74" si="57">IF(T$12=0,0,T73/T$12)</f>
        <v>0</v>
      </c>
      <c r="W73" s="4"/>
      <c r="X73" s="4">
        <f t="shared" ref="X73:X74" si="58">+P73-T73</f>
        <v>32</v>
      </c>
      <c r="Y73" s="4"/>
      <c r="Z73" s="12">
        <f t="shared" ref="Z73:Z74" si="59">IF(T73=0,0,X73/T73)</f>
        <v>0</v>
      </c>
    </row>
    <row r="74" spans="1:26" s="24" customFormat="1" hidden="1" outlineLevel="1" x14ac:dyDescent="0.25">
      <c r="A74" s="46"/>
      <c r="B74" s="11" t="str">
        <f>CONCATENATE("          ", "9150", " - ", "MISC. INCOME")</f>
        <v xml:space="preserve">          9150 - MISC. INCOME</v>
      </c>
      <c r="C74" s="11"/>
      <c r="D74" s="2">
        <f>--32</f>
        <v>32</v>
      </c>
      <c r="E74" s="2"/>
      <c r="F74" s="21">
        <f t="shared" si="52"/>
        <v>1.58616782349521E-3</v>
      </c>
      <c r="G74" s="2"/>
      <c r="H74" s="2"/>
      <c r="I74" s="2"/>
      <c r="J74" s="21">
        <f t="shared" si="53"/>
        <v>0</v>
      </c>
      <c r="K74" s="2"/>
      <c r="L74" s="2">
        <f t="shared" si="54"/>
        <v>32</v>
      </c>
      <c r="M74" s="2"/>
      <c r="N74" s="21">
        <f t="shared" si="55"/>
        <v>0</v>
      </c>
      <c r="O74" s="11"/>
      <c r="P74" s="2">
        <f>--32</f>
        <v>32</v>
      </c>
      <c r="Q74" s="2"/>
      <c r="R74" s="21">
        <f t="shared" si="56"/>
        <v>1.2306745634951158E-3</v>
      </c>
      <c r="S74" s="2"/>
      <c r="T74" s="2"/>
      <c r="U74" s="2"/>
      <c r="V74" s="21">
        <f t="shared" si="57"/>
        <v>0</v>
      </c>
      <c r="W74" s="2"/>
      <c r="X74" s="2">
        <f t="shared" si="58"/>
        <v>32</v>
      </c>
      <c r="Y74" s="2"/>
      <c r="Z74" s="21">
        <f t="shared" si="59"/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9" t="s">
        <v>3</v>
      </c>
      <c r="C76" s="29"/>
      <c r="D76" s="22">
        <f>+D23-D25+D73</f>
        <v>-5250.4700000000048</v>
      </c>
      <c r="E76" s="14"/>
      <c r="F76" s="20">
        <f>IF(D$12=0,0,D76/D$12)</f>
        <v>-0.26025395538209073</v>
      </c>
      <c r="G76" s="14"/>
      <c r="H76" s="22">
        <f>+H23-H25+H73</f>
        <v>-3228.2234967000022</v>
      </c>
      <c r="I76" s="14"/>
      <c r="J76" s="20">
        <f>IF(H$12=0,0,H76/H$12)</f>
        <v>-0.16467167397980015</v>
      </c>
      <c r="K76" s="15"/>
      <c r="L76" s="22">
        <f>+D76-H76</f>
        <v>-2022.2465033000026</v>
      </c>
      <c r="M76" s="15"/>
      <c r="N76" s="20">
        <f>IF(H76=0,0,L76/H76)</f>
        <v>0.62642704427596496</v>
      </c>
      <c r="O76" s="28"/>
      <c r="P76" s="22">
        <f>+P23-P25+P73</f>
        <v>-18796.019999999997</v>
      </c>
      <c r="Q76" s="14"/>
      <c r="R76" s="20">
        <f>IF(P$12=0,0,P76/P$12)</f>
        <v>-0.72286824090454571</v>
      </c>
      <c r="S76" s="14"/>
      <c r="T76" s="22">
        <f>+T23-T25+T73</f>
        <v>-8973.7813863249976</v>
      </c>
      <c r="U76" s="14"/>
      <c r="V76" s="20">
        <f>IF(T$12=0,0,T76/T$12)</f>
        <v>-0.290611139814275</v>
      </c>
      <c r="W76" s="15"/>
      <c r="X76" s="22">
        <f>+P76-T76</f>
        <v>-9822.2386136749992</v>
      </c>
      <c r="Y76" s="15"/>
      <c r="Z76" s="20">
        <f>IF(T76=0,0,X76/T76)</f>
        <v>1.0945484618828527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2"/>
      <c r="B78" s="10" t="s">
        <v>14</v>
      </c>
      <c r="C78" s="10"/>
      <c r="D78" s="4">
        <v>2030.25</v>
      </c>
      <c r="E78" s="4"/>
      <c r="F78" s="12">
        <f>IF(D$12=0,0,D78/D$12)</f>
        <v>0.10063491323909844</v>
      </c>
      <c r="G78" s="4"/>
      <c r="H78" s="4">
        <v>2267</v>
      </c>
      <c r="I78" s="4"/>
      <c r="J78" s="12">
        <f>IF(H$12=0,0,H78/H$12)</f>
        <v>0.11563966537441339</v>
      </c>
      <c r="K78" s="4"/>
      <c r="L78" s="4">
        <f>+D78-H78</f>
        <v>-236.75</v>
      </c>
      <c r="M78" s="4"/>
      <c r="N78" s="12">
        <f>IF(H78=0,0,L78/H78)</f>
        <v>-0.10443317159241287</v>
      </c>
      <c r="O78" s="10"/>
      <c r="P78" s="4">
        <v>3241.98</v>
      </c>
      <c r="Q78" s="4"/>
      <c r="R78" s="12">
        <f>IF(P$12=0,0,P78/P$12)</f>
        <v>0.12468194754249673</v>
      </c>
      <c r="S78" s="4"/>
      <c r="T78" s="4">
        <v>5015</v>
      </c>
      <c r="U78" s="4"/>
      <c r="V78" s="12">
        <f>IF(T$12=0,0,T78/T$12)</f>
        <v>0.16240810907088959</v>
      </c>
      <c r="W78" s="4"/>
      <c r="X78" s="4">
        <f>+P78-T78</f>
        <v>-1773.02</v>
      </c>
      <c r="Y78" s="4"/>
      <c r="Z78" s="12">
        <f>IF(T78=0,0,X78/T78)</f>
        <v>-0.35354336989032903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9" t="s">
        <v>4</v>
      </c>
      <c r="C80" s="29"/>
      <c r="D80" s="31">
        <f>+D76-D78</f>
        <v>-7280.7200000000048</v>
      </c>
      <c r="E80" s="14"/>
      <c r="F80" s="32">
        <f>IF(D$12=0,0,D80/D$12)</f>
        <v>-0.36088886862118918</v>
      </c>
      <c r="G80" s="14"/>
      <c r="H80" s="31">
        <f>+H76-H78</f>
        <v>-5495.2234967000022</v>
      </c>
      <c r="I80" s="14"/>
      <c r="J80" s="32">
        <f>IF(H$12=0,0,H80/H$12)</f>
        <v>-0.28031133935421354</v>
      </c>
      <c r="K80" s="15"/>
      <c r="L80" s="31">
        <f>D80-H80</f>
        <v>-1785.4965033000026</v>
      </c>
      <c r="M80" s="15"/>
      <c r="N80" s="32">
        <f>IF(H80=0,0,L80/H80)</f>
        <v>0.32491790449873986</v>
      </c>
      <c r="O80" s="28"/>
      <c r="P80" s="31">
        <f>+P76-P78</f>
        <v>-22037.999999999996</v>
      </c>
      <c r="Q80" s="14"/>
      <c r="R80" s="32">
        <f>IF(P$12=0,0,P80/P$12)</f>
        <v>-0.84755018844704244</v>
      </c>
      <c r="S80" s="14"/>
      <c r="T80" s="31">
        <f>+T76-T78</f>
        <v>-13988.781386324998</v>
      </c>
      <c r="U80" s="14"/>
      <c r="V80" s="32">
        <f>IF(T$12=0,0,T80/T$12)</f>
        <v>-0.45301924888516459</v>
      </c>
      <c r="W80" s="15"/>
      <c r="X80" s="31">
        <f>P80-T80</f>
        <v>-8049.2186136749988</v>
      </c>
      <c r="Y80" s="15"/>
      <c r="Z80" s="32">
        <f>IF(T80=0,0,X80/T80)</f>
        <v>0.57540527594088131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9" t="s">
        <v>5</v>
      </c>
      <c r="C83" s="29"/>
      <c r="D83" s="33">
        <f>SUM(D80:D82)</f>
        <v>-7280.7200000000048</v>
      </c>
      <c r="E83" s="14"/>
      <c r="F83" s="35">
        <f>IF(D$12=0,0,D83/D$12)</f>
        <v>-0.36088886862118918</v>
      </c>
      <c r="G83" s="14"/>
      <c r="H83" s="33">
        <f>SUM(H80:H82)</f>
        <v>-5495.2234967000022</v>
      </c>
      <c r="I83" s="14"/>
      <c r="J83" s="35">
        <f>IF(H$12=0,0,H83/H$12)</f>
        <v>-0.28031133935421354</v>
      </c>
      <c r="K83" s="15"/>
      <c r="L83" s="33">
        <f>+D83-H83</f>
        <v>-1785.4965033000026</v>
      </c>
      <c r="M83" s="15"/>
      <c r="N83" s="35">
        <f>IF(H83=0,0,L83/H83)</f>
        <v>0.32491790449873986</v>
      </c>
      <c r="O83" s="28"/>
      <c r="P83" s="33">
        <f>SUM(P80:P82)</f>
        <v>-22037.999999999996</v>
      </c>
      <c r="Q83" s="14"/>
      <c r="R83" s="35">
        <f>IF(P$12=0,0,P83/P$12)</f>
        <v>-0.84755018844704244</v>
      </c>
      <c r="S83" s="14"/>
      <c r="T83" s="33">
        <f>SUM(T80:T82)</f>
        <v>-13988.781386324998</v>
      </c>
      <c r="U83" s="14"/>
      <c r="V83" s="35">
        <f>IF(T$12=0,0,T83/T$12)</f>
        <v>-0.45301924888516459</v>
      </c>
      <c r="W83" s="15"/>
      <c r="X83" s="33">
        <f>+P83-T83</f>
        <v>-8049.2186136749988</v>
      </c>
      <c r="Y83" s="15"/>
      <c r="Z83" s="35">
        <f>IF(T83=0,0,X83/T83)</f>
        <v>0.57540527594088131</v>
      </c>
    </row>
    <row r="84" spans="1:26" ht="15.75" thickTop="1" x14ac:dyDescent="0.25">
      <c r="A84" s="9"/>
      <c r="C84" s="9"/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  <row r="85" spans="1:26" x14ac:dyDescent="0.25">
      <c r="A85" s="9"/>
      <c r="B85" s="61">
        <v>43732.706362002318</v>
      </c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25">
      <c r="A86" s="9"/>
      <c r="B86" s="62" t="s">
        <v>314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25">
      <c r="A87" s="9"/>
      <c r="B87" s="58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25"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","414", " - ", "Starbucks UDP")</f>
        <v>Department 414 - Starbucks UDP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40246.699999999997</v>
      </c>
      <c r="E12" s="4"/>
      <c r="F12" s="12"/>
      <c r="G12" s="4"/>
      <c r="H12" s="4">
        <f>SUM(OSRRefH13x_0)</f>
        <v>48000</v>
      </c>
      <c r="I12" s="4"/>
      <c r="J12" s="12"/>
      <c r="K12" s="4"/>
      <c r="L12" s="4">
        <f t="shared" ref="L12:L16" si="0">+D12-H12</f>
        <v>-7753.3000000000029</v>
      </c>
      <c r="M12" s="4"/>
      <c r="N12" s="12">
        <f t="shared" ref="N12:N16" si="1">IF(H12=0,0,L12/H12)</f>
        <v>-0.1615270833333334</v>
      </c>
      <c r="O12" s="10"/>
      <c r="P12" s="4">
        <f>SUM(OSRRefP13x_0)</f>
        <v>58208.05</v>
      </c>
      <c r="Q12" s="4"/>
      <c r="R12" s="12"/>
      <c r="S12" s="4"/>
      <c r="T12" s="4">
        <f>SUM(OSRRefT13x_0)</f>
        <v>86000</v>
      </c>
      <c r="U12" s="4"/>
      <c r="V12" s="12"/>
      <c r="W12" s="4"/>
      <c r="X12" s="4">
        <f t="shared" ref="X12:X16" si="2">+P12-T12</f>
        <v>-27791.949999999997</v>
      </c>
      <c r="Y12" s="4"/>
      <c r="Z12" s="12">
        <f t="shared" ref="Z12:Z16" si="3">IF(T12=0,0,X12/T12)</f>
        <v>-0.32316220930232553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19200</v>
      </c>
      <c r="I13" s="2"/>
      <c r="J13" s="21"/>
      <c r="K13" s="2"/>
      <c r="L13" s="2">
        <f t="shared" si="0"/>
        <v>-19200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34400</v>
      </c>
      <c r="U13" s="2"/>
      <c r="V13" s="21"/>
      <c r="W13" s="2"/>
      <c r="X13" s="2">
        <f t="shared" si="2"/>
        <v>-34400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"4058", " - ", "TAXABLE SALES-FOOD")</f>
        <v xml:space="preserve">          4058 - TAXABLE SALES-FOOD</v>
      </c>
      <c r="C14" s="11"/>
      <c r="D14" s="2">
        <f>--9436.48</f>
        <v>9436.48</v>
      </c>
      <c r="E14" s="2"/>
      <c r="F14" s="21"/>
      <c r="G14" s="2"/>
      <c r="H14" s="2"/>
      <c r="I14" s="2"/>
      <c r="J14" s="21"/>
      <c r="K14" s="2"/>
      <c r="L14" s="2">
        <f t="shared" si="0"/>
        <v>9436.48</v>
      </c>
      <c r="M14" s="2"/>
      <c r="N14" s="21">
        <f t="shared" si="1"/>
        <v>0</v>
      </c>
      <c r="O14" s="11"/>
      <c r="P14" s="2">
        <f>--17838.14</f>
        <v>17838.14</v>
      </c>
      <c r="Q14" s="2"/>
      <c r="R14" s="21"/>
      <c r="S14" s="2"/>
      <c r="T14" s="2"/>
      <c r="U14" s="2"/>
      <c r="V14" s="21"/>
      <c r="W14" s="2"/>
      <c r="X14" s="2">
        <f t="shared" si="2"/>
        <v>17838.14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1"/>
      <c r="G15" s="2"/>
      <c r="H15" s="2">
        <v>28800</v>
      </c>
      <c r="I15" s="2"/>
      <c r="J15" s="21"/>
      <c r="K15" s="2"/>
      <c r="L15" s="2">
        <f t="shared" si="0"/>
        <v>-28800</v>
      </c>
      <c r="M15" s="2"/>
      <c r="N15" s="21">
        <f t="shared" si="1"/>
        <v>-1</v>
      </c>
      <c r="O15" s="11"/>
      <c r="P15" s="2">
        <f>0</f>
        <v>0</v>
      </c>
      <c r="Q15" s="2"/>
      <c r="R15" s="21"/>
      <c r="S15" s="2"/>
      <c r="T15" s="2">
        <v>51600</v>
      </c>
      <c r="U15" s="2"/>
      <c r="V15" s="21"/>
      <c r="W15" s="2"/>
      <c r="X15" s="2">
        <f t="shared" si="2"/>
        <v>-51600</v>
      </c>
      <c r="Y15" s="2"/>
      <c r="Z15" s="21">
        <f t="shared" si="3"/>
        <v>-1</v>
      </c>
    </row>
    <row r="16" spans="1:26" s="24" customFormat="1" hidden="1" outlineLevel="1" x14ac:dyDescent="0.25">
      <c r="A16" s="46"/>
      <c r="B16" s="11" t="str">
        <f>CONCATENATE("          ", "4158", " - ", "NON-TAXABLE SALES-FOOD")</f>
        <v xml:space="preserve">          4158 - NON-TAXABLE SALES-FOOD</v>
      </c>
      <c r="C16" s="11"/>
      <c r="D16" s="2">
        <f>--30810.22</f>
        <v>30810.22</v>
      </c>
      <c r="E16" s="2"/>
      <c r="F16" s="21"/>
      <c r="G16" s="2"/>
      <c r="H16" s="2"/>
      <c r="I16" s="2"/>
      <c r="J16" s="21"/>
      <c r="K16" s="2"/>
      <c r="L16" s="2">
        <f t="shared" si="0"/>
        <v>30810.22</v>
      </c>
      <c r="M16" s="2"/>
      <c r="N16" s="21">
        <f t="shared" si="1"/>
        <v>0</v>
      </c>
      <c r="O16" s="11"/>
      <c r="P16" s="2">
        <f>--40369.91</f>
        <v>40369.910000000003</v>
      </c>
      <c r="Q16" s="2"/>
      <c r="R16" s="21"/>
      <c r="S16" s="2"/>
      <c r="T16" s="2"/>
      <c r="U16" s="2"/>
      <c r="V16" s="21"/>
      <c r="W16" s="2"/>
      <c r="X16" s="2">
        <f t="shared" si="2"/>
        <v>40369.910000000003</v>
      </c>
      <c r="Y16" s="2"/>
      <c r="Z16" s="21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15092.52</v>
      </c>
      <c r="E18" s="4"/>
      <c r="F18" s="12">
        <f t="shared" ref="F18:F21" si="4">IF(D$12=0,0,D18/D$12)</f>
        <v>0.37500018635068222</v>
      </c>
      <c r="G18" s="4"/>
      <c r="H18" s="4">
        <f>SUM(OSRRefH16x_0)</f>
        <v>18000</v>
      </c>
      <c r="I18" s="4"/>
      <c r="J18" s="12">
        <f t="shared" ref="J18:J21" si="5">IF(H$12=0,0,H18/H$12)</f>
        <v>0.375</v>
      </c>
      <c r="K18" s="4"/>
      <c r="L18" s="4">
        <f t="shared" ref="L18:L21" si="6">+D18-H18</f>
        <v>-2907.4799999999996</v>
      </c>
      <c r="M18" s="4"/>
      <c r="N18" s="12">
        <f t="shared" ref="N18:N21" si="7">IF(H18=0,0,L18/H18)</f>
        <v>-0.16152666666666665</v>
      </c>
      <c r="O18" s="10"/>
      <c r="P18" s="4">
        <f>SUM(OSRRefP16x_0)</f>
        <v>23348.59</v>
      </c>
      <c r="Q18" s="4"/>
      <c r="R18" s="12">
        <f t="shared" ref="R18:R21" si="8">IF(P$12=0,0,P18/P$12)</f>
        <v>0.40112304054164327</v>
      </c>
      <c r="S18" s="4"/>
      <c r="T18" s="4">
        <f>SUM(OSRRefT16x_0)</f>
        <v>31000</v>
      </c>
      <c r="U18" s="4"/>
      <c r="V18" s="12">
        <f t="shared" ref="V18:V21" si="9">IF(T$12=0,0,T18/T$12)</f>
        <v>0.36046511627906974</v>
      </c>
      <c r="W18" s="4"/>
      <c r="X18" s="4">
        <f t="shared" ref="X18:X21" si="10">+P18-T18</f>
        <v>-7651.41</v>
      </c>
      <c r="Y18" s="4"/>
      <c r="Z18" s="12">
        <f t="shared" ref="Z18:Z21" si="11">IF(T18=0,0,X18/T18)</f>
        <v>-0.24681967741935484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1">
        <f t="shared" si="4"/>
        <v>0</v>
      </c>
      <c r="G19" s="2"/>
      <c r="H19" s="2">
        <v>18000</v>
      </c>
      <c r="I19" s="2"/>
      <c r="J19" s="21">
        <f t="shared" si="5"/>
        <v>0.375</v>
      </c>
      <c r="K19" s="2"/>
      <c r="L19" s="2">
        <f t="shared" si="6"/>
        <v>-18000</v>
      </c>
      <c r="M19" s="2"/>
      <c r="N19" s="21">
        <f t="shared" si="7"/>
        <v>-1</v>
      </c>
      <c r="O19" s="11"/>
      <c r="P19" s="2"/>
      <c r="Q19" s="2"/>
      <c r="R19" s="21">
        <f t="shared" si="8"/>
        <v>0</v>
      </c>
      <c r="S19" s="2"/>
      <c r="T19" s="2">
        <v>31000</v>
      </c>
      <c r="U19" s="2"/>
      <c r="V19" s="21">
        <f t="shared" si="9"/>
        <v>0.36046511627906974</v>
      </c>
      <c r="W19" s="2"/>
      <c r="X19" s="2">
        <f t="shared" si="10"/>
        <v>-31000</v>
      </c>
      <c r="Y19" s="2"/>
      <c r="Z19" s="21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12410.52</v>
      </c>
      <c r="E20" s="2"/>
      <c r="F20" s="21">
        <f t="shared" si="4"/>
        <v>0.30836118240750177</v>
      </c>
      <c r="G20" s="2"/>
      <c r="H20" s="2"/>
      <c r="I20" s="2"/>
      <c r="J20" s="21">
        <f t="shared" si="5"/>
        <v>0</v>
      </c>
      <c r="K20" s="2"/>
      <c r="L20" s="2">
        <f t="shared" si="6"/>
        <v>12410.52</v>
      </c>
      <c r="M20" s="2"/>
      <c r="N20" s="21">
        <f t="shared" si="7"/>
        <v>0</v>
      </c>
      <c r="O20" s="11"/>
      <c r="P20" s="2">
        <v>19139.59</v>
      </c>
      <c r="Q20" s="2"/>
      <c r="R20" s="21">
        <f t="shared" si="8"/>
        <v>0.32881345449641414</v>
      </c>
      <c r="S20" s="2"/>
      <c r="T20" s="2"/>
      <c r="U20" s="2"/>
      <c r="V20" s="21">
        <f t="shared" si="9"/>
        <v>0</v>
      </c>
      <c r="W20" s="2"/>
      <c r="X20" s="2">
        <f t="shared" si="10"/>
        <v>19139.59</v>
      </c>
      <c r="Y20" s="2"/>
      <c r="Z20" s="21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2682</v>
      </c>
      <c r="E21" s="2"/>
      <c r="F21" s="21">
        <f t="shared" si="4"/>
        <v>6.6639003943180439E-2</v>
      </c>
      <c r="G21" s="2"/>
      <c r="H21" s="2"/>
      <c r="I21" s="2"/>
      <c r="J21" s="21">
        <f t="shared" si="5"/>
        <v>0</v>
      </c>
      <c r="K21" s="2"/>
      <c r="L21" s="2">
        <f t="shared" si="6"/>
        <v>2682</v>
      </c>
      <c r="M21" s="2"/>
      <c r="N21" s="21">
        <f t="shared" si="7"/>
        <v>0</v>
      </c>
      <c r="O21" s="11"/>
      <c r="P21" s="2">
        <v>4209</v>
      </c>
      <c r="Q21" s="2"/>
      <c r="R21" s="21">
        <f t="shared" si="8"/>
        <v>7.2309586045229135E-2</v>
      </c>
      <c r="S21" s="2"/>
      <c r="T21" s="2"/>
      <c r="U21" s="2"/>
      <c r="V21" s="21">
        <f t="shared" si="9"/>
        <v>0</v>
      </c>
      <c r="W21" s="2"/>
      <c r="X21" s="2">
        <f t="shared" si="10"/>
        <v>4209</v>
      </c>
      <c r="Y21" s="2"/>
      <c r="Z21" s="21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25154.179999999997</v>
      </c>
      <c r="E23" s="14"/>
      <c r="F23" s="20">
        <f>IF(D$12=0,0,D23/D$12)</f>
        <v>0.62499981364931778</v>
      </c>
      <c r="G23" s="14"/>
      <c r="H23" s="22">
        <f>H12-H18</f>
        <v>30000</v>
      </c>
      <c r="I23" s="14"/>
      <c r="J23" s="20">
        <f>IF(H$12=0,0,H23/H$12)</f>
        <v>0.625</v>
      </c>
      <c r="K23" s="15"/>
      <c r="L23" s="22">
        <f>+D23-H23</f>
        <v>-4845.8200000000033</v>
      </c>
      <c r="M23" s="15"/>
      <c r="N23" s="20">
        <f>IF(H23=0,0,L23/H23)</f>
        <v>-0.16152733333333344</v>
      </c>
      <c r="O23" s="28"/>
      <c r="P23" s="22">
        <f>P12-P18</f>
        <v>34859.460000000006</v>
      </c>
      <c r="Q23" s="14"/>
      <c r="R23" s="20">
        <f>IF(P$12=0,0,P23/P$12)</f>
        <v>0.59887695945835684</v>
      </c>
      <c r="S23" s="14"/>
      <c r="T23" s="22">
        <f>T12-T18</f>
        <v>55000</v>
      </c>
      <c r="U23" s="14"/>
      <c r="V23" s="20">
        <f>IF(T$12=0,0,T23/T$12)</f>
        <v>0.63953488372093026</v>
      </c>
      <c r="W23" s="15"/>
      <c r="X23" s="22">
        <f>+P23-T23</f>
        <v>-20140.539999999994</v>
      </c>
      <c r="Y23" s="15"/>
      <c r="Z23" s="20">
        <f>IF(T23=0,0,X23/T23)</f>
        <v>-0.36619163636363627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19">
        <f>SUM(OSRRefD22x_0)</f>
        <v>25837.1</v>
      </c>
      <c r="E25" s="19"/>
      <c r="F25" s="34">
        <f t="shared" ref="F25:F35" si="12">IF(D$12=0,0,D25/D$12)</f>
        <v>0.64196816136478274</v>
      </c>
      <c r="G25" s="19"/>
      <c r="H25" s="19">
        <f>SUM(OSRRefH22x_0)</f>
        <v>33491.853427199996</v>
      </c>
      <c r="I25" s="19"/>
      <c r="J25" s="34">
        <f t="shared" ref="J25:J35" si="13">IF(H$12=0,0,H25/H$12)</f>
        <v>0.6977469463999999</v>
      </c>
      <c r="K25" s="4"/>
      <c r="L25" s="19">
        <f t="shared" ref="L25:L35" si="14">+D25-H25</f>
        <v>-7654.7534271999975</v>
      </c>
      <c r="M25" s="4"/>
      <c r="N25" s="34">
        <f t="shared" ref="N25:N35" si="15">IF(H25=0,0,L25/H25)</f>
        <v>-0.22855568276741842</v>
      </c>
      <c r="O25" s="10"/>
      <c r="P25" s="19">
        <f>SUM(OSRRefP22x_0)</f>
        <v>49212.88</v>
      </c>
      <c r="Q25" s="19"/>
      <c r="R25" s="34">
        <f t="shared" ref="R25:R35" si="16">IF(P$12=0,0,P25/P$12)</f>
        <v>0.84546518909326107</v>
      </c>
      <c r="S25" s="19"/>
      <c r="T25" s="19">
        <f>SUM(OSRRefT22x_0)</f>
        <v>62569.029561200005</v>
      </c>
      <c r="U25" s="19"/>
      <c r="V25" s="34">
        <f t="shared" ref="V25:V35" si="17">IF(T$12=0,0,T25/T$12)</f>
        <v>0.72754685536279073</v>
      </c>
      <c r="W25" s="4"/>
      <c r="X25" s="19">
        <f t="shared" ref="X25:X35" si="18">+P25-T25</f>
        <v>-13356.149561200007</v>
      </c>
      <c r="Y25" s="4"/>
      <c r="Z25" s="34">
        <f t="shared" ref="Z25:Z35" si="19">IF(T25=0,0,X25/T25)</f>
        <v>-0.21346262927309897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2881.78</v>
      </c>
      <c r="E26" s="1"/>
      <c r="F26" s="5">
        <f t="shared" si="12"/>
        <v>7.1602889180976334E-2</v>
      </c>
      <c r="G26" s="1"/>
      <c r="H26" s="1">
        <f>SUM(OSRRefH22_0x_0)</f>
        <v>4239.9174272</v>
      </c>
      <c r="I26" s="1"/>
      <c r="J26" s="5">
        <f t="shared" si="13"/>
        <v>8.8331613066666662E-2</v>
      </c>
      <c r="K26" s="1"/>
      <c r="L26" s="1">
        <f t="shared" si="14"/>
        <v>-1358.1374271999998</v>
      </c>
      <c r="M26" s="1"/>
      <c r="N26" s="5">
        <f t="shared" si="15"/>
        <v>-0.32032166911724519</v>
      </c>
      <c r="O26" s="13"/>
      <c r="P26" s="1">
        <f>SUM(OSRRefP22_0x_0)</f>
        <v>5159.8499999999995</v>
      </c>
      <c r="Q26" s="1"/>
      <c r="R26" s="5">
        <f t="shared" si="16"/>
        <v>8.8644955465781786E-2</v>
      </c>
      <c r="S26" s="1"/>
      <c r="T26" s="1">
        <f>SUM(OSRRefT22_0x_0)</f>
        <v>9077.1735612000011</v>
      </c>
      <c r="U26" s="1"/>
      <c r="V26" s="5">
        <f t="shared" si="17"/>
        <v>0.10554852978139537</v>
      </c>
      <c r="W26" s="1"/>
      <c r="X26" s="1">
        <f t="shared" si="18"/>
        <v>-3917.3235612000017</v>
      </c>
      <c r="Y26" s="1"/>
      <c r="Z26" s="5">
        <f t="shared" si="19"/>
        <v>-0.43155763573194605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1080.3800000000001</v>
      </c>
      <c r="E27" s="2"/>
      <c r="F27" s="7">
        <f t="shared" si="12"/>
        <v>2.6843940000049697E-2</v>
      </c>
      <c r="G27" s="2"/>
      <c r="H27" s="6">
        <v>668.79873120000002</v>
      </c>
      <c r="I27" s="2"/>
      <c r="J27" s="7">
        <f t="shared" si="13"/>
        <v>1.3933306900000001E-2</v>
      </c>
      <c r="K27" s="2"/>
      <c r="L27" s="6">
        <f t="shared" si="14"/>
        <v>411.58126880000009</v>
      </c>
      <c r="M27" s="2"/>
      <c r="N27" s="7">
        <f t="shared" si="15"/>
        <v>0.61540378233301296</v>
      </c>
      <c r="O27" s="11"/>
      <c r="P27" s="6">
        <v>1719.56</v>
      </c>
      <c r="Q27" s="2"/>
      <c r="R27" s="7">
        <f t="shared" si="16"/>
        <v>2.954161838439872E-2</v>
      </c>
      <c r="S27" s="2"/>
      <c r="T27" s="6">
        <v>2110.9147452000002</v>
      </c>
      <c r="U27" s="2"/>
      <c r="V27" s="7">
        <f t="shared" si="17"/>
        <v>2.454552029302326E-2</v>
      </c>
      <c r="W27" s="2"/>
      <c r="X27" s="6">
        <f t="shared" si="18"/>
        <v>-391.35474520000025</v>
      </c>
      <c r="Y27" s="2"/>
      <c r="Z27" s="7">
        <f t="shared" si="19"/>
        <v>-0.18539580818690102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543.47</v>
      </c>
      <c r="E28" s="2"/>
      <c r="F28" s="7">
        <f t="shared" si="12"/>
        <v>1.3503467365026202E-2</v>
      </c>
      <c r="G28" s="2"/>
      <c r="H28" s="6">
        <v>711.55475200000001</v>
      </c>
      <c r="I28" s="2"/>
      <c r="J28" s="7">
        <f t="shared" si="13"/>
        <v>1.4824057333333333E-2</v>
      </c>
      <c r="K28" s="2"/>
      <c r="L28" s="6">
        <f t="shared" si="14"/>
        <v>-168.08475199999998</v>
      </c>
      <c r="M28" s="2"/>
      <c r="N28" s="7">
        <f t="shared" si="15"/>
        <v>-0.23622181079889687</v>
      </c>
      <c r="O28" s="11"/>
      <c r="P28" s="6">
        <v>938.93</v>
      </c>
      <c r="Q28" s="2"/>
      <c r="R28" s="7">
        <f t="shared" si="16"/>
        <v>1.6130586748740079E-2</v>
      </c>
      <c r="S28" s="2"/>
      <c r="T28" s="6">
        <v>1279.7341919999999</v>
      </c>
      <c r="U28" s="2"/>
      <c r="V28" s="7">
        <f t="shared" si="17"/>
        <v>1.4880630139534883E-2</v>
      </c>
      <c r="W28" s="2"/>
      <c r="X28" s="6">
        <f t="shared" si="18"/>
        <v>-340.80419199999994</v>
      </c>
      <c r="Y28" s="2"/>
      <c r="Z28" s="7">
        <f t="shared" si="19"/>
        <v>-0.26630857730493457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650.39</v>
      </c>
      <c r="E29" s="2"/>
      <c r="F29" s="7">
        <f t="shared" si="12"/>
        <v>1.6160082690009368E-2</v>
      </c>
      <c r="G29" s="2"/>
      <c r="H29" s="6">
        <v>1381</v>
      </c>
      <c r="I29" s="2"/>
      <c r="J29" s="7">
        <f t="shared" si="13"/>
        <v>2.8770833333333332E-2</v>
      </c>
      <c r="K29" s="2"/>
      <c r="L29" s="6">
        <f t="shared" si="14"/>
        <v>-730.61</v>
      </c>
      <c r="M29" s="2"/>
      <c r="N29" s="7">
        <f t="shared" si="15"/>
        <v>-0.52904417089065892</v>
      </c>
      <c r="O29" s="11"/>
      <c r="P29" s="6">
        <v>1300.78</v>
      </c>
      <c r="Q29" s="2"/>
      <c r="R29" s="7">
        <f t="shared" si="16"/>
        <v>2.2347080859090793E-2</v>
      </c>
      <c r="S29" s="2"/>
      <c r="T29" s="6">
        <v>2762</v>
      </c>
      <c r="U29" s="2"/>
      <c r="V29" s="7">
        <f t="shared" si="17"/>
        <v>3.2116279069767439E-2</v>
      </c>
      <c r="W29" s="2"/>
      <c r="X29" s="6">
        <f t="shared" si="18"/>
        <v>-1461.22</v>
      </c>
      <c r="Y29" s="2"/>
      <c r="Z29" s="7">
        <f t="shared" si="19"/>
        <v>-0.52904417089065892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36.42</v>
      </c>
      <c r="E30" s="2"/>
      <c r="F30" s="7">
        <f t="shared" si="12"/>
        <v>9.0491891260649948E-4</v>
      </c>
      <c r="G30" s="2"/>
      <c r="H30" s="6">
        <v>56.820504</v>
      </c>
      <c r="I30" s="2"/>
      <c r="J30" s="7">
        <f t="shared" si="13"/>
        <v>1.1837605E-3</v>
      </c>
      <c r="K30" s="2"/>
      <c r="L30" s="6">
        <f t="shared" si="14"/>
        <v>-20.400503999999998</v>
      </c>
      <c r="M30" s="2"/>
      <c r="N30" s="7">
        <f t="shared" si="15"/>
        <v>-0.35903419652877416</v>
      </c>
      <c r="O30" s="11"/>
      <c r="P30" s="6">
        <v>62.92</v>
      </c>
      <c r="Q30" s="2"/>
      <c r="R30" s="7">
        <f t="shared" si="16"/>
        <v>1.0809501434938982E-3</v>
      </c>
      <c r="S30" s="2"/>
      <c r="T30" s="6">
        <v>105.814384</v>
      </c>
      <c r="U30" s="2"/>
      <c r="V30" s="7">
        <f t="shared" si="17"/>
        <v>1.2303998139534885E-3</v>
      </c>
      <c r="W30" s="2"/>
      <c r="X30" s="6">
        <f t="shared" si="18"/>
        <v>-42.894384000000002</v>
      </c>
      <c r="Y30" s="2"/>
      <c r="Z30" s="7">
        <f t="shared" si="19"/>
        <v>-0.40537384785040187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422.34944000000002</v>
      </c>
      <c r="I31" s="2"/>
      <c r="J31" s="7">
        <f t="shared" si="13"/>
        <v>8.7989466666666665E-3</v>
      </c>
      <c r="K31" s="2"/>
      <c r="L31" s="6">
        <f t="shared" si="14"/>
        <v>-422.34944000000002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950.28624000000002</v>
      </c>
      <c r="U31" s="2"/>
      <c r="V31" s="7">
        <f t="shared" si="17"/>
        <v>1.104984E-2</v>
      </c>
      <c r="W31" s="2"/>
      <c r="X31" s="6">
        <f t="shared" si="18"/>
        <v>-950.28624000000002</v>
      </c>
      <c r="Y31" s="2"/>
      <c r="Z31" s="7">
        <f t="shared" si="19"/>
        <v>-1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192.5</v>
      </c>
      <c r="E33" s="2"/>
      <c r="F33" s="7">
        <f t="shared" si="12"/>
        <v>4.7830008423050841E-3</v>
      </c>
      <c r="G33" s="2"/>
      <c r="H33" s="6">
        <v>245.55199999999999</v>
      </c>
      <c r="I33" s="2"/>
      <c r="J33" s="7">
        <f t="shared" si="13"/>
        <v>5.1156666666666668E-3</v>
      </c>
      <c r="K33" s="2"/>
      <c r="L33" s="6">
        <f t="shared" si="14"/>
        <v>-53.051999999999992</v>
      </c>
      <c r="M33" s="2"/>
      <c r="N33" s="7">
        <f t="shared" si="15"/>
        <v>-0.21605199713299014</v>
      </c>
      <c r="O33" s="11"/>
      <c r="P33" s="6">
        <v>385</v>
      </c>
      <c r="Q33" s="2"/>
      <c r="R33" s="7">
        <f t="shared" si="16"/>
        <v>6.6142054234766493E-3</v>
      </c>
      <c r="S33" s="2"/>
      <c r="T33" s="6">
        <v>552.49199999999996</v>
      </c>
      <c r="U33" s="2"/>
      <c r="V33" s="7">
        <f t="shared" si="17"/>
        <v>6.4243255813953484E-3</v>
      </c>
      <c r="W33" s="2"/>
      <c r="X33" s="6">
        <f t="shared" si="18"/>
        <v>-167.49199999999996</v>
      </c>
      <c r="Y33" s="2"/>
      <c r="Z33" s="7">
        <f t="shared" si="19"/>
        <v>-0.30315733078488011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230.62</v>
      </c>
      <c r="E34" s="2"/>
      <c r="F34" s="7">
        <f t="shared" si="12"/>
        <v>5.7301592428696023E-3</v>
      </c>
      <c r="G34" s="2"/>
      <c r="H34" s="6">
        <v>753.84199999999998</v>
      </c>
      <c r="I34" s="2"/>
      <c r="J34" s="7">
        <f t="shared" si="13"/>
        <v>1.5705041666666666E-2</v>
      </c>
      <c r="K34" s="2"/>
      <c r="L34" s="6">
        <f t="shared" si="14"/>
        <v>-523.22199999999998</v>
      </c>
      <c r="M34" s="2"/>
      <c r="N34" s="7">
        <f t="shared" si="15"/>
        <v>-0.69407382448842059</v>
      </c>
      <c r="O34" s="11"/>
      <c r="P34" s="6">
        <v>461.24</v>
      </c>
      <c r="Q34" s="2"/>
      <c r="R34" s="7">
        <f t="shared" si="16"/>
        <v>7.9239898948684929E-3</v>
      </c>
      <c r="S34" s="2"/>
      <c r="T34" s="6">
        <v>1315.932</v>
      </c>
      <c r="U34" s="2"/>
      <c r="V34" s="7">
        <f t="shared" si="17"/>
        <v>1.530153488372093E-2</v>
      </c>
      <c r="W34" s="2"/>
      <c r="X34" s="6">
        <f t="shared" si="18"/>
        <v>-854.69200000000001</v>
      </c>
      <c r="Y34" s="2"/>
      <c r="Z34" s="7">
        <f t="shared" si="19"/>
        <v>-0.64949556664022157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148</v>
      </c>
      <c r="E35" s="2"/>
      <c r="F35" s="7">
        <f t="shared" si="12"/>
        <v>3.6773201281098825E-3</v>
      </c>
      <c r="G35" s="2"/>
      <c r="H35" s="6"/>
      <c r="I35" s="2"/>
      <c r="J35" s="7">
        <f t="shared" si="13"/>
        <v>0</v>
      </c>
      <c r="K35" s="2"/>
      <c r="L35" s="6">
        <f t="shared" si="14"/>
        <v>148</v>
      </c>
      <c r="M35" s="2"/>
      <c r="N35" s="7">
        <f t="shared" si="15"/>
        <v>0</v>
      </c>
      <c r="O35" s="11"/>
      <c r="P35" s="6">
        <v>291.42</v>
      </c>
      <c r="Q35" s="2"/>
      <c r="R35" s="7">
        <f t="shared" si="16"/>
        <v>5.0065240117131565E-3</v>
      </c>
      <c r="S35" s="2"/>
      <c r="T35" s="6"/>
      <c r="U35" s="2"/>
      <c r="V35" s="7">
        <f t="shared" si="17"/>
        <v>0</v>
      </c>
      <c r="W35" s="2"/>
      <c r="X35" s="6">
        <f t="shared" si="18"/>
        <v>291.42</v>
      </c>
      <c r="Y35" s="2"/>
      <c r="Z35" s="7">
        <f t="shared" si="19"/>
        <v>0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17130.07</v>
      </c>
      <c r="E36" s="1"/>
      <c r="F36" s="5">
        <f t="shared" ref="F36:F46" si="20">IF(D$12=0,0,D36/D$12)</f>
        <v>0.42562669734413011</v>
      </c>
      <c r="G36" s="1"/>
      <c r="H36" s="1">
        <f>SUM(OSRRefH22_1x_0)</f>
        <v>17847.936000000002</v>
      </c>
      <c r="I36" s="1"/>
      <c r="J36" s="5">
        <f t="shared" ref="J36:J46" si="21">IF(H$12=0,0,H36/H$12)</f>
        <v>0.37183200000000005</v>
      </c>
      <c r="K36" s="1"/>
      <c r="L36" s="1">
        <f t="shared" ref="L36:L46" si="22">+D36-H36</f>
        <v>-717.8660000000018</v>
      </c>
      <c r="M36" s="1"/>
      <c r="N36" s="5">
        <f t="shared" ref="N36:N46" si="23">IF(H36=0,0,L36/H36)</f>
        <v>-4.0221233424413992E-2</v>
      </c>
      <c r="O36" s="13"/>
      <c r="P36" s="1">
        <f>SUM(OSRRefP22_1x_0)</f>
        <v>28028.449999999997</v>
      </c>
      <c r="Q36" s="1"/>
      <c r="R36" s="5">
        <f t="shared" ref="R36:R46" si="24">IF(P$12=0,0,P36/P$12)</f>
        <v>0.48152188571855603</v>
      </c>
      <c r="S36" s="1"/>
      <c r="T36" s="1">
        <f>SUM(OSRRefT22_1x_0)</f>
        <v>31877.856</v>
      </c>
      <c r="U36" s="1"/>
      <c r="V36" s="5">
        <f t="shared" ref="V36:V46" si="25">IF(T$12=0,0,T36/T$12)</f>
        <v>0.37067274418604651</v>
      </c>
      <c r="W36" s="1"/>
      <c r="X36" s="1">
        <f t="shared" ref="X36:X46" si="26">+P36-T36</f>
        <v>-3849.4060000000027</v>
      </c>
      <c r="Y36" s="1"/>
      <c r="Z36" s="5">
        <f t="shared" ref="Z36:Z46" si="27">IF(T36=0,0,X36/T36)</f>
        <v>-0.12075485879602452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/>
      <c r="E38" s="2"/>
      <c r="F38" s="7">
        <f t="shared" si="20"/>
        <v>0</v>
      </c>
      <c r="G38" s="2"/>
      <c r="H38" s="6">
        <v>4419.9359999999997</v>
      </c>
      <c r="I38" s="2"/>
      <c r="J38" s="7">
        <f t="shared" si="21"/>
        <v>9.2081999999999997E-2</v>
      </c>
      <c r="K38" s="2"/>
      <c r="L38" s="6">
        <f t="shared" si="22"/>
        <v>-4419.9359999999997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9944.8559999999998</v>
      </c>
      <c r="U38" s="2"/>
      <c r="V38" s="7">
        <f t="shared" si="25"/>
        <v>0.11563786046511627</v>
      </c>
      <c r="W38" s="2"/>
      <c r="X38" s="6">
        <f t="shared" si="26"/>
        <v>-9944.8559999999998</v>
      </c>
      <c r="Y38" s="2"/>
      <c r="Z38" s="7">
        <f t="shared" si="27"/>
        <v>-1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>
        <v>4882.8100000000004</v>
      </c>
      <c r="E40" s="2"/>
      <c r="F40" s="7">
        <f t="shared" si="20"/>
        <v>0.12132199658605552</v>
      </c>
      <c r="G40" s="2"/>
      <c r="H40" s="6">
        <v>3828</v>
      </c>
      <c r="I40" s="2"/>
      <c r="J40" s="7">
        <f t="shared" si="21"/>
        <v>7.9750000000000001E-2</v>
      </c>
      <c r="K40" s="2"/>
      <c r="L40" s="6">
        <f t="shared" si="22"/>
        <v>1054.8100000000004</v>
      </c>
      <c r="M40" s="2"/>
      <c r="N40" s="7">
        <f t="shared" si="23"/>
        <v>0.27555120167189145</v>
      </c>
      <c r="O40" s="11"/>
      <c r="P40" s="6">
        <v>10210.93</v>
      </c>
      <c r="Q40" s="2"/>
      <c r="R40" s="7">
        <f t="shared" si="24"/>
        <v>0.17542126905127384</v>
      </c>
      <c r="S40" s="2"/>
      <c r="T40" s="6">
        <v>8613</v>
      </c>
      <c r="U40" s="2"/>
      <c r="V40" s="7">
        <f t="shared" si="25"/>
        <v>0.10015116279069768</v>
      </c>
      <c r="W40" s="2"/>
      <c r="X40" s="6">
        <f t="shared" si="26"/>
        <v>1597.9300000000003</v>
      </c>
      <c r="Y40" s="2"/>
      <c r="Z40" s="7">
        <f t="shared" si="27"/>
        <v>0.18552536862881694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654.5</v>
      </c>
      <c r="E41" s="2"/>
      <c r="F41" s="7">
        <f t="shared" si="20"/>
        <v>1.6262202863837286E-2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654.5</v>
      </c>
      <c r="M41" s="2"/>
      <c r="N41" s="7">
        <f t="shared" si="23"/>
        <v>0</v>
      </c>
      <c r="O41" s="11"/>
      <c r="P41" s="6">
        <v>1470.5</v>
      </c>
      <c r="Q41" s="2"/>
      <c r="R41" s="7">
        <f t="shared" si="24"/>
        <v>2.5262828766811463E-2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1470.5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>
        <v>29.25</v>
      </c>
      <c r="E42" s="2"/>
      <c r="F42" s="7">
        <f t="shared" si="20"/>
        <v>7.2676766045414907E-4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29.25</v>
      </c>
      <c r="M42" s="2"/>
      <c r="N42" s="7">
        <f t="shared" si="23"/>
        <v>0</v>
      </c>
      <c r="O42" s="11"/>
      <c r="P42" s="6">
        <v>29.25</v>
      </c>
      <c r="Q42" s="2"/>
      <c r="R42" s="7">
        <f t="shared" si="24"/>
        <v>5.0250781464075841E-4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29.25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11563.51</v>
      </c>
      <c r="E43" s="2"/>
      <c r="F43" s="7">
        <f t="shared" si="20"/>
        <v>0.28731573023378315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11563.51</v>
      </c>
      <c r="M43" s="2"/>
      <c r="N43" s="7">
        <f t="shared" si="23"/>
        <v>0</v>
      </c>
      <c r="O43" s="11"/>
      <c r="P43" s="6">
        <v>16317.769999999999</v>
      </c>
      <c r="Q43" s="2"/>
      <c r="R43" s="7">
        <f t="shared" si="24"/>
        <v>0.28033528008583003</v>
      </c>
      <c r="S43" s="2"/>
      <c r="T43" s="6">
        <v>3720</v>
      </c>
      <c r="U43" s="2"/>
      <c r="V43" s="7">
        <f t="shared" si="25"/>
        <v>4.3255813953488369E-2</v>
      </c>
      <c r="W43" s="2"/>
      <c r="X43" s="6">
        <f t="shared" si="26"/>
        <v>12597.769999999999</v>
      </c>
      <c r="Y43" s="2"/>
      <c r="Z43" s="7">
        <f t="shared" si="27"/>
        <v>3.3864973118279567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9600</v>
      </c>
      <c r="I44" s="2"/>
      <c r="J44" s="7">
        <f t="shared" si="21"/>
        <v>0.2</v>
      </c>
      <c r="K44" s="2"/>
      <c r="L44" s="6">
        <f t="shared" si="22"/>
        <v>-9600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9600</v>
      </c>
      <c r="U44" s="2"/>
      <c r="V44" s="7">
        <f t="shared" si="25"/>
        <v>0.11162790697674418</v>
      </c>
      <c r="W44" s="2"/>
      <c r="X44" s="6">
        <f t="shared" si="26"/>
        <v>-9600</v>
      </c>
      <c r="Y44" s="2"/>
      <c r="Z44" s="7">
        <f t="shared" si="27"/>
        <v>-1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74.95</v>
      </c>
      <c r="E47" s="1"/>
      <c r="F47" s="5">
        <f t="shared" ref="F47:F55" si="28">IF(D$12=0,0,D47/D$12)</f>
        <v>1.8622644837961871E-3</v>
      </c>
      <c r="G47" s="1"/>
      <c r="H47" s="1">
        <f>SUM(OSRRefH22_2x_0)</f>
        <v>0</v>
      </c>
      <c r="I47" s="1"/>
      <c r="J47" s="5">
        <f t="shared" ref="J47:J55" si="29">IF(H$12=0,0,H47/H$12)</f>
        <v>0</v>
      </c>
      <c r="K47" s="1"/>
      <c r="L47" s="1">
        <f t="shared" ref="L47:L55" si="30">+D47-H47</f>
        <v>74.95</v>
      </c>
      <c r="M47" s="1"/>
      <c r="N47" s="5">
        <f t="shared" ref="N47:N55" si="31">IF(H47=0,0,L47/H47)</f>
        <v>0</v>
      </c>
      <c r="O47" s="13"/>
      <c r="P47" s="1">
        <f>SUM(OSRRefP22_2x_0)</f>
        <v>138.47</v>
      </c>
      <c r="Q47" s="1"/>
      <c r="R47" s="5">
        <f t="shared" ref="R47:R55" si="32">IF(P$12=0,0,P47/P$12)</f>
        <v>2.3788805843865239E-3</v>
      </c>
      <c r="S47" s="1"/>
      <c r="T47" s="1">
        <f>SUM(OSRRefT22_2x_0)</f>
        <v>100</v>
      </c>
      <c r="U47" s="1"/>
      <c r="V47" s="5">
        <f t="shared" ref="V47:V55" si="33">IF(T$12=0,0,T47/T$12)</f>
        <v>1.1627906976744186E-3</v>
      </c>
      <c r="W47" s="1"/>
      <c r="X47" s="1">
        <f t="shared" ref="X47:X55" si="34">+P47-T47</f>
        <v>38.47</v>
      </c>
      <c r="Y47" s="1"/>
      <c r="Z47" s="5">
        <f t="shared" ref="Z47:Z55" si="35">IF(T47=0,0,X47/T47)</f>
        <v>0.38469999999999999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74.95</v>
      </c>
      <c r="E48" s="2"/>
      <c r="F48" s="7">
        <f t="shared" si="28"/>
        <v>1.8622644837961871E-3</v>
      </c>
      <c r="G48" s="2"/>
      <c r="H48" s="6"/>
      <c r="I48" s="2"/>
      <c r="J48" s="7">
        <f t="shared" si="29"/>
        <v>0</v>
      </c>
      <c r="K48" s="2"/>
      <c r="L48" s="6">
        <f t="shared" si="30"/>
        <v>74.95</v>
      </c>
      <c r="M48" s="2"/>
      <c r="N48" s="7">
        <f t="shared" si="31"/>
        <v>0</v>
      </c>
      <c r="O48" s="11"/>
      <c r="P48" s="6">
        <v>138.47</v>
      </c>
      <c r="Q48" s="2"/>
      <c r="R48" s="7">
        <f t="shared" si="32"/>
        <v>2.3788805843865239E-3</v>
      </c>
      <c r="S48" s="2"/>
      <c r="T48" s="6">
        <v>100</v>
      </c>
      <c r="U48" s="2"/>
      <c r="V48" s="7">
        <f t="shared" si="33"/>
        <v>1.1627906976744186E-3</v>
      </c>
      <c r="W48" s="2"/>
      <c r="X48" s="6">
        <f t="shared" si="34"/>
        <v>38.47</v>
      </c>
      <c r="Y48" s="2"/>
      <c r="Z48" s="7">
        <f t="shared" si="35"/>
        <v>0.38469999999999999</v>
      </c>
    </row>
    <row r="49" spans="1:26" s="26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18.12</v>
      </c>
      <c r="E49" s="1"/>
      <c r="F49" s="5">
        <f t="shared" si="28"/>
        <v>4.5022324811723702E-4</v>
      </c>
      <c r="G49" s="1"/>
      <c r="H49" s="1">
        <f>SUM(OSRRefH22_3x_0)</f>
        <v>0</v>
      </c>
      <c r="I49" s="1"/>
      <c r="J49" s="5">
        <f t="shared" si="29"/>
        <v>0</v>
      </c>
      <c r="K49" s="1"/>
      <c r="L49" s="1">
        <f t="shared" si="30"/>
        <v>18.12</v>
      </c>
      <c r="M49" s="1"/>
      <c r="N49" s="5">
        <f t="shared" si="31"/>
        <v>0</v>
      </c>
      <c r="O49" s="13"/>
      <c r="P49" s="1">
        <f>SUM(OSRRefP22_3x_0)</f>
        <v>2.23</v>
      </c>
      <c r="Q49" s="1"/>
      <c r="R49" s="5">
        <f t="shared" si="32"/>
        <v>3.8310852193124489E-5</v>
      </c>
      <c r="S49" s="1"/>
      <c r="T49" s="1">
        <f>SUM(OSRRefT22_3x_0)</f>
        <v>0</v>
      </c>
      <c r="U49" s="1"/>
      <c r="V49" s="5">
        <f t="shared" si="33"/>
        <v>0</v>
      </c>
      <c r="W49" s="1"/>
      <c r="X49" s="1">
        <f t="shared" si="34"/>
        <v>2.23</v>
      </c>
      <c r="Y49" s="1"/>
      <c r="Z49" s="5">
        <f t="shared" si="35"/>
        <v>0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18.12</v>
      </c>
      <c r="E50" s="2"/>
      <c r="F50" s="7">
        <f t="shared" si="28"/>
        <v>4.5022324811723702E-4</v>
      </c>
      <c r="G50" s="2"/>
      <c r="H50" s="6"/>
      <c r="I50" s="2"/>
      <c r="J50" s="7">
        <f t="shared" si="29"/>
        <v>0</v>
      </c>
      <c r="K50" s="2"/>
      <c r="L50" s="6">
        <f t="shared" si="30"/>
        <v>18.12</v>
      </c>
      <c r="M50" s="2"/>
      <c r="N50" s="7">
        <f t="shared" si="31"/>
        <v>0</v>
      </c>
      <c r="O50" s="11"/>
      <c r="P50" s="6">
        <v>2.23</v>
      </c>
      <c r="Q50" s="2"/>
      <c r="R50" s="7">
        <f t="shared" si="32"/>
        <v>3.8310852193124489E-5</v>
      </c>
      <c r="S50" s="2"/>
      <c r="T50" s="6"/>
      <c r="U50" s="2"/>
      <c r="V50" s="7">
        <f t="shared" si="33"/>
        <v>0</v>
      </c>
      <c r="W50" s="2"/>
      <c r="X50" s="6">
        <f t="shared" si="34"/>
        <v>2.23</v>
      </c>
      <c r="Y50" s="2"/>
      <c r="Z50" s="7">
        <f t="shared" si="35"/>
        <v>0</v>
      </c>
    </row>
    <row r="51" spans="1:26" s="26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902.73</v>
      </c>
      <c r="E51" s="1"/>
      <c r="F51" s="5">
        <f t="shared" si="28"/>
        <v>2.2429913508436719E-2</v>
      </c>
      <c r="G51" s="1"/>
      <c r="H51" s="1">
        <f>SUM(OSRRefH22_4x_0)</f>
        <v>2400</v>
      </c>
      <c r="I51" s="1"/>
      <c r="J51" s="5">
        <f t="shared" si="29"/>
        <v>0.05</v>
      </c>
      <c r="K51" s="1"/>
      <c r="L51" s="1">
        <f t="shared" si="30"/>
        <v>-1497.27</v>
      </c>
      <c r="M51" s="1"/>
      <c r="N51" s="5">
        <f t="shared" si="31"/>
        <v>-0.62386249999999999</v>
      </c>
      <c r="O51" s="13"/>
      <c r="P51" s="1">
        <f>SUM(OSRRefP22_4x_0)</f>
        <v>1264.74</v>
      </c>
      <c r="Q51" s="1"/>
      <c r="R51" s="5">
        <f t="shared" si="32"/>
        <v>2.1727922512435993E-2</v>
      </c>
      <c r="S51" s="1"/>
      <c r="T51" s="1">
        <f>SUM(OSRRefT22_4x_0)</f>
        <v>3350</v>
      </c>
      <c r="U51" s="1"/>
      <c r="V51" s="5">
        <f t="shared" si="33"/>
        <v>3.8953488372093024E-2</v>
      </c>
      <c r="W51" s="1"/>
      <c r="X51" s="1">
        <f t="shared" si="34"/>
        <v>-2085.2600000000002</v>
      </c>
      <c r="Y51" s="1"/>
      <c r="Z51" s="5">
        <f t="shared" si="35"/>
        <v>-0.62246567164179112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902.73</v>
      </c>
      <c r="E52" s="2"/>
      <c r="F52" s="7">
        <f t="shared" si="28"/>
        <v>2.2429913508436719E-2</v>
      </c>
      <c r="G52" s="2"/>
      <c r="H52" s="6">
        <v>2400</v>
      </c>
      <c r="I52" s="2"/>
      <c r="J52" s="7">
        <f t="shared" si="29"/>
        <v>0.05</v>
      </c>
      <c r="K52" s="2"/>
      <c r="L52" s="6">
        <f t="shared" si="30"/>
        <v>-1497.27</v>
      </c>
      <c r="M52" s="2"/>
      <c r="N52" s="7">
        <f t="shared" si="31"/>
        <v>-0.62386249999999999</v>
      </c>
      <c r="O52" s="11"/>
      <c r="P52" s="6">
        <v>1264.74</v>
      </c>
      <c r="Q52" s="2"/>
      <c r="R52" s="7">
        <f t="shared" si="32"/>
        <v>2.1727922512435993E-2</v>
      </c>
      <c r="S52" s="2"/>
      <c r="T52" s="6">
        <v>3350</v>
      </c>
      <c r="U52" s="2"/>
      <c r="V52" s="7">
        <f t="shared" si="33"/>
        <v>3.8953488372093024E-2</v>
      </c>
      <c r="W52" s="2"/>
      <c r="X52" s="6">
        <f t="shared" si="34"/>
        <v>-2085.2600000000002</v>
      </c>
      <c r="Y52" s="2"/>
      <c r="Z52" s="7">
        <f t="shared" si="35"/>
        <v>-0.62246567164179112</v>
      </c>
    </row>
    <row r="53" spans="1:26" s="26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1647.59</v>
      </c>
      <c r="E53" s="1"/>
      <c r="F53" s="5">
        <f t="shared" si="28"/>
        <v>4.0937269391030817E-2</v>
      </c>
      <c r="G53" s="1"/>
      <c r="H53" s="1">
        <f>SUM(OSRRefH22_5x_0)</f>
        <v>1734</v>
      </c>
      <c r="I53" s="1"/>
      <c r="J53" s="5">
        <f t="shared" si="29"/>
        <v>3.6124999999999997E-2</v>
      </c>
      <c r="K53" s="1"/>
      <c r="L53" s="1">
        <f t="shared" si="30"/>
        <v>-86.410000000000082</v>
      </c>
      <c r="M53" s="1"/>
      <c r="N53" s="5">
        <f t="shared" si="31"/>
        <v>-4.9832756632064636E-2</v>
      </c>
      <c r="O53" s="13"/>
      <c r="P53" s="1">
        <f>SUM(OSRRefP22_5x_0)</f>
        <v>3295.18</v>
      </c>
      <c r="Q53" s="1"/>
      <c r="R53" s="5">
        <f t="shared" si="32"/>
        <v>5.6610382928134508E-2</v>
      </c>
      <c r="S53" s="1"/>
      <c r="T53" s="1">
        <f>SUM(OSRRefT22_5x_0)</f>
        <v>3468</v>
      </c>
      <c r="U53" s="1"/>
      <c r="V53" s="5">
        <f t="shared" si="33"/>
        <v>4.0325581395348836E-2</v>
      </c>
      <c r="W53" s="1"/>
      <c r="X53" s="1">
        <f t="shared" si="34"/>
        <v>-172.82000000000016</v>
      </c>
      <c r="Y53" s="1"/>
      <c r="Z53" s="5">
        <f t="shared" si="35"/>
        <v>-4.9832756632064636E-2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1647.59</v>
      </c>
      <c r="E54" s="2"/>
      <c r="F54" s="7">
        <f t="shared" si="28"/>
        <v>4.0937269391030817E-2</v>
      </c>
      <c r="G54" s="2"/>
      <c r="H54" s="6">
        <v>1674</v>
      </c>
      <c r="I54" s="2"/>
      <c r="J54" s="7">
        <f t="shared" si="29"/>
        <v>3.4875000000000003E-2</v>
      </c>
      <c r="K54" s="2"/>
      <c r="L54" s="6">
        <f t="shared" si="30"/>
        <v>-26.410000000000082</v>
      </c>
      <c r="M54" s="2"/>
      <c r="N54" s="7">
        <f t="shared" si="31"/>
        <v>-1.5776583034647601E-2</v>
      </c>
      <c r="O54" s="11"/>
      <c r="P54" s="6">
        <v>3295.18</v>
      </c>
      <c r="Q54" s="2"/>
      <c r="R54" s="7">
        <f t="shared" si="32"/>
        <v>5.6610382928134508E-2</v>
      </c>
      <c r="S54" s="2"/>
      <c r="T54" s="6">
        <v>3348</v>
      </c>
      <c r="U54" s="2"/>
      <c r="V54" s="7">
        <f t="shared" si="33"/>
        <v>3.8930232558139537E-2</v>
      </c>
      <c r="W54" s="2"/>
      <c r="X54" s="6">
        <f t="shared" si="34"/>
        <v>-52.820000000000164</v>
      </c>
      <c r="Y54" s="2"/>
      <c r="Z54" s="7">
        <f t="shared" si="35"/>
        <v>-1.5776583034647601E-2</v>
      </c>
    </row>
    <row r="55" spans="1:26" s="24" customFormat="1" hidden="1" outlineLevel="2" x14ac:dyDescent="0.25">
      <c r="A55" s="27"/>
      <c r="B55" s="11" t="str">
        <f>CONCATENATE("          ", "6324", " - ", "FURNITURE + FIXT DEPRECIATION")</f>
        <v xml:space="preserve">          6324 - FURNITURE + FIXT DEPRECIATION</v>
      </c>
      <c r="C55" s="11"/>
      <c r="D55" s="6"/>
      <c r="E55" s="2"/>
      <c r="F55" s="7">
        <f t="shared" si="28"/>
        <v>0</v>
      </c>
      <c r="G55" s="2"/>
      <c r="H55" s="6">
        <v>60</v>
      </c>
      <c r="I55" s="2"/>
      <c r="J55" s="7">
        <f t="shared" si="29"/>
        <v>1.25E-3</v>
      </c>
      <c r="K55" s="2"/>
      <c r="L55" s="6">
        <f t="shared" si="30"/>
        <v>-60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120</v>
      </c>
      <c r="U55" s="2"/>
      <c r="V55" s="7">
        <f t="shared" si="33"/>
        <v>1.3953488372093023E-3</v>
      </c>
      <c r="W55" s="2"/>
      <c r="X55" s="6">
        <f t="shared" si="34"/>
        <v>-120</v>
      </c>
      <c r="Y55" s="2"/>
      <c r="Z55" s="7">
        <f t="shared" si="35"/>
        <v>-1</v>
      </c>
    </row>
    <row r="56" spans="1:26" s="26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ref="F56:F77" si="36">IF(D$12=0,0,D56/D$12)</f>
        <v>0</v>
      </c>
      <c r="G56" s="1"/>
      <c r="H56" s="1">
        <f>SUM(OSRRefH22_6x_0)</f>
        <v>0</v>
      </c>
      <c r="I56" s="1"/>
      <c r="J56" s="5">
        <f t="shared" ref="J56:J77" si="37">IF(H$12=0,0,H56/H$12)</f>
        <v>0</v>
      </c>
      <c r="K56" s="1"/>
      <c r="L56" s="1">
        <f t="shared" ref="L56:L77" si="38">+D56-H56</f>
        <v>0</v>
      </c>
      <c r="M56" s="1"/>
      <c r="N56" s="5">
        <f t="shared" ref="N56:N77" si="39">IF(H56=0,0,L56/H56)</f>
        <v>0</v>
      </c>
      <c r="O56" s="13"/>
      <c r="P56" s="1">
        <f>SUM(OSRRefP22_6x_0)</f>
        <v>0</v>
      </c>
      <c r="Q56" s="1"/>
      <c r="R56" s="5">
        <f t="shared" ref="R56:R77" si="40">IF(P$12=0,0,P56/P$12)</f>
        <v>0</v>
      </c>
      <c r="S56" s="1"/>
      <c r="T56" s="1">
        <f>SUM(OSRRefT22_6x_0)</f>
        <v>40</v>
      </c>
      <c r="U56" s="1"/>
      <c r="V56" s="5">
        <f t="shared" ref="V56:V77" si="41">IF(T$12=0,0,T56/T$12)</f>
        <v>4.6511627906976747E-4</v>
      </c>
      <c r="W56" s="1"/>
      <c r="X56" s="1">
        <f t="shared" ref="X56:X77" si="42">+P56-T56</f>
        <v>-40</v>
      </c>
      <c r="Y56" s="1"/>
      <c r="Z56" s="5">
        <f t="shared" ref="Z56:Z77" si="43">IF(T56=0,0,X56/T56)</f>
        <v>-1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/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/>
      <c r="Q57" s="2"/>
      <c r="R57" s="7">
        <f t="shared" si="40"/>
        <v>0</v>
      </c>
      <c r="S57" s="2"/>
      <c r="T57" s="6">
        <v>40</v>
      </c>
      <c r="U57" s="2"/>
      <c r="V57" s="7">
        <f t="shared" si="41"/>
        <v>4.6511627906976747E-4</v>
      </c>
      <c r="W57" s="2"/>
      <c r="X57" s="6">
        <f t="shared" si="42"/>
        <v>-40</v>
      </c>
      <c r="Y57" s="2"/>
      <c r="Z57" s="7">
        <f t="shared" si="43"/>
        <v>-1</v>
      </c>
    </row>
    <row r="58" spans="1:26" s="26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118.91</v>
      </c>
      <c r="E58" s="1"/>
      <c r="F58" s="5">
        <f t="shared" si="36"/>
        <v>2.9545279488753119E-3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118.91</v>
      </c>
      <c r="M58" s="1"/>
      <c r="N58" s="5">
        <f t="shared" si="39"/>
        <v>0</v>
      </c>
      <c r="O58" s="13"/>
      <c r="P58" s="1">
        <f>SUM(OSRRefP22_7x_0)</f>
        <v>237.82</v>
      </c>
      <c r="Q58" s="1"/>
      <c r="R58" s="5">
        <f t="shared" si="40"/>
        <v>4.0856891787304332E-3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237.82</v>
      </c>
      <c r="Y58" s="1"/>
      <c r="Z58" s="5">
        <f t="shared" si="43"/>
        <v>0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118.91</v>
      </c>
      <c r="E59" s="2"/>
      <c r="F59" s="7">
        <f t="shared" si="36"/>
        <v>2.9545279488753119E-3</v>
      </c>
      <c r="G59" s="2"/>
      <c r="H59" s="6"/>
      <c r="I59" s="2"/>
      <c r="J59" s="7">
        <f t="shared" si="37"/>
        <v>0</v>
      </c>
      <c r="K59" s="2"/>
      <c r="L59" s="6">
        <f t="shared" si="38"/>
        <v>118.91</v>
      </c>
      <c r="M59" s="2"/>
      <c r="N59" s="7">
        <f t="shared" si="39"/>
        <v>0</v>
      </c>
      <c r="O59" s="11"/>
      <c r="P59" s="6">
        <v>237.82</v>
      </c>
      <c r="Q59" s="2"/>
      <c r="R59" s="7">
        <f t="shared" si="40"/>
        <v>4.0856891787304332E-3</v>
      </c>
      <c r="S59" s="2"/>
      <c r="T59" s="6"/>
      <c r="U59" s="2"/>
      <c r="V59" s="7">
        <f t="shared" si="41"/>
        <v>0</v>
      </c>
      <c r="W59" s="2"/>
      <c r="X59" s="6">
        <f t="shared" si="42"/>
        <v>237.82</v>
      </c>
      <c r="Y59" s="2"/>
      <c r="Z59" s="7">
        <f t="shared" si="43"/>
        <v>0</v>
      </c>
    </row>
    <row r="60" spans="1:26" s="26" customFormat="1" outlineLevel="1" collapsed="1" x14ac:dyDescent="0.25">
      <c r="A60" s="25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703.44</v>
      </c>
      <c r="E60" s="1"/>
      <c r="F60" s="5">
        <f t="shared" si="36"/>
        <v>1.7478203181875783E-2</v>
      </c>
      <c r="G60" s="1"/>
      <c r="H60" s="1">
        <f>SUM(OSRRefH22_8x_0)</f>
        <v>2300</v>
      </c>
      <c r="I60" s="1"/>
      <c r="J60" s="5">
        <f t="shared" si="37"/>
        <v>4.791666666666667E-2</v>
      </c>
      <c r="K60" s="1"/>
      <c r="L60" s="1">
        <f t="shared" si="38"/>
        <v>-1596.56</v>
      </c>
      <c r="M60" s="1"/>
      <c r="N60" s="5">
        <f t="shared" si="39"/>
        <v>-0.69415652173913045</v>
      </c>
      <c r="O60" s="13"/>
      <c r="P60" s="1">
        <f>SUM(OSRRefP22_8x_0)</f>
        <v>1769.51</v>
      </c>
      <c r="Q60" s="1"/>
      <c r="R60" s="5">
        <f t="shared" si="40"/>
        <v>3.0399747114016017E-2</v>
      </c>
      <c r="S60" s="1"/>
      <c r="T60" s="1">
        <f>SUM(OSRRefT22_8x_0)</f>
        <v>2300</v>
      </c>
      <c r="U60" s="1"/>
      <c r="V60" s="5">
        <f t="shared" si="41"/>
        <v>2.6744186046511628E-2</v>
      </c>
      <c r="W60" s="1"/>
      <c r="X60" s="1">
        <f t="shared" si="42"/>
        <v>-530.49</v>
      </c>
      <c r="Y60" s="1"/>
      <c r="Z60" s="5">
        <f t="shared" si="43"/>
        <v>-0.23064782608695653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>
        <v>703.44</v>
      </c>
      <c r="E61" s="2"/>
      <c r="F61" s="7">
        <f t="shared" si="36"/>
        <v>1.7478203181875783E-2</v>
      </c>
      <c r="G61" s="2"/>
      <c r="H61" s="6">
        <v>2300</v>
      </c>
      <c r="I61" s="2"/>
      <c r="J61" s="7">
        <f t="shared" si="37"/>
        <v>4.791666666666667E-2</v>
      </c>
      <c r="K61" s="2"/>
      <c r="L61" s="6">
        <f t="shared" si="38"/>
        <v>-1596.56</v>
      </c>
      <c r="M61" s="2"/>
      <c r="N61" s="7">
        <f t="shared" si="39"/>
        <v>-0.69415652173913045</v>
      </c>
      <c r="O61" s="11"/>
      <c r="P61" s="6">
        <v>1769.51</v>
      </c>
      <c r="Q61" s="2"/>
      <c r="R61" s="7">
        <f t="shared" si="40"/>
        <v>3.0399747114016017E-2</v>
      </c>
      <c r="S61" s="2"/>
      <c r="T61" s="6">
        <v>2300</v>
      </c>
      <c r="U61" s="2"/>
      <c r="V61" s="7">
        <f t="shared" si="41"/>
        <v>2.6744186046511628E-2</v>
      </c>
      <c r="W61" s="2"/>
      <c r="X61" s="6">
        <f t="shared" si="42"/>
        <v>-530.49</v>
      </c>
      <c r="Y61" s="2"/>
      <c r="Z61" s="7">
        <f t="shared" si="43"/>
        <v>-0.23064782608695653</v>
      </c>
    </row>
    <row r="62" spans="1:26" s="26" customFormat="1" outlineLevel="1" collapsed="1" x14ac:dyDescent="0.25">
      <c r="A62" s="25"/>
      <c r="B62" s="13" t="str">
        <f>CONCATENATE("     ","Repair and Maintenance                            ")</f>
        <v xml:space="preserve">     Repair and Maintenance                            </v>
      </c>
      <c r="C62" s="13"/>
      <c r="D62" s="1">
        <f>SUM(OSRRefD22_9x_0)</f>
        <v>537.73</v>
      </c>
      <c r="E62" s="1"/>
      <c r="F62" s="5">
        <f t="shared" si="36"/>
        <v>1.3360846976273832E-2</v>
      </c>
      <c r="G62" s="1"/>
      <c r="H62" s="1">
        <f>SUM(OSRRefH22_9x_0)</f>
        <v>500</v>
      </c>
      <c r="I62" s="1"/>
      <c r="J62" s="5">
        <f t="shared" si="37"/>
        <v>1.0416666666666666E-2</v>
      </c>
      <c r="K62" s="1"/>
      <c r="L62" s="1">
        <f t="shared" si="38"/>
        <v>37.730000000000018</v>
      </c>
      <c r="M62" s="1"/>
      <c r="N62" s="5">
        <f t="shared" si="39"/>
        <v>7.5460000000000041E-2</v>
      </c>
      <c r="O62" s="13"/>
      <c r="P62" s="1">
        <f>SUM(OSRRefP22_9x_0)</f>
        <v>3184.3</v>
      </c>
      <c r="Q62" s="1"/>
      <c r="R62" s="5">
        <f t="shared" si="40"/>
        <v>5.4705491766173238E-2</v>
      </c>
      <c r="S62" s="1"/>
      <c r="T62" s="1">
        <f>SUM(OSRRefT22_9x_0)</f>
        <v>1000</v>
      </c>
      <c r="U62" s="1"/>
      <c r="V62" s="5">
        <f t="shared" si="41"/>
        <v>1.1627906976744186E-2</v>
      </c>
      <c r="W62" s="1"/>
      <c r="X62" s="1">
        <f t="shared" si="42"/>
        <v>2184.3000000000002</v>
      </c>
      <c r="Y62" s="1"/>
      <c r="Z62" s="5">
        <f t="shared" si="43"/>
        <v>2.1843000000000004</v>
      </c>
    </row>
    <row r="63" spans="1:26" s="24" customFormat="1" hidden="1" outlineLevel="2" x14ac:dyDescent="0.25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6">
        <v>537.73</v>
      </c>
      <c r="E63" s="2"/>
      <c r="F63" s="7">
        <f t="shared" si="36"/>
        <v>1.3360846976273832E-2</v>
      </c>
      <c r="G63" s="2"/>
      <c r="H63" s="6">
        <v>500</v>
      </c>
      <c r="I63" s="2"/>
      <c r="J63" s="7">
        <f t="shared" si="37"/>
        <v>1.0416666666666666E-2</v>
      </c>
      <c r="K63" s="2"/>
      <c r="L63" s="6">
        <f t="shared" si="38"/>
        <v>37.730000000000018</v>
      </c>
      <c r="M63" s="2"/>
      <c r="N63" s="7">
        <f t="shared" si="39"/>
        <v>7.5460000000000041E-2</v>
      </c>
      <c r="O63" s="11"/>
      <c r="P63" s="6">
        <v>3184.3</v>
      </c>
      <c r="Q63" s="2"/>
      <c r="R63" s="7">
        <f t="shared" si="40"/>
        <v>5.4705491766173238E-2</v>
      </c>
      <c r="S63" s="2"/>
      <c r="T63" s="6">
        <v>1000</v>
      </c>
      <c r="U63" s="2"/>
      <c r="V63" s="7">
        <f t="shared" si="41"/>
        <v>1.1627906976744186E-2</v>
      </c>
      <c r="W63" s="2"/>
      <c r="X63" s="6">
        <f t="shared" si="42"/>
        <v>2184.3000000000002</v>
      </c>
      <c r="Y63" s="2"/>
      <c r="Z63" s="7">
        <f t="shared" si="43"/>
        <v>2.1843000000000004</v>
      </c>
    </row>
    <row r="64" spans="1:26" s="26" customFormat="1" outlineLevel="1" collapsed="1" x14ac:dyDescent="0.25">
      <c r="A64" s="25"/>
      <c r="B64" s="13" t="str">
        <f>CONCATENATE("     ","Royalty &amp; Commissions                             ")</f>
        <v xml:space="preserve">     Royalty &amp; Commissions                             </v>
      </c>
      <c r="C64" s="13"/>
      <c r="D64" s="1">
        <f>SUM(OSRRefD22_10x_0)</f>
        <v>0</v>
      </c>
      <c r="E64" s="1"/>
      <c r="F64" s="5">
        <f t="shared" si="36"/>
        <v>0</v>
      </c>
      <c r="G64" s="1"/>
      <c r="H64" s="1">
        <f>SUM(OSRRefH22_10x_0)</f>
        <v>3840</v>
      </c>
      <c r="I64" s="1"/>
      <c r="J64" s="5">
        <f t="shared" si="37"/>
        <v>0.08</v>
      </c>
      <c r="K64" s="1"/>
      <c r="L64" s="1">
        <f t="shared" si="38"/>
        <v>-3840</v>
      </c>
      <c r="M64" s="1"/>
      <c r="N64" s="5">
        <f t="shared" si="39"/>
        <v>-1</v>
      </c>
      <c r="O64" s="13"/>
      <c r="P64" s="1">
        <f>SUM(OSRRefP22_10x_0)</f>
        <v>1436.88</v>
      </c>
      <c r="Q64" s="1"/>
      <c r="R64" s="5">
        <f t="shared" si="40"/>
        <v>2.4685245425675659E-2</v>
      </c>
      <c r="S64" s="1"/>
      <c r="T64" s="1">
        <f>SUM(OSRRefT22_10x_0)</f>
        <v>6880</v>
      </c>
      <c r="U64" s="1"/>
      <c r="V64" s="5">
        <f t="shared" si="41"/>
        <v>0.08</v>
      </c>
      <c r="W64" s="1"/>
      <c r="X64" s="1">
        <f t="shared" si="42"/>
        <v>-5443.12</v>
      </c>
      <c r="Y64" s="1"/>
      <c r="Z64" s="5">
        <f t="shared" si="43"/>
        <v>-0.79115116279069764</v>
      </c>
    </row>
    <row r="65" spans="1:26" s="24" customFormat="1" hidden="1" outlineLevel="2" x14ac:dyDescent="0.25">
      <c r="A65" s="27"/>
      <c r="B65" s="11" t="str">
        <f>CONCATENATE("          ", "6259", " - ", "ROYALTY &amp; COMMISSIONS")</f>
        <v xml:space="preserve">          6259 - ROYALTY &amp; COMMISSIONS</v>
      </c>
      <c r="C65" s="11"/>
      <c r="D65" s="6"/>
      <c r="E65" s="2"/>
      <c r="F65" s="7">
        <f t="shared" si="36"/>
        <v>0</v>
      </c>
      <c r="G65" s="2"/>
      <c r="H65" s="6">
        <v>3840</v>
      </c>
      <c r="I65" s="2"/>
      <c r="J65" s="7">
        <f t="shared" si="37"/>
        <v>0.08</v>
      </c>
      <c r="K65" s="2"/>
      <c r="L65" s="6">
        <f t="shared" si="38"/>
        <v>-3840</v>
      </c>
      <c r="M65" s="2"/>
      <c r="N65" s="7">
        <f t="shared" si="39"/>
        <v>-1</v>
      </c>
      <c r="O65" s="11"/>
      <c r="P65" s="6">
        <v>1436.88</v>
      </c>
      <c r="Q65" s="2"/>
      <c r="R65" s="7">
        <f t="shared" si="40"/>
        <v>2.4685245425675659E-2</v>
      </c>
      <c r="S65" s="2"/>
      <c r="T65" s="6">
        <v>6880</v>
      </c>
      <c r="U65" s="2"/>
      <c r="V65" s="7">
        <f t="shared" si="41"/>
        <v>0.08</v>
      </c>
      <c r="W65" s="2"/>
      <c r="X65" s="6">
        <f t="shared" si="42"/>
        <v>-5443.12</v>
      </c>
      <c r="Y65" s="2"/>
      <c r="Z65" s="7">
        <f t="shared" si="43"/>
        <v>-0.79115116279069764</v>
      </c>
    </row>
    <row r="66" spans="1:26" s="26" customFormat="1" outlineLevel="1" collapsed="1" x14ac:dyDescent="0.25">
      <c r="A66" s="25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SUM(OSRRefD22_11x_0)</f>
        <v>48.74</v>
      </c>
      <c r="E66" s="1"/>
      <c r="F66" s="5">
        <f t="shared" si="36"/>
        <v>1.2110309665140249E-3</v>
      </c>
      <c r="G66" s="1"/>
      <c r="H66" s="1">
        <f>SUM(OSRRefH22_11x_0)</f>
        <v>120</v>
      </c>
      <c r="I66" s="1"/>
      <c r="J66" s="5">
        <f t="shared" si="37"/>
        <v>2.5000000000000001E-3</v>
      </c>
      <c r="K66" s="1"/>
      <c r="L66" s="1">
        <f t="shared" si="38"/>
        <v>-71.259999999999991</v>
      </c>
      <c r="M66" s="1"/>
      <c r="N66" s="5">
        <f t="shared" si="39"/>
        <v>-0.59383333333333321</v>
      </c>
      <c r="O66" s="13"/>
      <c r="P66" s="1">
        <f>SUM(OSRRefP22_11x_0)</f>
        <v>86.1</v>
      </c>
      <c r="Q66" s="1"/>
      <c r="R66" s="5">
        <f t="shared" si="40"/>
        <v>1.4791768492502324E-3</v>
      </c>
      <c r="S66" s="1"/>
      <c r="T66" s="1">
        <f>SUM(OSRRefT22_11x_0)</f>
        <v>240</v>
      </c>
      <c r="U66" s="1"/>
      <c r="V66" s="5">
        <f t="shared" si="41"/>
        <v>2.7906976744186047E-3</v>
      </c>
      <c r="W66" s="1"/>
      <c r="X66" s="1">
        <f t="shared" si="42"/>
        <v>-153.9</v>
      </c>
      <c r="Y66" s="1"/>
      <c r="Z66" s="5">
        <f t="shared" si="43"/>
        <v>-0.64124999999999999</v>
      </c>
    </row>
    <row r="67" spans="1:26" s="24" customFormat="1" hidden="1" outlineLevel="2" x14ac:dyDescent="0.25">
      <c r="A67" s="27"/>
      <c r="B67" s="11" t="str">
        <f>CONCATENATE("          ", "6286", " - ", "LAUNDRY EXPENSE")</f>
        <v xml:space="preserve">          6286 - LAUNDRY EXPENSE</v>
      </c>
      <c r="C67" s="11"/>
      <c r="D67" s="6">
        <v>48.74</v>
      </c>
      <c r="E67" s="2"/>
      <c r="F67" s="7">
        <f t="shared" si="36"/>
        <v>1.2110309665140249E-3</v>
      </c>
      <c r="G67" s="2"/>
      <c r="H67" s="6">
        <v>120</v>
      </c>
      <c r="I67" s="2"/>
      <c r="J67" s="7">
        <f t="shared" si="37"/>
        <v>2.5000000000000001E-3</v>
      </c>
      <c r="K67" s="2"/>
      <c r="L67" s="6">
        <f t="shared" si="38"/>
        <v>-71.259999999999991</v>
      </c>
      <c r="M67" s="2"/>
      <c r="N67" s="7">
        <f t="shared" si="39"/>
        <v>-0.59383333333333321</v>
      </c>
      <c r="O67" s="11"/>
      <c r="P67" s="6">
        <v>86.1</v>
      </c>
      <c r="Q67" s="2"/>
      <c r="R67" s="7">
        <f t="shared" si="40"/>
        <v>1.4791768492502324E-3</v>
      </c>
      <c r="S67" s="2"/>
      <c r="T67" s="6">
        <v>240</v>
      </c>
      <c r="U67" s="2"/>
      <c r="V67" s="7">
        <f t="shared" si="41"/>
        <v>2.7906976744186047E-3</v>
      </c>
      <c r="W67" s="2"/>
      <c r="X67" s="6">
        <f t="shared" si="42"/>
        <v>-153.9</v>
      </c>
      <c r="Y67" s="2"/>
      <c r="Z67" s="7">
        <f t="shared" si="43"/>
        <v>-0.64124999999999999</v>
      </c>
    </row>
    <row r="68" spans="1:26" s="26" customFormat="1" outlineLevel="1" collapsed="1" x14ac:dyDescent="0.25">
      <c r="A68" s="25"/>
      <c r="B68" s="13" t="str">
        <f>CONCATENATE("     ","Subscriptions &amp; Dues                              ")</f>
        <v xml:space="preserve">     Subscriptions &amp; Dues                              </v>
      </c>
      <c r="C68" s="13"/>
      <c r="D68" s="1">
        <f>SUM(OSRRefD22_12x_0)</f>
        <v>30.68</v>
      </c>
      <c r="E68" s="1"/>
      <c r="F68" s="5">
        <f t="shared" si="36"/>
        <v>7.6229852385412968E-4</v>
      </c>
      <c r="G68" s="1"/>
      <c r="H68" s="1">
        <f>SUM(OSRRefH22_12x_0)</f>
        <v>0</v>
      </c>
      <c r="I68" s="1"/>
      <c r="J68" s="5">
        <f t="shared" si="37"/>
        <v>0</v>
      </c>
      <c r="K68" s="1"/>
      <c r="L68" s="1">
        <f t="shared" si="38"/>
        <v>30.68</v>
      </c>
      <c r="M68" s="1"/>
      <c r="N68" s="5">
        <f t="shared" si="39"/>
        <v>0</v>
      </c>
      <c r="O68" s="13"/>
      <c r="P68" s="1">
        <f>SUM(OSRRefP22_12x_0)</f>
        <v>30.68</v>
      </c>
      <c r="Q68" s="1"/>
      <c r="R68" s="5">
        <f t="shared" si="40"/>
        <v>5.2707486335652884E-4</v>
      </c>
      <c r="S68" s="1"/>
      <c r="T68" s="1">
        <f>SUM(OSRRefT22_12x_0)</f>
        <v>0</v>
      </c>
      <c r="U68" s="1"/>
      <c r="V68" s="5">
        <f t="shared" si="41"/>
        <v>0</v>
      </c>
      <c r="W68" s="1"/>
      <c r="X68" s="1">
        <f t="shared" si="42"/>
        <v>30.68</v>
      </c>
      <c r="Y68" s="1"/>
      <c r="Z68" s="5">
        <f t="shared" si="43"/>
        <v>0</v>
      </c>
    </row>
    <row r="69" spans="1:26" s="24" customFormat="1" hidden="1" outlineLevel="2" x14ac:dyDescent="0.25">
      <c r="A69" s="27"/>
      <c r="B69" s="11" t="str">
        <f>CONCATENATE("          ", "6275", " - ", "SUBSCRIPTIONS")</f>
        <v xml:space="preserve">          6275 - SUBSCRIPTIONS</v>
      </c>
      <c r="C69" s="11"/>
      <c r="D69" s="6">
        <v>30.68</v>
      </c>
      <c r="E69" s="2"/>
      <c r="F69" s="7">
        <f t="shared" si="36"/>
        <v>7.6229852385412968E-4</v>
      </c>
      <c r="G69" s="2"/>
      <c r="H69" s="6"/>
      <c r="I69" s="2"/>
      <c r="J69" s="7">
        <f t="shared" si="37"/>
        <v>0</v>
      </c>
      <c r="K69" s="2"/>
      <c r="L69" s="6">
        <f t="shared" si="38"/>
        <v>30.68</v>
      </c>
      <c r="M69" s="2"/>
      <c r="N69" s="7">
        <f t="shared" si="39"/>
        <v>0</v>
      </c>
      <c r="O69" s="11"/>
      <c r="P69" s="6">
        <v>30.68</v>
      </c>
      <c r="Q69" s="2"/>
      <c r="R69" s="7">
        <f t="shared" si="40"/>
        <v>5.2707486335652884E-4</v>
      </c>
      <c r="S69" s="2"/>
      <c r="T69" s="6"/>
      <c r="U69" s="2"/>
      <c r="V69" s="7">
        <f t="shared" si="41"/>
        <v>0</v>
      </c>
      <c r="W69" s="2"/>
      <c r="X69" s="6">
        <f t="shared" si="42"/>
        <v>30.68</v>
      </c>
      <c r="Y69" s="2"/>
      <c r="Z69" s="7">
        <f t="shared" si="43"/>
        <v>0</v>
      </c>
    </row>
    <row r="70" spans="1:26" s="26" customFormat="1" outlineLevel="1" collapsed="1" x14ac:dyDescent="0.25">
      <c r="A70" s="25"/>
      <c r="B70" s="13" t="str">
        <f>CONCATENATE("     ","Supplies                                          ")</f>
        <v xml:space="preserve">     Supplies                                          </v>
      </c>
      <c r="C70" s="13"/>
      <c r="D70" s="1">
        <f>SUM(OSRRefD22_13x_0)</f>
        <v>1742.36</v>
      </c>
      <c r="E70" s="1"/>
      <c r="F70" s="5">
        <f t="shared" si="36"/>
        <v>4.3291996610902259E-2</v>
      </c>
      <c r="G70" s="1"/>
      <c r="H70" s="1">
        <f>SUM(OSRRefH22_13x_0)</f>
        <v>420</v>
      </c>
      <c r="I70" s="1"/>
      <c r="J70" s="5">
        <f t="shared" si="37"/>
        <v>8.7500000000000008E-3</v>
      </c>
      <c r="K70" s="1"/>
      <c r="L70" s="1">
        <f t="shared" si="38"/>
        <v>1322.36</v>
      </c>
      <c r="M70" s="1"/>
      <c r="N70" s="5">
        <f t="shared" si="39"/>
        <v>3.1484761904761904</v>
      </c>
      <c r="O70" s="13"/>
      <c r="P70" s="1">
        <f>SUM(OSRRefP22_13x_0)</f>
        <v>4673.67</v>
      </c>
      <c r="Q70" s="1"/>
      <c r="R70" s="5">
        <f t="shared" si="40"/>
        <v>8.0292502497506787E-2</v>
      </c>
      <c r="S70" s="1"/>
      <c r="T70" s="1">
        <f>SUM(OSRRefT22_13x_0)</f>
        <v>4056</v>
      </c>
      <c r="U70" s="1"/>
      <c r="V70" s="5">
        <f t="shared" si="41"/>
        <v>4.7162790697674421E-2</v>
      </c>
      <c r="W70" s="1"/>
      <c r="X70" s="1">
        <f t="shared" si="42"/>
        <v>617.67000000000007</v>
      </c>
      <c r="Y70" s="1"/>
      <c r="Z70" s="5">
        <f t="shared" si="43"/>
        <v>0.1522855029585799</v>
      </c>
    </row>
    <row r="71" spans="1:26" s="24" customFormat="1" hidden="1" outlineLevel="2" x14ac:dyDescent="0.25">
      <c r="A71" s="27"/>
      <c r="B71" s="11" t="str">
        <f>CONCATENATE("          ", "6237", " - ", "JANITORIAL SUPPLIES")</f>
        <v xml:space="preserve">          6237 - JANITORIAL SUPPLIES</v>
      </c>
      <c r="C71" s="11"/>
      <c r="D71" s="6">
        <v>117.63</v>
      </c>
      <c r="E71" s="2"/>
      <c r="F71" s="7">
        <f t="shared" si="36"/>
        <v>2.9227240991186857E-3</v>
      </c>
      <c r="G71" s="2"/>
      <c r="H71" s="6"/>
      <c r="I71" s="2"/>
      <c r="J71" s="7">
        <f t="shared" si="37"/>
        <v>0</v>
      </c>
      <c r="K71" s="2"/>
      <c r="L71" s="6">
        <f t="shared" si="38"/>
        <v>117.63</v>
      </c>
      <c r="M71" s="2"/>
      <c r="N71" s="7">
        <f t="shared" si="39"/>
        <v>0</v>
      </c>
      <c r="O71" s="11"/>
      <c r="P71" s="6">
        <v>117.63</v>
      </c>
      <c r="Q71" s="2"/>
      <c r="R71" s="7">
        <f t="shared" si="40"/>
        <v>2.0208545038014501E-3</v>
      </c>
      <c r="S71" s="2"/>
      <c r="T71" s="6"/>
      <c r="U71" s="2"/>
      <c r="V71" s="7">
        <f t="shared" si="41"/>
        <v>0</v>
      </c>
      <c r="W71" s="2"/>
      <c r="X71" s="6">
        <f t="shared" si="42"/>
        <v>117.63</v>
      </c>
      <c r="Y71" s="2"/>
      <c r="Z71" s="7">
        <f t="shared" si="43"/>
        <v>0</v>
      </c>
    </row>
    <row r="72" spans="1:26" s="24" customFormat="1" hidden="1" outlineLevel="2" x14ac:dyDescent="0.25">
      <c r="A72" s="27"/>
      <c r="B72" s="11" t="str">
        <f>CONCATENATE("          ", "6239", " - ", "KITCHEN SUPPLIES")</f>
        <v xml:space="preserve">          6239 - KITCHEN SUPPLIES</v>
      </c>
      <c r="C72" s="11"/>
      <c r="D72" s="6">
        <v>490.75</v>
      </c>
      <c r="E72" s="2"/>
      <c r="F72" s="7">
        <f t="shared" si="36"/>
        <v>1.2193546303175169E-2</v>
      </c>
      <c r="G72" s="2"/>
      <c r="H72" s="6">
        <v>200</v>
      </c>
      <c r="I72" s="2"/>
      <c r="J72" s="7">
        <f t="shared" si="37"/>
        <v>4.1666666666666666E-3</v>
      </c>
      <c r="K72" s="2"/>
      <c r="L72" s="6">
        <f t="shared" si="38"/>
        <v>290.75</v>
      </c>
      <c r="M72" s="2"/>
      <c r="N72" s="7">
        <f t="shared" si="39"/>
        <v>1.4537500000000001</v>
      </c>
      <c r="O72" s="11"/>
      <c r="P72" s="6">
        <v>1667.33</v>
      </c>
      <c r="Q72" s="2"/>
      <c r="R72" s="7">
        <f t="shared" si="40"/>
        <v>2.8644319814870964E-2</v>
      </c>
      <c r="S72" s="2"/>
      <c r="T72" s="6">
        <v>3716</v>
      </c>
      <c r="U72" s="2"/>
      <c r="V72" s="7">
        <f t="shared" si="41"/>
        <v>4.3209302325581393E-2</v>
      </c>
      <c r="W72" s="2"/>
      <c r="X72" s="6">
        <f t="shared" si="42"/>
        <v>-2048.67</v>
      </c>
      <c r="Y72" s="2"/>
      <c r="Z72" s="7">
        <f t="shared" si="43"/>
        <v>-0.55131054897739507</v>
      </c>
    </row>
    <row r="73" spans="1:26" s="24" customFormat="1" hidden="1" outlineLevel="2" x14ac:dyDescent="0.25">
      <c r="A73" s="27"/>
      <c r="B73" s="11" t="str">
        <f>CONCATENATE("          ", "6241", " - ", "OFFICE EXPENSE")</f>
        <v xml:space="preserve">          6241 - OFFICE EXPENSE</v>
      </c>
      <c r="C73" s="11"/>
      <c r="D73" s="6"/>
      <c r="E73" s="2"/>
      <c r="F73" s="7">
        <f t="shared" si="36"/>
        <v>0</v>
      </c>
      <c r="G73" s="2"/>
      <c r="H73" s="6">
        <v>20</v>
      </c>
      <c r="I73" s="2"/>
      <c r="J73" s="7">
        <f t="shared" si="37"/>
        <v>4.1666666666666669E-4</v>
      </c>
      <c r="K73" s="2"/>
      <c r="L73" s="6">
        <f t="shared" si="38"/>
        <v>-20</v>
      </c>
      <c r="M73" s="2"/>
      <c r="N73" s="7">
        <f t="shared" si="39"/>
        <v>-1</v>
      </c>
      <c r="O73" s="11"/>
      <c r="P73" s="6">
        <v>1074.28</v>
      </c>
      <c r="Q73" s="2"/>
      <c r="R73" s="7">
        <f t="shared" si="40"/>
        <v>1.8455866499564922E-2</v>
      </c>
      <c r="S73" s="2"/>
      <c r="T73" s="6">
        <v>40</v>
      </c>
      <c r="U73" s="2"/>
      <c r="V73" s="7">
        <f t="shared" si="41"/>
        <v>4.6511627906976747E-4</v>
      </c>
      <c r="W73" s="2"/>
      <c r="X73" s="6">
        <f t="shared" si="42"/>
        <v>1034.28</v>
      </c>
      <c r="Y73" s="2"/>
      <c r="Z73" s="7">
        <f t="shared" si="43"/>
        <v>25.856999999999999</v>
      </c>
    </row>
    <row r="74" spans="1:26" s="24" customFormat="1" hidden="1" outlineLevel="2" x14ac:dyDescent="0.25">
      <c r="A74" s="27"/>
      <c r="B74" s="11" t="str">
        <f>CONCATENATE("          ", "6243", " - ", "PAPER SUPPLIES")</f>
        <v xml:space="preserve">          6243 - PAPER SUPPLIES</v>
      </c>
      <c r="C74" s="11"/>
      <c r="D74" s="6">
        <v>320.79000000000002</v>
      </c>
      <c r="E74" s="2"/>
      <c r="F74" s="7">
        <f t="shared" si="36"/>
        <v>7.9705913776781708E-3</v>
      </c>
      <c r="G74" s="2"/>
      <c r="H74" s="6">
        <v>200</v>
      </c>
      <c r="I74" s="2"/>
      <c r="J74" s="7">
        <f t="shared" si="37"/>
        <v>4.1666666666666666E-3</v>
      </c>
      <c r="K74" s="2"/>
      <c r="L74" s="6">
        <f t="shared" si="38"/>
        <v>120.79000000000002</v>
      </c>
      <c r="M74" s="2"/>
      <c r="N74" s="7">
        <f t="shared" si="39"/>
        <v>0.6039500000000001</v>
      </c>
      <c r="O74" s="11"/>
      <c r="P74" s="6">
        <v>886.49</v>
      </c>
      <c r="Q74" s="2"/>
      <c r="R74" s="7">
        <f t="shared" si="40"/>
        <v>1.522968043079952E-2</v>
      </c>
      <c r="S74" s="2"/>
      <c r="T74" s="6">
        <v>300</v>
      </c>
      <c r="U74" s="2"/>
      <c r="V74" s="7">
        <f t="shared" si="41"/>
        <v>3.4883720930232558E-3</v>
      </c>
      <c r="W74" s="2"/>
      <c r="X74" s="6">
        <f t="shared" si="42"/>
        <v>586.49</v>
      </c>
      <c r="Y74" s="2"/>
      <c r="Z74" s="7">
        <f t="shared" si="43"/>
        <v>1.9549666666666667</v>
      </c>
    </row>
    <row r="75" spans="1:26" s="24" customFormat="1" hidden="1" outlineLevel="2" x14ac:dyDescent="0.25">
      <c r="A75" s="27"/>
      <c r="B75" s="11" t="str">
        <f>CONCATENATE("          ", "6245", " - ", "PRINTING")</f>
        <v xml:space="preserve">          6245 - PRINTING</v>
      </c>
      <c r="C75" s="11"/>
      <c r="D75" s="6">
        <v>33.159999999999997</v>
      </c>
      <c r="E75" s="2"/>
      <c r="F75" s="7">
        <f t="shared" si="36"/>
        <v>8.2391848275759256E-4</v>
      </c>
      <c r="G75" s="2"/>
      <c r="H75" s="6"/>
      <c r="I75" s="2"/>
      <c r="J75" s="7">
        <f t="shared" si="37"/>
        <v>0</v>
      </c>
      <c r="K75" s="2"/>
      <c r="L75" s="6">
        <f t="shared" si="38"/>
        <v>33.159999999999997</v>
      </c>
      <c r="M75" s="2"/>
      <c r="N75" s="7">
        <f t="shared" si="39"/>
        <v>0</v>
      </c>
      <c r="O75" s="11"/>
      <c r="P75" s="6">
        <v>147.91</v>
      </c>
      <c r="Q75" s="2"/>
      <c r="R75" s="7">
        <f t="shared" si="40"/>
        <v>2.5410574654193018E-3</v>
      </c>
      <c r="S75" s="2"/>
      <c r="T75" s="6"/>
      <c r="U75" s="2"/>
      <c r="V75" s="7">
        <f t="shared" si="41"/>
        <v>0</v>
      </c>
      <c r="W75" s="2"/>
      <c r="X75" s="6">
        <f t="shared" si="42"/>
        <v>147.91</v>
      </c>
      <c r="Y75" s="2"/>
      <c r="Z75" s="7">
        <f t="shared" si="43"/>
        <v>0</v>
      </c>
    </row>
    <row r="76" spans="1:26" s="24" customFormat="1" hidden="1" outlineLevel="2" x14ac:dyDescent="0.25">
      <c r="A76" s="27"/>
      <c r="B76" s="11" t="str">
        <f>CONCATENATE("          ", "6247", " - ", "STORE SUPPLIES")</f>
        <v xml:space="preserve">          6247 - STORE SUPPLIES</v>
      </c>
      <c r="C76" s="11"/>
      <c r="D76" s="6">
        <v>689.18</v>
      </c>
      <c r="E76" s="2"/>
      <c r="F76" s="7">
        <f t="shared" si="36"/>
        <v>1.7123888418180869E-2</v>
      </c>
      <c r="G76" s="2"/>
      <c r="H76" s="6"/>
      <c r="I76" s="2"/>
      <c r="J76" s="7">
        <f t="shared" si="37"/>
        <v>0</v>
      </c>
      <c r="K76" s="2"/>
      <c r="L76" s="6">
        <f t="shared" si="38"/>
        <v>689.18</v>
      </c>
      <c r="M76" s="2"/>
      <c r="N76" s="7">
        <f t="shared" si="39"/>
        <v>0</v>
      </c>
      <c r="O76" s="11"/>
      <c r="P76" s="6">
        <v>689.18</v>
      </c>
      <c r="Q76" s="2"/>
      <c r="R76" s="7">
        <f t="shared" si="40"/>
        <v>1.1839943100653602E-2</v>
      </c>
      <c r="S76" s="2"/>
      <c r="T76" s="6"/>
      <c r="U76" s="2"/>
      <c r="V76" s="7">
        <f t="shared" si="41"/>
        <v>0</v>
      </c>
      <c r="W76" s="2"/>
      <c r="X76" s="6">
        <f t="shared" si="42"/>
        <v>689.18</v>
      </c>
      <c r="Y76" s="2"/>
      <c r="Z76" s="7">
        <f t="shared" si="43"/>
        <v>0</v>
      </c>
    </row>
    <row r="77" spans="1:26" s="24" customFormat="1" hidden="1" outlineLevel="2" x14ac:dyDescent="0.25">
      <c r="A77" s="27"/>
      <c r="B77" s="11" t="str">
        <f>CONCATENATE("          ", "6248", " - ", "UNIFORMS")</f>
        <v xml:space="preserve">          6248 - UNIFORMS</v>
      </c>
      <c r="C77" s="11"/>
      <c r="D77" s="6">
        <v>90.85</v>
      </c>
      <c r="E77" s="2"/>
      <c r="F77" s="7">
        <f t="shared" si="36"/>
        <v>2.2573279299917758E-3</v>
      </c>
      <c r="G77" s="2"/>
      <c r="H77" s="6"/>
      <c r="I77" s="2"/>
      <c r="J77" s="7">
        <f t="shared" si="37"/>
        <v>0</v>
      </c>
      <c r="K77" s="2"/>
      <c r="L77" s="6">
        <f t="shared" si="38"/>
        <v>90.85</v>
      </c>
      <c r="M77" s="2"/>
      <c r="N77" s="7">
        <f t="shared" si="39"/>
        <v>0</v>
      </c>
      <c r="O77" s="11"/>
      <c r="P77" s="6">
        <v>90.85</v>
      </c>
      <c r="Q77" s="2"/>
      <c r="R77" s="7">
        <f t="shared" si="40"/>
        <v>1.5607806823970222E-3</v>
      </c>
      <c r="S77" s="2"/>
      <c r="T77" s="6"/>
      <c r="U77" s="2"/>
      <c r="V77" s="7">
        <f t="shared" si="41"/>
        <v>0</v>
      </c>
      <c r="W77" s="2"/>
      <c r="X77" s="6">
        <f t="shared" si="42"/>
        <v>90.85</v>
      </c>
      <c r="Y77" s="2"/>
      <c r="Z77" s="7">
        <f t="shared" si="43"/>
        <v>0</v>
      </c>
    </row>
    <row r="78" spans="1:26" s="26" customFormat="1" outlineLevel="1" collapsed="1" x14ac:dyDescent="0.25">
      <c r="A78" s="25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SUM(OSRRefD22_14x_0)</f>
        <v>0</v>
      </c>
      <c r="E78" s="1"/>
      <c r="F78" s="5">
        <f t="shared" ref="F78:F81" si="44">IF(D$12=0,0,D78/D$12)</f>
        <v>0</v>
      </c>
      <c r="G78" s="1"/>
      <c r="H78" s="1">
        <f>SUM(OSRRefH22_14x_0)</f>
        <v>50</v>
      </c>
      <c r="I78" s="1"/>
      <c r="J78" s="5">
        <f t="shared" ref="J78:J81" si="45">IF(H$12=0,0,H78/H$12)</f>
        <v>1.0416666666666667E-3</v>
      </c>
      <c r="K78" s="1"/>
      <c r="L78" s="1">
        <f t="shared" ref="L78:L81" si="46">+D78-H78</f>
        <v>-50</v>
      </c>
      <c r="M78" s="1"/>
      <c r="N78" s="5">
        <f t="shared" ref="N78:N81" si="47">IF(H78=0,0,L78/H78)</f>
        <v>-1</v>
      </c>
      <c r="O78" s="13"/>
      <c r="P78" s="1">
        <f>SUM(OSRRefP22_14x_0)</f>
        <v>-95</v>
      </c>
      <c r="Q78" s="1"/>
      <c r="R78" s="5">
        <f t="shared" ref="R78:R81" si="48">IF(P$12=0,0,P78/P$12)</f>
        <v>-1.6320766629357966E-3</v>
      </c>
      <c r="S78" s="1"/>
      <c r="T78" s="1">
        <f>SUM(OSRRefT22_14x_0)</f>
        <v>100</v>
      </c>
      <c r="U78" s="1"/>
      <c r="V78" s="5">
        <f t="shared" ref="V78:V81" si="49">IF(T$12=0,0,T78/T$12)</f>
        <v>1.1627906976744186E-3</v>
      </c>
      <c r="W78" s="1"/>
      <c r="X78" s="1">
        <f t="shared" ref="X78:X81" si="50">+P78-T78</f>
        <v>-195</v>
      </c>
      <c r="Y78" s="1"/>
      <c r="Z78" s="5">
        <f t="shared" ref="Z78:Z81" si="51">IF(T78=0,0,X78/T78)</f>
        <v>-1.95</v>
      </c>
    </row>
    <row r="79" spans="1:26" s="24" customFormat="1" hidden="1" outlineLevel="2" x14ac:dyDescent="0.25">
      <c r="A79" s="27"/>
      <c r="B79" s="11" t="str">
        <f>CONCATENATE("          ", "6309", " - ", "TELEPHONE")</f>
        <v xml:space="preserve">          6309 - TELEPHONE</v>
      </c>
      <c r="C79" s="11"/>
      <c r="D79" s="6"/>
      <c r="E79" s="2"/>
      <c r="F79" s="7">
        <f t="shared" si="44"/>
        <v>0</v>
      </c>
      <c r="G79" s="2"/>
      <c r="H79" s="6">
        <v>50</v>
      </c>
      <c r="I79" s="2"/>
      <c r="J79" s="7">
        <f t="shared" si="45"/>
        <v>1.0416666666666667E-3</v>
      </c>
      <c r="K79" s="2"/>
      <c r="L79" s="6">
        <f t="shared" si="46"/>
        <v>-50</v>
      </c>
      <c r="M79" s="2"/>
      <c r="N79" s="7">
        <f t="shared" si="47"/>
        <v>-1</v>
      </c>
      <c r="O79" s="11"/>
      <c r="P79" s="6">
        <v>-95</v>
      </c>
      <c r="Q79" s="2"/>
      <c r="R79" s="7">
        <f t="shared" si="48"/>
        <v>-1.6320766629357966E-3</v>
      </c>
      <c r="S79" s="2"/>
      <c r="T79" s="6">
        <v>100</v>
      </c>
      <c r="U79" s="2"/>
      <c r="V79" s="7">
        <f t="shared" si="49"/>
        <v>1.1627906976744186E-3</v>
      </c>
      <c r="W79" s="2"/>
      <c r="X79" s="6">
        <f t="shared" si="50"/>
        <v>-195</v>
      </c>
      <c r="Y79" s="2"/>
      <c r="Z79" s="7">
        <f t="shared" si="51"/>
        <v>-1.95</v>
      </c>
    </row>
    <row r="80" spans="1:26" s="26" customFormat="1" outlineLevel="1" collapsed="1" x14ac:dyDescent="0.25">
      <c r="A80" s="25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SUM(OSRRefD22_15x_0)</f>
        <v>0</v>
      </c>
      <c r="E80" s="1"/>
      <c r="F80" s="5">
        <f t="shared" si="44"/>
        <v>0</v>
      </c>
      <c r="G80" s="1"/>
      <c r="H80" s="1">
        <f>SUM(OSRRefH22_15x_0)</f>
        <v>40</v>
      </c>
      <c r="I80" s="1"/>
      <c r="J80" s="5">
        <f t="shared" si="45"/>
        <v>8.3333333333333339E-4</v>
      </c>
      <c r="K80" s="1"/>
      <c r="L80" s="1">
        <f t="shared" si="46"/>
        <v>-40</v>
      </c>
      <c r="M80" s="1"/>
      <c r="N80" s="5">
        <f t="shared" si="47"/>
        <v>-1</v>
      </c>
      <c r="O80" s="13"/>
      <c r="P80" s="1">
        <f>SUM(OSRRefP22_15x_0)</f>
        <v>0</v>
      </c>
      <c r="Q80" s="1"/>
      <c r="R80" s="5">
        <f t="shared" si="48"/>
        <v>0</v>
      </c>
      <c r="S80" s="1"/>
      <c r="T80" s="1">
        <f>SUM(OSRRefT22_15x_0)</f>
        <v>80</v>
      </c>
      <c r="U80" s="1"/>
      <c r="V80" s="5">
        <f t="shared" si="49"/>
        <v>9.3023255813953494E-4</v>
      </c>
      <c r="W80" s="1"/>
      <c r="X80" s="1">
        <f t="shared" si="50"/>
        <v>-80</v>
      </c>
      <c r="Y80" s="1"/>
      <c r="Z80" s="5">
        <f t="shared" si="51"/>
        <v>-1</v>
      </c>
    </row>
    <row r="81" spans="1:26" s="24" customFormat="1" hidden="1" outlineLevel="2" x14ac:dyDescent="0.25">
      <c r="A81" s="27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44"/>
        <v>0</v>
      </c>
      <c r="G81" s="2"/>
      <c r="H81" s="6">
        <v>40</v>
      </c>
      <c r="I81" s="2"/>
      <c r="J81" s="7">
        <f t="shared" si="45"/>
        <v>8.3333333333333339E-4</v>
      </c>
      <c r="K81" s="2"/>
      <c r="L81" s="6">
        <f t="shared" si="46"/>
        <v>-40</v>
      </c>
      <c r="M81" s="2"/>
      <c r="N81" s="7">
        <f t="shared" si="47"/>
        <v>-1</v>
      </c>
      <c r="O81" s="11"/>
      <c r="P81" s="6"/>
      <c r="Q81" s="2"/>
      <c r="R81" s="7">
        <f t="shared" si="48"/>
        <v>0</v>
      </c>
      <c r="S81" s="2"/>
      <c r="T81" s="6">
        <v>80</v>
      </c>
      <c r="U81" s="2"/>
      <c r="V81" s="7">
        <f t="shared" si="49"/>
        <v>9.3023255813953494E-4</v>
      </c>
      <c r="W81" s="2"/>
      <c r="X81" s="6">
        <f t="shared" si="50"/>
        <v>-80</v>
      </c>
      <c r="Y81" s="2"/>
      <c r="Z81" s="7">
        <f t="shared" si="51"/>
        <v>-1</v>
      </c>
    </row>
    <row r="82" spans="1:26" s="63" customFormat="1" x14ac:dyDescent="0.25">
      <c r="A82" s="36"/>
      <c r="B82" s="36"/>
      <c r="C82" s="36"/>
      <c r="D82" s="1"/>
      <c r="E82" s="1"/>
      <c r="F82" s="5"/>
      <c r="G82" s="1"/>
      <c r="H82" s="1"/>
      <c r="I82" s="1"/>
      <c r="J82" s="5"/>
      <c r="K82" s="1"/>
      <c r="L82" s="1"/>
      <c r="M82" s="1"/>
      <c r="N82" s="5"/>
      <c r="O82" s="36"/>
      <c r="P82" s="1"/>
      <c r="Q82" s="1"/>
      <c r="R82" s="5"/>
      <c r="S82" s="1"/>
      <c r="T82" s="1"/>
      <c r="U82" s="1"/>
      <c r="V82" s="5"/>
      <c r="W82" s="1"/>
      <c r="X82" s="1"/>
      <c r="Y82" s="1"/>
      <c r="Z82" s="5"/>
    </row>
    <row r="83" spans="1:26" s="23" customFormat="1" x14ac:dyDescent="0.25">
      <c r="A83" s="10"/>
      <c r="B83" s="28" t="s">
        <v>0</v>
      </c>
      <c r="C83" s="10"/>
      <c r="D83" s="4">
        <f>SUM(0)</f>
        <v>0</v>
      </c>
      <c r="E83" s="4"/>
      <c r="F83" s="12">
        <f>IF(D$12=0,0,D83/D$12)</f>
        <v>0</v>
      </c>
      <c r="G83" s="4"/>
      <c r="H83" s="4">
        <f>SUM(0)</f>
        <v>0</v>
      </c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>
        <f>SUM(0)</f>
        <v>0</v>
      </c>
      <c r="Q83" s="4"/>
      <c r="R83" s="12">
        <f>IF(P$12=0,0,P83/P$12)</f>
        <v>0</v>
      </c>
      <c r="S83" s="4"/>
      <c r="T83" s="4">
        <f>SUM(0)</f>
        <v>0</v>
      </c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10"/>
      <c r="B85" s="29" t="s">
        <v>3</v>
      </c>
      <c r="C85" s="29"/>
      <c r="D85" s="22">
        <f>+D23-D25+D83</f>
        <v>-682.92000000000189</v>
      </c>
      <c r="E85" s="14"/>
      <c r="F85" s="20">
        <f>IF(D$12=0,0,D85/D$12)</f>
        <v>-1.6968347715464918E-2</v>
      </c>
      <c r="G85" s="14"/>
      <c r="H85" s="22">
        <f>+H23-H25+H83</f>
        <v>-3491.8534271999961</v>
      </c>
      <c r="I85" s="14"/>
      <c r="J85" s="20">
        <f>IF(H$12=0,0,H85/H$12)</f>
        <v>-7.2746946399999915E-2</v>
      </c>
      <c r="K85" s="15"/>
      <c r="L85" s="22">
        <f>+D85-H85</f>
        <v>2808.9334271999942</v>
      </c>
      <c r="M85" s="15"/>
      <c r="N85" s="20">
        <f>IF(H85=0,0,L85/H85)</f>
        <v>-0.80442478063931411</v>
      </c>
      <c r="O85" s="28"/>
      <c r="P85" s="22">
        <f>+P23-P25+P83</f>
        <v>-14353.419999999991</v>
      </c>
      <c r="Q85" s="14"/>
      <c r="R85" s="20">
        <f>IF(P$12=0,0,P85/P$12)</f>
        <v>-0.24658822963490429</v>
      </c>
      <c r="S85" s="14"/>
      <c r="T85" s="22">
        <f>+T23-T25+T83</f>
        <v>-7569.0295612000045</v>
      </c>
      <c r="U85" s="14"/>
      <c r="V85" s="20">
        <f>IF(T$12=0,0,T85/T$12)</f>
        <v>-8.8011971641860517E-2</v>
      </c>
      <c r="W85" s="15"/>
      <c r="X85" s="22">
        <f>+P85-T85</f>
        <v>-6784.3904387999864</v>
      </c>
      <c r="Y85" s="15"/>
      <c r="Z85" s="20">
        <f>IF(T85=0,0,X85/T85)</f>
        <v>0.89633557167986266</v>
      </c>
    </row>
    <row r="86" spans="1:26" x14ac:dyDescent="0.25">
      <c r="A86" s="9"/>
      <c r="B86" s="10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52"/>
      <c r="B87" s="10" t="s">
        <v>14</v>
      </c>
      <c r="C87" s="10"/>
      <c r="D87" s="4">
        <v>3522.79</v>
      </c>
      <c r="E87" s="4"/>
      <c r="F87" s="12">
        <f>IF(D$12=0,0,D87/D$12)</f>
        <v>8.7529909284487922E-2</v>
      </c>
      <c r="G87" s="4"/>
      <c r="H87" s="4">
        <v>4706</v>
      </c>
      <c r="I87" s="4"/>
      <c r="J87" s="12">
        <f>IF(H$12=0,0,H87/H$12)</f>
        <v>9.8041666666666666E-2</v>
      </c>
      <c r="K87" s="4"/>
      <c r="L87" s="4">
        <f>+D87-H87</f>
        <v>-1183.21</v>
      </c>
      <c r="M87" s="4"/>
      <c r="N87" s="12">
        <f>IF(H87=0,0,L87/H87)</f>
        <v>-0.25142583935401613</v>
      </c>
      <c r="O87" s="10"/>
      <c r="P87" s="4">
        <v>7257.48</v>
      </c>
      <c r="Q87" s="4"/>
      <c r="R87" s="12">
        <f>IF(P$12=0,0,P87/P$12)</f>
        <v>0.12468172357603458</v>
      </c>
      <c r="S87" s="4"/>
      <c r="T87" s="4">
        <v>13967</v>
      </c>
      <c r="U87" s="4"/>
      <c r="V87" s="12">
        <f>IF(T$12=0,0,T87/T$12)</f>
        <v>0.16240697674418605</v>
      </c>
      <c r="W87" s="4"/>
      <c r="X87" s="4">
        <f>+P87-T87</f>
        <v>-6709.52</v>
      </c>
      <c r="Y87" s="4"/>
      <c r="Z87" s="12">
        <f>IF(T87=0,0,X87/T87)</f>
        <v>-0.48038376172406388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ht="15.75" thickBot="1" x14ac:dyDescent="0.3">
      <c r="A89" s="10"/>
      <c r="B89" s="29" t="s">
        <v>4</v>
      </c>
      <c r="C89" s="29"/>
      <c r="D89" s="31">
        <f>+D85-D87</f>
        <v>-4205.7100000000019</v>
      </c>
      <c r="E89" s="14"/>
      <c r="F89" s="32">
        <f>IF(D$12=0,0,D89/D$12)</f>
        <v>-0.10449825699995284</v>
      </c>
      <c r="G89" s="14"/>
      <c r="H89" s="31">
        <f>+H85-H87</f>
        <v>-8197.8534271999961</v>
      </c>
      <c r="I89" s="14"/>
      <c r="J89" s="32">
        <f>IF(H$12=0,0,H89/H$12)</f>
        <v>-0.17078861306666659</v>
      </c>
      <c r="K89" s="15"/>
      <c r="L89" s="31">
        <f>D89-H89</f>
        <v>3992.1434271999942</v>
      </c>
      <c r="M89" s="15"/>
      <c r="N89" s="32">
        <f>IF(H89=0,0,L89/H89)</f>
        <v>-0.48697423815291657</v>
      </c>
      <c r="O89" s="28"/>
      <c r="P89" s="31">
        <f>+P85-P87</f>
        <v>-21610.899999999991</v>
      </c>
      <c r="Q89" s="14"/>
      <c r="R89" s="32">
        <f>IF(P$12=0,0,P89/P$12)</f>
        <v>-0.37126995321093886</v>
      </c>
      <c r="S89" s="14"/>
      <c r="T89" s="31">
        <f>+T85-T87</f>
        <v>-21536.029561200005</v>
      </c>
      <c r="U89" s="14"/>
      <c r="V89" s="32">
        <f>IF(T$12=0,0,T89/T$12)</f>
        <v>-0.25041894838604656</v>
      </c>
      <c r="W89" s="15"/>
      <c r="X89" s="31">
        <f>P89-T89</f>
        <v>-74.870438799986005</v>
      </c>
      <c r="Y89" s="15"/>
      <c r="Z89" s="32">
        <f>IF(T89=0,0,X89/T89)</f>
        <v>3.4765200608228627E-3</v>
      </c>
    </row>
    <row r="90" spans="1:26" ht="15.75" thickTop="1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9" t="s">
        <v>5</v>
      </c>
      <c r="C92" s="29"/>
      <c r="D92" s="33">
        <f>SUM(D89:D91)</f>
        <v>-4205.7100000000019</v>
      </c>
      <c r="E92" s="14"/>
      <c r="F92" s="35">
        <f>IF(D$12=0,0,D92/D$12)</f>
        <v>-0.10449825699995284</v>
      </c>
      <c r="G92" s="14"/>
      <c r="H92" s="33">
        <f>SUM(H89:H91)</f>
        <v>-8197.8534271999961</v>
      </c>
      <c r="I92" s="14"/>
      <c r="J92" s="35">
        <f>IF(H$12=0,0,H92/H$12)</f>
        <v>-0.17078861306666659</v>
      </c>
      <c r="K92" s="15"/>
      <c r="L92" s="33">
        <f>+D92-H92</f>
        <v>3992.1434271999942</v>
      </c>
      <c r="M92" s="15"/>
      <c r="N92" s="35">
        <f>IF(H92=0,0,L92/H92)</f>
        <v>-0.48697423815291657</v>
      </c>
      <c r="O92" s="28"/>
      <c r="P92" s="33">
        <f>SUM(P89:P91)</f>
        <v>-21610.899999999991</v>
      </c>
      <c r="Q92" s="14"/>
      <c r="R92" s="35">
        <f>IF(P$12=0,0,P92/P$12)</f>
        <v>-0.37126995321093886</v>
      </c>
      <c r="S92" s="14"/>
      <c r="T92" s="33">
        <f>SUM(T89:T91)</f>
        <v>-21536.029561200005</v>
      </c>
      <c r="U92" s="14"/>
      <c r="V92" s="35">
        <f>IF(T$12=0,0,T92/T$12)</f>
        <v>-0.25041894838604656</v>
      </c>
      <c r="W92" s="15"/>
      <c r="X92" s="33">
        <f>+P92-T92</f>
        <v>-74.870438799986005</v>
      </c>
      <c r="Y92" s="15"/>
      <c r="Z92" s="35">
        <f>IF(T92=0,0,X92/T92)</f>
        <v>3.4765200608228627E-3</v>
      </c>
    </row>
    <row r="93" spans="1:26" ht="15.75" thickTop="1" x14ac:dyDescent="0.25">
      <c r="A93" s="9"/>
      <c r="C93" s="9"/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61">
        <v>43732.706379282405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A95" s="9"/>
      <c r="B95" s="62" t="s">
        <v>314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58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4:24" x14ac:dyDescent="0.25"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","415", " - ", "Outpost")</f>
        <v>Department 415 - Outpost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42482.479999999996</v>
      </c>
      <c r="E12" s="4"/>
      <c r="F12" s="12"/>
      <c r="G12" s="4"/>
      <c r="H12" s="4">
        <f>SUM(OSRRefH13x_0)</f>
        <v>44000</v>
      </c>
      <c r="I12" s="4"/>
      <c r="J12" s="12"/>
      <c r="K12" s="4"/>
      <c r="L12" s="4">
        <f t="shared" ref="L12:L15" si="0">+D12-H12</f>
        <v>-1517.5200000000041</v>
      </c>
      <c r="M12" s="4"/>
      <c r="N12" s="12">
        <f t="shared" ref="N12:N15" si="1">IF(H12=0,0,L12/H12)</f>
        <v>-3.4489090909091004E-2</v>
      </c>
      <c r="O12" s="10"/>
      <c r="P12" s="4">
        <f>SUM(OSRRefP13x_0)</f>
        <v>67795.350000000006</v>
      </c>
      <c r="Q12" s="4"/>
      <c r="R12" s="12"/>
      <c r="S12" s="4"/>
      <c r="T12" s="4">
        <f>SUM(OSRRefT13x_0)</f>
        <v>68400</v>
      </c>
      <c r="U12" s="4"/>
      <c r="V12" s="12"/>
      <c r="W12" s="4"/>
      <c r="X12" s="4">
        <f t="shared" ref="X12:X15" si="2">+P12-T12</f>
        <v>-604.64999999999418</v>
      </c>
      <c r="Y12" s="4"/>
      <c r="Z12" s="12">
        <f t="shared" ref="Z12:Z15" si="3">IF(T12=0,0,X12/T12)</f>
        <v>-8.8399122807016686E-3</v>
      </c>
    </row>
    <row r="13" spans="1:26" s="24" customFormat="1" hidden="1" outlineLevel="1" x14ac:dyDescent="0.25">
      <c r="A13" s="46"/>
      <c r="B13" s="11" t="str">
        <f>CONCATENATE("          ", "4051", " - ", "TAXABLE SALES-FOOD")</f>
        <v xml:space="preserve">          4051 - TAXABLE SALES-FOOD</v>
      </c>
      <c r="C13" s="11"/>
      <c r="D13" s="2">
        <f>--16658.44</f>
        <v>16658.439999999999</v>
      </c>
      <c r="E13" s="2"/>
      <c r="F13" s="21"/>
      <c r="G13" s="2"/>
      <c r="H13" s="2"/>
      <c r="I13" s="2"/>
      <c r="J13" s="21"/>
      <c r="K13" s="2"/>
      <c r="L13" s="2">
        <f t="shared" si="0"/>
        <v>16658.439999999999</v>
      </c>
      <c r="M13" s="2"/>
      <c r="N13" s="21">
        <f t="shared" si="1"/>
        <v>0</v>
      </c>
      <c r="O13" s="11"/>
      <c r="P13" s="2">
        <f>--26429.84</f>
        <v>26429.84</v>
      </c>
      <c r="Q13" s="2"/>
      <c r="R13" s="21"/>
      <c r="S13" s="2"/>
      <c r="T13" s="2"/>
      <c r="U13" s="2"/>
      <c r="V13" s="21"/>
      <c r="W13" s="2"/>
      <c r="X13" s="2">
        <f t="shared" si="2"/>
        <v>26429.84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1"/>
      <c r="G14" s="2"/>
      <c r="H14" s="2">
        <v>44000</v>
      </c>
      <c r="I14" s="2"/>
      <c r="J14" s="21"/>
      <c r="K14" s="2"/>
      <c r="L14" s="2">
        <f t="shared" si="0"/>
        <v>-44000</v>
      </c>
      <c r="M14" s="2"/>
      <c r="N14" s="21">
        <f t="shared" si="1"/>
        <v>-1</v>
      </c>
      <c r="O14" s="11"/>
      <c r="P14" s="2">
        <f>0</f>
        <v>0</v>
      </c>
      <c r="Q14" s="2"/>
      <c r="R14" s="21"/>
      <c r="S14" s="2"/>
      <c r="T14" s="2">
        <v>68400</v>
      </c>
      <c r="U14" s="2"/>
      <c r="V14" s="21"/>
      <c r="W14" s="2"/>
      <c r="X14" s="2">
        <f t="shared" si="2"/>
        <v>-68400</v>
      </c>
      <c r="Y14" s="2"/>
      <c r="Z14" s="21">
        <f t="shared" si="3"/>
        <v>-1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--25824.04</f>
        <v>25824.04</v>
      </c>
      <c r="E15" s="2"/>
      <c r="F15" s="21"/>
      <c r="G15" s="2"/>
      <c r="H15" s="2"/>
      <c r="I15" s="2"/>
      <c r="J15" s="21"/>
      <c r="K15" s="2"/>
      <c r="L15" s="2">
        <f t="shared" si="0"/>
        <v>25824.04</v>
      </c>
      <c r="M15" s="2"/>
      <c r="N15" s="21">
        <f t="shared" si="1"/>
        <v>0</v>
      </c>
      <c r="O15" s="11"/>
      <c r="P15" s="2">
        <f>--41365.51</f>
        <v>41365.51</v>
      </c>
      <c r="Q15" s="2"/>
      <c r="R15" s="21"/>
      <c r="S15" s="2"/>
      <c r="T15" s="2"/>
      <c r="U15" s="2"/>
      <c r="V15" s="21"/>
      <c r="W15" s="2"/>
      <c r="X15" s="2">
        <f t="shared" si="2"/>
        <v>41365.51</v>
      </c>
      <c r="Y15" s="2"/>
      <c r="Z15" s="21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16562.36</v>
      </c>
      <c r="E17" s="4"/>
      <c r="F17" s="12">
        <f t="shared" ref="F17:F20" si="4">IF(D$12=0,0,D17/D$12)</f>
        <v>0.38986330364893956</v>
      </c>
      <c r="G17" s="4"/>
      <c r="H17" s="4">
        <f>SUM(OSRRefH16x_0)</f>
        <v>14000</v>
      </c>
      <c r="I17" s="4"/>
      <c r="J17" s="12">
        <f t="shared" ref="J17:J20" si="5">IF(H$12=0,0,H17/H$12)</f>
        <v>0.31818181818181818</v>
      </c>
      <c r="K17" s="4"/>
      <c r="L17" s="4">
        <f t="shared" ref="L17:L20" si="6">+D17-H17</f>
        <v>2562.3600000000006</v>
      </c>
      <c r="M17" s="4"/>
      <c r="N17" s="12">
        <f t="shared" ref="N17:N20" si="7">IF(H17=0,0,L17/H17)</f>
        <v>0.18302571428571432</v>
      </c>
      <c r="O17" s="10"/>
      <c r="P17" s="4">
        <f>SUM(OSRRefP16x_0)</f>
        <v>22642.28</v>
      </c>
      <c r="Q17" s="4"/>
      <c r="R17" s="12">
        <f t="shared" ref="R17:R20" si="8">IF(P$12=0,0,P17/P$12)</f>
        <v>0.33397983785023599</v>
      </c>
      <c r="S17" s="4"/>
      <c r="T17" s="4">
        <f>SUM(OSRRefT16x_0)</f>
        <v>22540</v>
      </c>
      <c r="U17" s="4"/>
      <c r="V17" s="12">
        <f t="shared" ref="V17:V20" si="9">IF(T$12=0,0,T17/T$12)</f>
        <v>0.32953216374269007</v>
      </c>
      <c r="W17" s="4"/>
      <c r="X17" s="4">
        <f t="shared" ref="X17:X20" si="10">+P17-T17</f>
        <v>102.27999999999884</v>
      </c>
      <c r="Y17" s="4"/>
      <c r="Z17" s="12">
        <f t="shared" ref="Z17:Z20" si="11">IF(T17=0,0,X17/T17)</f>
        <v>4.5377107364684491E-3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1">
        <f t="shared" si="4"/>
        <v>0</v>
      </c>
      <c r="G18" s="2"/>
      <c r="H18" s="2">
        <v>14000</v>
      </c>
      <c r="I18" s="2"/>
      <c r="J18" s="21">
        <f t="shared" si="5"/>
        <v>0.31818181818181818</v>
      </c>
      <c r="K18" s="2"/>
      <c r="L18" s="2">
        <f t="shared" si="6"/>
        <v>-14000</v>
      </c>
      <c r="M18" s="2"/>
      <c r="N18" s="21">
        <f t="shared" si="7"/>
        <v>-1</v>
      </c>
      <c r="O18" s="11"/>
      <c r="P18" s="2"/>
      <c r="Q18" s="2"/>
      <c r="R18" s="21">
        <f t="shared" si="8"/>
        <v>0</v>
      </c>
      <c r="S18" s="2"/>
      <c r="T18" s="2">
        <v>22540</v>
      </c>
      <c r="U18" s="2"/>
      <c r="V18" s="21">
        <f t="shared" si="9"/>
        <v>0.32953216374269007</v>
      </c>
      <c r="W18" s="2"/>
      <c r="X18" s="2">
        <f t="shared" si="10"/>
        <v>-22540</v>
      </c>
      <c r="Y18" s="2"/>
      <c r="Z18" s="21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16164.36</v>
      </c>
      <c r="E19" s="2"/>
      <c r="F19" s="21">
        <f t="shared" si="4"/>
        <v>0.38049473571222775</v>
      </c>
      <c r="G19" s="2"/>
      <c r="H19" s="2"/>
      <c r="I19" s="2"/>
      <c r="J19" s="21">
        <f t="shared" si="5"/>
        <v>0</v>
      </c>
      <c r="K19" s="2"/>
      <c r="L19" s="2">
        <f t="shared" si="6"/>
        <v>16164.36</v>
      </c>
      <c r="M19" s="2"/>
      <c r="N19" s="21">
        <f t="shared" si="7"/>
        <v>0</v>
      </c>
      <c r="O19" s="11"/>
      <c r="P19" s="2">
        <v>24224.28</v>
      </c>
      <c r="Q19" s="2"/>
      <c r="R19" s="21">
        <f t="shared" si="8"/>
        <v>0.35731477158831687</v>
      </c>
      <c r="S19" s="2"/>
      <c r="T19" s="2"/>
      <c r="U19" s="2"/>
      <c r="V19" s="21">
        <f t="shared" si="9"/>
        <v>0</v>
      </c>
      <c r="W19" s="2"/>
      <c r="X19" s="2">
        <f t="shared" si="10"/>
        <v>24224.28</v>
      </c>
      <c r="Y19" s="2"/>
      <c r="Z19" s="21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398</v>
      </c>
      <c r="E20" s="2"/>
      <c r="F20" s="21">
        <f t="shared" si="4"/>
        <v>9.3685679367117945E-3</v>
      </c>
      <c r="G20" s="2"/>
      <c r="H20" s="2"/>
      <c r="I20" s="2"/>
      <c r="J20" s="21">
        <f t="shared" si="5"/>
        <v>0</v>
      </c>
      <c r="K20" s="2"/>
      <c r="L20" s="2">
        <f t="shared" si="6"/>
        <v>398</v>
      </c>
      <c r="M20" s="2"/>
      <c r="N20" s="21">
        <f t="shared" si="7"/>
        <v>0</v>
      </c>
      <c r="O20" s="11"/>
      <c r="P20" s="2">
        <v>-1582</v>
      </c>
      <c r="Q20" s="2"/>
      <c r="R20" s="21">
        <f t="shared" si="8"/>
        <v>-2.3334933738080856E-2</v>
      </c>
      <c r="S20" s="2"/>
      <c r="T20" s="2"/>
      <c r="U20" s="2"/>
      <c r="V20" s="21">
        <f t="shared" si="9"/>
        <v>0</v>
      </c>
      <c r="W20" s="2"/>
      <c r="X20" s="2">
        <f t="shared" si="10"/>
        <v>-1582</v>
      </c>
      <c r="Y20" s="2"/>
      <c r="Z20" s="21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25920.119999999995</v>
      </c>
      <c r="E22" s="14"/>
      <c r="F22" s="20">
        <f>IF(D$12=0,0,D22/D$12)</f>
        <v>0.61013669635106038</v>
      </c>
      <c r="G22" s="14"/>
      <c r="H22" s="22">
        <f>H12-H17</f>
        <v>30000</v>
      </c>
      <c r="I22" s="14"/>
      <c r="J22" s="20">
        <f>IF(H$12=0,0,H22/H$12)</f>
        <v>0.68181818181818177</v>
      </c>
      <c r="K22" s="15"/>
      <c r="L22" s="22">
        <f>+D22-H22</f>
        <v>-4079.8800000000047</v>
      </c>
      <c r="M22" s="15"/>
      <c r="N22" s="20">
        <f>IF(H22=0,0,L22/H22)</f>
        <v>-0.13599600000000014</v>
      </c>
      <c r="O22" s="28"/>
      <c r="P22" s="22">
        <f>P12-P17</f>
        <v>45153.070000000007</v>
      </c>
      <c r="Q22" s="14"/>
      <c r="R22" s="20">
        <f>IF(P$12=0,0,P22/P$12)</f>
        <v>0.66602016214976401</v>
      </c>
      <c r="S22" s="14"/>
      <c r="T22" s="22">
        <f>T12-T17</f>
        <v>45860</v>
      </c>
      <c r="U22" s="14"/>
      <c r="V22" s="20">
        <f>IF(T$12=0,0,T22/T$12)</f>
        <v>0.67046783625730999</v>
      </c>
      <c r="W22" s="15"/>
      <c r="X22" s="22">
        <f>+P22-T22</f>
        <v>-706.92999999999302</v>
      </c>
      <c r="Y22" s="15"/>
      <c r="Z22" s="20">
        <f>IF(T22=0,0,X22/T22)</f>
        <v>-1.5414958569559377E-2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19">
        <f>SUM(OSRRefD22x_0)</f>
        <v>63396.839999999982</v>
      </c>
      <c r="E24" s="19"/>
      <c r="F24" s="34">
        <f t="shared" ref="F24:F34" si="12">IF(D$12=0,0,D24/D$12)</f>
        <v>1.4923055339518783</v>
      </c>
      <c r="G24" s="19"/>
      <c r="H24" s="19">
        <f>SUM(OSRRefH22x_0)</f>
        <v>60835.224006923076</v>
      </c>
      <c r="I24" s="19"/>
      <c r="J24" s="34">
        <f t="shared" ref="J24:J34" si="13">IF(H$12=0,0,H24/H$12)</f>
        <v>1.3826187274300699</v>
      </c>
      <c r="K24" s="4"/>
      <c r="L24" s="19">
        <f t="shared" ref="L24:L34" si="14">+D24-H24</f>
        <v>2561.6159930769063</v>
      </c>
      <c r="M24" s="4"/>
      <c r="N24" s="34">
        <f t="shared" ref="N24:N34" si="15">IF(H24=0,0,L24/H24)</f>
        <v>4.2107447369395617E-2</v>
      </c>
      <c r="O24" s="10"/>
      <c r="P24" s="19">
        <f>SUM(OSRRefP22x_0)</f>
        <v>126012.34999999996</v>
      </c>
      <c r="Q24" s="19"/>
      <c r="R24" s="34">
        <f t="shared" ref="R24:R34" si="16">IF(P$12=0,0,P24/P$12)</f>
        <v>1.8587167113968723</v>
      </c>
      <c r="S24" s="19"/>
      <c r="T24" s="19">
        <f>SUM(OSRRefT22x_0)</f>
        <v>121813.09890307694</v>
      </c>
      <c r="U24" s="19"/>
      <c r="V24" s="34">
        <f t="shared" ref="V24:V34" si="17">IF(T$12=0,0,T24/T$12)</f>
        <v>1.7808932588169144</v>
      </c>
      <c r="W24" s="4"/>
      <c r="X24" s="19">
        <f t="shared" ref="X24:X34" si="18">+P24-T24</f>
        <v>4199.2510969230207</v>
      </c>
      <c r="Y24" s="4"/>
      <c r="Z24" s="34">
        <f t="shared" ref="Z24:Z34" si="19">IF(T24=0,0,X24/T24)</f>
        <v>3.4472902624899479E-2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7555.3799999999992</v>
      </c>
      <c r="E25" s="1"/>
      <c r="F25" s="5">
        <f t="shared" si="12"/>
        <v>0.17784696185345111</v>
      </c>
      <c r="G25" s="1"/>
      <c r="H25" s="1">
        <f>SUM(OSRRefH22_0x_0)</f>
        <v>7467.6009300000005</v>
      </c>
      <c r="I25" s="1"/>
      <c r="J25" s="5">
        <f t="shared" si="13"/>
        <v>0.16971820295454546</v>
      </c>
      <c r="K25" s="1"/>
      <c r="L25" s="1">
        <f t="shared" si="14"/>
        <v>87.779069999998683</v>
      </c>
      <c r="M25" s="1"/>
      <c r="N25" s="5">
        <f t="shared" si="15"/>
        <v>1.1754654650512862E-2</v>
      </c>
      <c r="O25" s="13"/>
      <c r="P25" s="1">
        <f>SUM(OSRRefP22_0x_0)</f>
        <v>18703.759999999998</v>
      </c>
      <c r="Q25" s="1"/>
      <c r="R25" s="5">
        <f t="shared" si="16"/>
        <v>0.27588558802336732</v>
      </c>
      <c r="S25" s="1"/>
      <c r="T25" s="1">
        <f>SUM(OSRRefT22_0x_0)</f>
        <v>14927.646980000003</v>
      </c>
      <c r="U25" s="1"/>
      <c r="V25" s="5">
        <f t="shared" si="17"/>
        <v>0.21824045292397665</v>
      </c>
      <c r="W25" s="1"/>
      <c r="X25" s="1">
        <f t="shared" si="18"/>
        <v>3776.1130199999952</v>
      </c>
      <c r="Y25" s="1"/>
      <c r="Z25" s="5">
        <f t="shared" si="19"/>
        <v>0.25296103431835004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1398.6</v>
      </c>
      <c r="E26" s="2"/>
      <c r="F26" s="7">
        <f t="shared" si="12"/>
        <v>3.2921806824836967E-2</v>
      </c>
      <c r="G26" s="2"/>
      <c r="H26" s="6">
        <v>1278.71622230769</v>
      </c>
      <c r="I26" s="2"/>
      <c r="J26" s="7">
        <f t="shared" si="13"/>
        <v>2.9061732325174772E-2</v>
      </c>
      <c r="K26" s="2"/>
      <c r="L26" s="6">
        <f t="shared" si="14"/>
        <v>119.88377769230988</v>
      </c>
      <c r="M26" s="2"/>
      <c r="N26" s="7">
        <f t="shared" si="15"/>
        <v>9.3753231249351379E-2</v>
      </c>
      <c r="O26" s="11"/>
      <c r="P26" s="6">
        <v>2507.98</v>
      </c>
      <c r="Q26" s="2"/>
      <c r="R26" s="7">
        <f t="shared" si="16"/>
        <v>3.6993392614685219E-2</v>
      </c>
      <c r="S26" s="2"/>
      <c r="T26" s="6">
        <v>2167.9653876923048</v>
      </c>
      <c r="U26" s="2"/>
      <c r="V26" s="7">
        <f t="shared" si="17"/>
        <v>3.1695400404858257E-2</v>
      </c>
      <c r="W26" s="2"/>
      <c r="X26" s="6">
        <f t="shared" si="18"/>
        <v>340.01461230769519</v>
      </c>
      <c r="Y26" s="2"/>
      <c r="Z26" s="7">
        <f t="shared" si="19"/>
        <v>0.1568358121573262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745.58</v>
      </c>
      <c r="E27" s="2"/>
      <c r="F27" s="7">
        <f t="shared" si="12"/>
        <v>1.7550293674003969E-2</v>
      </c>
      <c r="G27" s="2"/>
      <c r="H27" s="6">
        <v>875.85926153846094</v>
      </c>
      <c r="I27" s="2"/>
      <c r="J27" s="7">
        <f t="shared" si="13"/>
        <v>1.9905892307692293E-2</v>
      </c>
      <c r="K27" s="2"/>
      <c r="L27" s="6">
        <f t="shared" si="14"/>
        <v>-130.2792615384609</v>
      </c>
      <c r="M27" s="2"/>
      <c r="N27" s="7">
        <f t="shared" si="15"/>
        <v>-0.1487445155396579</v>
      </c>
      <c r="O27" s="11"/>
      <c r="P27" s="6">
        <v>1309.8800000000001</v>
      </c>
      <c r="Q27" s="2"/>
      <c r="R27" s="7">
        <f t="shared" si="16"/>
        <v>1.9321089130744217E-2</v>
      </c>
      <c r="S27" s="2"/>
      <c r="T27" s="6">
        <v>1565.805338461538</v>
      </c>
      <c r="U27" s="2"/>
      <c r="V27" s="7">
        <f t="shared" si="17"/>
        <v>2.289189091318038E-2</v>
      </c>
      <c r="W27" s="2"/>
      <c r="X27" s="6">
        <f t="shared" si="18"/>
        <v>-255.92533846153788</v>
      </c>
      <c r="Y27" s="2"/>
      <c r="Z27" s="7">
        <f t="shared" si="19"/>
        <v>-0.16344645925974044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3090.11</v>
      </c>
      <c r="E28" s="2"/>
      <c r="F28" s="7">
        <f t="shared" si="12"/>
        <v>7.2738455947016292E-2</v>
      </c>
      <c r="G28" s="2"/>
      <c r="H28" s="6">
        <v>3205.9230769230799</v>
      </c>
      <c r="I28" s="2"/>
      <c r="J28" s="7">
        <f t="shared" si="13"/>
        <v>7.2861888111888179E-2</v>
      </c>
      <c r="K28" s="2"/>
      <c r="L28" s="6">
        <f t="shared" si="14"/>
        <v>-115.81307692307973</v>
      </c>
      <c r="M28" s="2"/>
      <c r="N28" s="7">
        <f t="shared" si="15"/>
        <v>-3.6124721069175691E-2</v>
      </c>
      <c r="O28" s="11"/>
      <c r="P28" s="6">
        <v>6180.22</v>
      </c>
      <c r="Q28" s="2"/>
      <c r="R28" s="7">
        <f t="shared" si="16"/>
        <v>9.1159939435374246E-2</v>
      </c>
      <c r="S28" s="2"/>
      <c r="T28" s="6">
        <v>6868.0769230769301</v>
      </c>
      <c r="U28" s="2"/>
      <c r="V28" s="7">
        <f t="shared" si="17"/>
        <v>0.10041048133153406</v>
      </c>
      <c r="W28" s="2"/>
      <c r="X28" s="6">
        <f t="shared" si="18"/>
        <v>-687.85692307692989</v>
      </c>
      <c r="Y28" s="2"/>
      <c r="Z28" s="7">
        <f t="shared" si="19"/>
        <v>-0.10015276922215467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49.96</v>
      </c>
      <c r="E29" s="2"/>
      <c r="F29" s="7">
        <f t="shared" si="12"/>
        <v>1.1760142063269377E-3</v>
      </c>
      <c r="G29" s="2"/>
      <c r="H29" s="6">
        <v>58.691600000000001</v>
      </c>
      <c r="I29" s="2"/>
      <c r="J29" s="7">
        <f t="shared" si="13"/>
        <v>1.3339000000000001E-3</v>
      </c>
      <c r="K29" s="2"/>
      <c r="L29" s="6">
        <f t="shared" si="14"/>
        <v>-8.7316000000000003</v>
      </c>
      <c r="M29" s="2"/>
      <c r="N29" s="7">
        <f t="shared" si="15"/>
        <v>-0.14877086329219172</v>
      </c>
      <c r="O29" s="11"/>
      <c r="P29" s="6">
        <v>87.77</v>
      </c>
      <c r="Q29" s="2"/>
      <c r="R29" s="7">
        <f t="shared" si="16"/>
        <v>1.2946315639641951E-3</v>
      </c>
      <c r="S29" s="2"/>
      <c r="T29" s="6">
        <v>104.9251</v>
      </c>
      <c r="U29" s="2"/>
      <c r="V29" s="7">
        <f t="shared" si="17"/>
        <v>1.5339926900584796E-3</v>
      </c>
      <c r="W29" s="2"/>
      <c r="X29" s="6">
        <f t="shared" si="18"/>
        <v>-17.155100000000004</v>
      </c>
      <c r="Y29" s="2"/>
      <c r="Z29" s="7">
        <f t="shared" si="19"/>
        <v>-0.16349853371595552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581.80999999999995</v>
      </c>
      <c r="E30" s="2"/>
      <c r="F30" s="7">
        <f t="shared" si="12"/>
        <v>1.3695292741854995E-2</v>
      </c>
      <c r="G30" s="2"/>
      <c r="H30" s="6">
        <v>463.34153846153902</v>
      </c>
      <c r="I30" s="2"/>
      <c r="J30" s="7">
        <f t="shared" si="13"/>
        <v>1.0530489510489523E-2</v>
      </c>
      <c r="K30" s="2"/>
      <c r="L30" s="6">
        <f t="shared" si="14"/>
        <v>118.46846153846093</v>
      </c>
      <c r="M30" s="2"/>
      <c r="N30" s="7">
        <f t="shared" si="15"/>
        <v>0.25568279919779896</v>
      </c>
      <c r="O30" s="11"/>
      <c r="P30" s="6">
        <v>1163.6199999999999</v>
      </c>
      <c r="Q30" s="2"/>
      <c r="R30" s="7">
        <f t="shared" si="16"/>
        <v>1.716371403053454E-2</v>
      </c>
      <c r="S30" s="2"/>
      <c r="T30" s="6">
        <v>1042.5184615384621</v>
      </c>
      <c r="U30" s="2"/>
      <c r="V30" s="7">
        <f t="shared" si="17"/>
        <v>1.524149797570851E-2</v>
      </c>
      <c r="W30" s="2"/>
      <c r="X30" s="6">
        <f t="shared" si="18"/>
        <v>121.10153846153776</v>
      </c>
      <c r="Y30" s="2"/>
      <c r="Z30" s="7">
        <f t="shared" si="19"/>
        <v>0.116162488175822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>
        <v>864.41</v>
      </c>
      <c r="E32" s="2"/>
      <c r="F32" s="7">
        <f t="shared" si="12"/>
        <v>2.0347446759228748E-2</v>
      </c>
      <c r="G32" s="2"/>
      <c r="H32" s="6">
        <v>434.18461538461503</v>
      </c>
      <c r="I32" s="2"/>
      <c r="J32" s="7">
        <f t="shared" si="13"/>
        <v>9.8678321678321596E-3</v>
      </c>
      <c r="K32" s="2"/>
      <c r="L32" s="6">
        <f t="shared" si="14"/>
        <v>430.22538461538494</v>
      </c>
      <c r="M32" s="2"/>
      <c r="N32" s="7">
        <f t="shared" si="15"/>
        <v>0.99088122741124107</v>
      </c>
      <c r="O32" s="11"/>
      <c r="P32" s="6">
        <v>2603.8000000000002</v>
      </c>
      <c r="Q32" s="2"/>
      <c r="R32" s="7">
        <f t="shared" si="16"/>
        <v>3.8406763885723727E-2</v>
      </c>
      <c r="S32" s="2"/>
      <c r="T32" s="6">
        <v>976.91538461538391</v>
      </c>
      <c r="U32" s="2"/>
      <c r="V32" s="7">
        <f t="shared" si="17"/>
        <v>1.4282388663967601E-2</v>
      </c>
      <c r="W32" s="2"/>
      <c r="X32" s="6">
        <f t="shared" si="18"/>
        <v>1626.8846153846162</v>
      </c>
      <c r="Y32" s="2"/>
      <c r="Z32" s="7">
        <f t="shared" si="19"/>
        <v>1.6653280734493991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>
        <v>471.2</v>
      </c>
      <c r="E33" s="2"/>
      <c r="F33" s="7">
        <f t="shared" si="12"/>
        <v>1.109163118537336E-2</v>
      </c>
      <c r="G33" s="2"/>
      <c r="H33" s="6">
        <v>850.88461538461502</v>
      </c>
      <c r="I33" s="2"/>
      <c r="J33" s="7">
        <f t="shared" si="13"/>
        <v>1.9338286713286704E-2</v>
      </c>
      <c r="K33" s="2"/>
      <c r="L33" s="6">
        <f t="shared" si="14"/>
        <v>-379.68461538461503</v>
      </c>
      <c r="M33" s="2"/>
      <c r="N33" s="7">
        <f t="shared" si="15"/>
        <v>-0.44622338742485174</v>
      </c>
      <c r="O33" s="11"/>
      <c r="P33" s="6">
        <v>4228.7299999999996</v>
      </c>
      <c r="Q33" s="2"/>
      <c r="R33" s="7">
        <f t="shared" si="16"/>
        <v>6.2374926893953631E-2</v>
      </c>
      <c r="S33" s="2"/>
      <c r="T33" s="6">
        <v>1601.4403846153841</v>
      </c>
      <c r="U33" s="2"/>
      <c r="V33" s="7">
        <f t="shared" si="17"/>
        <v>2.3412871120107957E-2</v>
      </c>
      <c r="W33" s="2"/>
      <c r="X33" s="6">
        <f t="shared" si="18"/>
        <v>2627.2896153846154</v>
      </c>
      <c r="Y33" s="2"/>
      <c r="Z33" s="7">
        <f t="shared" si="19"/>
        <v>1.6405790940607559</v>
      </c>
    </row>
    <row r="34" spans="1:26" s="24" customFormat="1" hidden="1" outlineLevel="2" x14ac:dyDescent="0.25">
      <c r="A34" s="27"/>
      <c r="B34" s="11" t="str">
        <f>CONCATENATE("          ", "6156", " - ", "EMPLOYEE MEALS")</f>
        <v xml:space="preserve">          6156 - EMPLOYEE MEALS</v>
      </c>
      <c r="C34" s="11"/>
      <c r="D34" s="6">
        <v>353.71</v>
      </c>
      <c r="E34" s="2"/>
      <c r="F34" s="7">
        <f t="shared" si="12"/>
        <v>8.32602051480987E-3</v>
      </c>
      <c r="G34" s="2"/>
      <c r="H34" s="6">
        <v>300</v>
      </c>
      <c r="I34" s="2"/>
      <c r="J34" s="7">
        <f t="shared" si="13"/>
        <v>6.8181818181818179E-3</v>
      </c>
      <c r="K34" s="2"/>
      <c r="L34" s="6">
        <f t="shared" si="14"/>
        <v>53.70999999999998</v>
      </c>
      <c r="M34" s="2"/>
      <c r="N34" s="7">
        <f t="shared" si="15"/>
        <v>0.17903333333333327</v>
      </c>
      <c r="O34" s="11"/>
      <c r="P34" s="6">
        <v>621.76</v>
      </c>
      <c r="Q34" s="2"/>
      <c r="R34" s="7">
        <f t="shared" si="16"/>
        <v>9.17113046838758E-3</v>
      </c>
      <c r="S34" s="2"/>
      <c r="T34" s="6">
        <v>600</v>
      </c>
      <c r="U34" s="2"/>
      <c r="V34" s="7">
        <f t="shared" si="17"/>
        <v>8.771929824561403E-3</v>
      </c>
      <c r="W34" s="2"/>
      <c r="X34" s="6">
        <f t="shared" si="18"/>
        <v>21.759999999999991</v>
      </c>
      <c r="Y34" s="2"/>
      <c r="Z34" s="7">
        <f t="shared" si="19"/>
        <v>3.6266666666666648E-2</v>
      </c>
    </row>
    <row r="35" spans="1:26" s="26" customFormat="1" outlineLevel="1" collapsed="1" x14ac:dyDescent="0.25">
      <c r="A35" s="25"/>
      <c r="B35" s="13" t="str">
        <f>CONCATENATE("     ","*Payroll                                          ")</f>
        <v xml:space="preserve">     *Payroll                                          </v>
      </c>
      <c r="C35" s="13"/>
      <c r="D35" s="1">
        <f>SUM(OSRRefD22_1x_0)</f>
        <v>21079.68</v>
      </c>
      <c r="E35" s="1"/>
      <c r="F35" s="5">
        <f t="shared" ref="F35:F45" si="20">IF(D$12=0,0,D35/D$12)</f>
        <v>0.4961970205129268</v>
      </c>
      <c r="G35" s="1"/>
      <c r="H35" s="1">
        <f>SUM(OSRRefH22_1x_0)</f>
        <v>21288.623076923079</v>
      </c>
      <c r="I35" s="1"/>
      <c r="J35" s="5">
        <f t="shared" ref="J35:J45" si="21">IF(H$12=0,0,H35/H$12)</f>
        <v>0.48383234265734271</v>
      </c>
      <c r="K35" s="1"/>
      <c r="L35" s="1">
        <f t="shared" ref="L35:L45" si="22">+D35-H35</f>
        <v>-208.94307692307848</v>
      </c>
      <c r="M35" s="1"/>
      <c r="N35" s="5">
        <f t="shared" ref="N35:N45" si="23">IF(H35=0,0,L35/H35)</f>
        <v>-9.8147764732409264E-3</v>
      </c>
      <c r="O35" s="13"/>
      <c r="P35" s="1">
        <f>SUM(OSRRefP22_1x_0)</f>
        <v>38565.160000000003</v>
      </c>
      <c r="Q35" s="1"/>
      <c r="R35" s="5">
        <f t="shared" ref="R35:R45" si="24">IF(P$12=0,0,P35/P$12)</f>
        <v>0.56884668343772837</v>
      </c>
      <c r="S35" s="1"/>
      <c r="T35" s="1">
        <f>SUM(OSRRefT22_1x_0)</f>
        <v>37777.451923076937</v>
      </c>
      <c r="U35" s="1"/>
      <c r="V35" s="5">
        <f t="shared" ref="V35:V45" si="25">IF(T$12=0,0,T35/T$12)</f>
        <v>0.5523019286999552</v>
      </c>
      <c r="W35" s="1"/>
      <c r="X35" s="1">
        <f t="shared" ref="X35:X45" si="26">+P35-T35</f>
        <v>787.70807692306698</v>
      </c>
      <c r="Y35" s="1"/>
      <c r="Z35" s="5">
        <f t="shared" ref="Z35:Z45" si="27">IF(T35=0,0,X35/T35)</f>
        <v>2.0851276007895159E-2</v>
      </c>
    </row>
    <row r="36" spans="1:26" s="24" customFormat="1" hidden="1" outlineLevel="2" x14ac:dyDescent="0.25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"6002", " - ", "STAFF SALARIES")</f>
        <v xml:space="preserve">          6002 - STAFF SALARIES</v>
      </c>
      <c r="C37" s="11"/>
      <c r="D37" s="6">
        <v>4981.0600000000004</v>
      </c>
      <c r="E37" s="2"/>
      <c r="F37" s="7">
        <f t="shared" si="20"/>
        <v>0.1172497462483358</v>
      </c>
      <c r="G37" s="2"/>
      <c r="H37" s="6">
        <v>4848.9230769230799</v>
      </c>
      <c r="I37" s="2"/>
      <c r="J37" s="7">
        <f t="shared" si="21"/>
        <v>0.11020279720279727</v>
      </c>
      <c r="K37" s="2"/>
      <c r="L37" s="6">
        <f t="shared" si="22"/>
        <v>132.13692307692054</v>
      </c>
      <c r="M37" s="2"/>
      <c r="N37" s="7">
        <f t="shared" si="23"/>
        <v>2.7250777333586617E-2</v>
      </c>
      <c r="O37" s="11"/>
      <c r="P37" s="6">
        <v>10673.27</v>
      </c>
      <c r="Q37" s="2"/>
      <c r="R37" s="7">
        <f t="shared" si="24"/>
        <v>0.1574336587981329</v>
      </c>
      <c r="S37" s="2"/>
      <c r="T37" s="6">
        <v>10910.076923076929</v>
      </c>
      <c r="U37" s="2"/>
      <c r="V37" s="7">
        <f t="shared" si="25"/>
        <v>0.15950404858299605</v>
      </c>
      <c r="W37" s="2"/>
      <c r="X37" s="6">
        <f t="shared" si="26"/>
        <v>-236.8069230769288</v>
      </c>
      <c r="Y37" s="2"/>
      <c r="Z37" s="7">
        <f t="shared" si="27"/>
        <v>-2.1705339453293514E-2</v>
      </c>
    </row>
    <row r="38" spans="1:26" s="24" customFormat="1" hidden="1" outlineLevel="2" x14ac:dyDescent="0.25">
      <c r="A38" s="27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"6004", " - ", "STAFF HOURLY")</f>
        <v xml:space="preserve">          6004 - STAFF HOURLY</v>
      </c>
      <c r="C39" s="11"/>
      <c r="D39" s="6">
        <v>2938.97</v>
      </c>
      <c r="E39" s="2"/>
      <c r="F39" s="7">
        <f t="shared" si="20"/>
        <v>6.9180754042607678E-2</v>
      </c>
      <c r="G39" s="2"/>
      <c r="H39" s="6">
        <v>2966.4</v>
      </c>
      <c r="I39" s="2"/>
      <c r="J39" s="7">
        <f t="shared" si="21"/>
        <v>6.7418181818181822E-2</v>
      </c>
      <c r="K39" s="2"/>
      <c r="L39" s="6">
        <f t="shared" si="22"/>
        <v>-27.430000000000291</v>
      </c>
      <c r="M39" s="2"/>
      <c r="N39" s="7">
        <f t="shared" si="23"/>
        <v>-9.2468985976268507E-3</v>
      </c>
      <c r="O39" s="11"/>
      <c r="P39" s="6">
        <v>6188.29</v>
      </c>
      <c r="Q39" s="2"/>
      <c r="R39" s="7">
        <f t="shared" si="24"/>
        <v>9.1278974147931971E-2</v>
      </c>
      <c r="S39" s="2"/>
      <c r="T39" s="6">
        <v>6674.4</v>
      </c>
      <c r="U39" s="2"/>
      <c r="V39" s="7">
        <f t="shared" si="25"/>
        <v>9.7578947368421043E-2</v>
      </c>
      <c r="W39" s="2"/>
      <c r="X39" s="6">
        <f t="shared" si="26"/>
        <v>-486.10999999999967</v>
      </c>
      <c r="Y39" s="2"/>
      <c r="Z39" s="7">
        <f t="shared" si="27"/>
        <v>-7.2832014862759156E-2</v>
      </c>
    </row>
    <row r="40" spans="1:26" s="24" customFormat="1" hidden="1" outlineLevel="2" x14ac:dyDescent="0.25">
      <c r="A40" s="27"/>
      <c r="B40" s="11" t="str">
        <f>CONCATENATE("          ", "6005", " - ", "TEMPORARY WAGES-HOURLY")</f>
        <v xml:space="preserve">          6005 - TEMPORARY WAGES-HOURLY</v>
      </c>
      <c r="C40" s="11"/>
      <c r="D40" s="6">
        <v>4538.71</v>
      </c>
      <c r="E40" s="2"/>
      <c r="F40" s="7">
        <f t="shared" si="20"/>
        <v>0.10683721854279694</v>
      </c>
      <c r="G40" s="2"/>
      <c r="H40" s="6">
        <v>5689.05</v>
      </c>
      <c r="I40" s="2"/>
      <c r="J40" s="7">
        <f t="shared" si="21"/>
        <v>0.1292965909090909</v>
      </c>
      <c r="K40" s="2"/>
      <c r="L40" s="6">
        <f t="shared" si="22"/>
        <v>-1150.3400000000001</v>
      </c>
      <c r="M40" s="2"/>
      <c r="N40" s="7">
        <f t="shared" si="23"/>
        <v>-0.20220247668767194</v>
      </c>
      <c r="O40" s="11"/>
      <c r="P40" s="6">
        <v>7997.1</v>
      </c>
      <c r="Q40" s="2"/>
      <c r="R40" s="7">
        <f t="shared" si="24"/>
        <v>0.11795941757067409</v>
      </c>
      <c r="S40" s="2"/>
      <c r="T40" s="6">
        <v>11666.675000000001</v>
      </c>
      <c r="U40" s="2"/>
      <c r="V40" s="7">
        <f t="shared" si="25"/>
        <v>0.1705654239766082</v>
      </c>
      <c r="W40" s="2"/>
      <c r="X40" s="6">
        <f t="shared" si="26"/>
        <v>-3669.5750000000007</v>
      </c>
      <c r="Y40" s="2"/>
      <c r="Z40" s="7">
        <f t="shared" si="27"/>
        <v>-0.31453477533230334</v>
      </c>
    </row>
    <row r="41" spans="1:26" s="24" customFormat="1" hidden="1" outlineLevel="2" x14ac:dyDescent="0.25">
      <c r="A41" s="27"/>
      <c r="B41" s="11" t="str">
        <f>CONCATENATE("          ", "6006", " - ", "TEMPORARY PART TIME")</f>
        <v xml:space="preserve">          6006 - TEMPORARY PART TIME</v>
      </c>
      <c r="C41" s="11"/>
      <c r="D41" s="6">
        <v>200.5</v>
      </c>
      <c r="E41" s="2"/>
      <c r="F41" s="7">
        <f t="shared" si="20"/>
        <v>4.7195926414842077E-3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200.5</v>
      </c>
      <c r="M41" s="2"/>
      <c r="N41" s="7">
        <f t="shared" si="23"/>
        <v>0</v>
      </c>
      <c r="O41" s="11"/>
      <c r="P41" s="6">
        <v>200.5</v>
      </c>
      <c r="Q41" s="2"/>
      <c r="R41" s="7">
        <f t="shared" si="24"/>
        <v>2.9574299712295899E-3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200.5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"6007", " - ", "STUDENT HOURLY")</f>
        <v xml:space="preserve">          6007 - STUDENT HOURLY</v>
      </c>
      <c r="C42" s="11"/>
      <c r="D42" s="6">
        <v>8420.44</v>
      </c>
      <c r="E42" s="2"/>
      <c r="F42" s="7">
        <f t="shared" si="20"/>
        <v>0.19820970903770216</v>
      </c>
      <c r="G42" s="2"/>
      <c r="H42" s="6">
        <v>7784.25</v>
      </c>
      <c r="I42" s="2"/>
      <c r="J42" s="7">
        <f t="shared" si="21"/>
        <v>0.17691477272727274</v>
      </c>
      <c r="K42" s="2"/>
      <c r="L42" s="6">
        <f t="shared" si="22"/>
        <v>636.19000000000051</v>
      </c>
      <c r="M42" s="2"/>
      <c r="N42" s="7">
        <f t="shared" si="23"/>
        <v>8.1727847897999237E-2</v>
      </c>
      <c r="O42" s="11"/>
      <c r="P42" s="6">
        <v>13506</v>
      </c>
      <c r="Q42" s="2"/>
      <c r="R42" s="7">
        <f t="shared" si="24"/>
        <v>0.19921720294975981</v>
      </c>
      <c r="S42" s="2"/>
      <c r="T42" s="6">
        <v>8526.2999999999993</v>
      </c>
      <c r="U42" s="2"/>
      <c r="V42" s="7">
        <f t="shared" si="25"/>
        <v>0.12465350877192981</v>
      </c>
      <c r="W42" s="2"/>
      <c r="X42" s="6">
        <f t="shared" si="26"/>
        <v>4979.7000000000007</v>
      </c>
      <c r="Y42" s="2"/>
      <c r="Z42" s="7">
        <f t="shared" si="27"/>
        <v>0.58403997044438982</v>
      </c>
    </row>
    <row r="43" spans="1:26" s="24" customFormat="1" hidden="1" outlineLevel="2" x14ac:dyDescent="0.25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7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6" customFormat="1" outlineLevel="1" collapsed="1" x14ac:dyDescent="0.25">
      <c r="A46" s="25"/>
      <c r="B46" s="13" t="str">
        <f>CONCATENATE("     ","Advertising/Promo                                 ")</f>
        <v xml:space="preserve">     Advertising/Promo                                 </v>
      </c>
      <c r="C46" s="13"/>
      <c r="D46" s="1">
        <f>SUM(OSRRefD22_2x_0)</f>
        <v>360.17</v>
      </c>
      <c r="E46" s="1"/>
      <c r="F46" s="5">
        <f t="shared" ref="F46:F54" si="28">IF(D$12=0,0,D46/D$12)</f>
        <v>8.4780832004157959E-3</v>
      </c>
      <c r="G46" s="1"/>
      <c r="H46" s="1">
        <f>SUM(OSRRefH22_2x_0)</f>
        <v>800</v>
      </c>
      <c r="I46" s="1"/>
      <c r="J46" s="5">
        <f t="shared" ref="J46:J54" si="29">IF(H$12=0,0,H46/H$12)</f>
        <v>1.8181818181818181E-2</v>
      </c>
      <c r="K46" s="1"/>
      <c r="L46" s="1">
        <f t="shared" ref="L46:L54" si="30">+D46-H46</f>
        <v>-439.83</v>
      </c>
      <c r="M46" s="1"/>
      <c r="N46" s="5">
        <f t="shared" ref="N46:N54" si="31">IF(H46=0,0,L46/H46)</f>
        <v>-0.54978749999999998</v>
      </c>
      <c r="O46" s="13"/>
      <c r="P46" s="1">
        <f>SUM(OSRRefP22_2x_0)</f>
        <v>2000.45</v>
      </c>
      <c r="Q46" s="1"/>
      <c r="R46" s="5">
        <f t="shared" ref="R46:R54" si="32">IF(P$12=0,0,P46/P$12)</f>
        <v>2.9507185964819119E-2</v>
      </c>
      <c r="S46" s="1"/>
      <c r="T46" s="1">
        <f>SUM(OSRRefT22_2x_0)</f>
        <v>900</v>
      </c>
      <c r="U46" s="1"/>
      <c r="V46" s="5">
        <f t="shared" ref="V46:V54" si="33">IF(T$12=0,0,T46/T$12)</f>
        <v>1.3157894736842105E-2</v>
      </c>
      <c r="W46" s="1"/>
      <c r="X46" s="1">
        <f t="shared" ref="X46:X54" si="34">+P46-T46</f>
        <v>1100.45</v>
      </c>
      <c r="Y46" s="1"/>
      <c r="Z46" s="5">
        <f t="shared" ref="Z46:Z54" si="35">IF(T46=0,0,X46/T46)</f>
        <v>1.2227222222222223</v>
      </c>
    </row>
    <row r="47" spans="1:26" s="24" customFormat="1" hidden="1" outlineLevel="2" x14ac:dyDescent="0.25">
      <c r="A47" s="27"/>
      <c r="B47" s="11" t="str">
        <f>CONCATENATE("          ", "6362", " - ", "ADVERTISING EXPENSE")</f>
        <v xml:space="preserve">          6362 - ADVERTISING EXPENSE</v>
      </c>
      <c r="C47" s="11"/>
      <c r="D47" s="6">
        <v>360.17</v>
      </c>
      <c r="E47" s="2"/>
      <c r="F47" s="7">
        <f t="shared" si="28"/>
        <v>8.4780832004157959E-3</v>
      </c>
      <c r="G47" s="2"/>
      <c r="H47" s="6">
        <v>800</v>
      </c>
      <c r="I47" s="2"/>
      <c r="J47" s="7">
        <f t="shared" si="29"/>
        <v>1.8181818181818181E-2</v>
      </c>
      <c r="K47" s="2"/>
      <c r="L47" s="6">
        <f t="shared" si="30"/>
        <v>-439.83</v>
      </c>
      <c r="M47" s="2"/>
      <c r="N47" s="7">
        <f t="shared" si="31"/>
        <v>-0.54978749999999998</v>
      </c>
      <c r="O47" s="11"/>
      <c r="P47" s="6">
        <v>2000.45</v>
      </c>
      <c r="Q47" s="2"/>
      <c r="R47" s="7">
        <f t="shared" si="32"/>
        <v>2.9507185964819119E-2</v>
      </c>
      <c r="S47" s="2"/>
      <c r="T47" s="6">
        <v>900</v>
      </c>
      <c r="U47" s="2"/>
      <c r="V47" s="7">
        <f t="shared" si="33"/>
        <v>1.3157894736842105E-2</v>
      </c>
      <c r="W47" s="2"/>
      <c r="X47" s="6">
        <f t="shared" si="34"/>
        <v>1100.45</v>
      </c>
      <c r="Y47" s="2"/>
      <c r="Z47" s="7">
        <f t="shared" si="35"/>
        <v>1.2227222222222223</v>
      </c>
    </row>
    <row r="48" spans="1:26" s="26" customFormat="1" outlineLevel="1" collapsed="1" x14ac:dyDescent="0.25">
      <c r="A48" s="25"/>
      <c r="B48" s="13" t="str">
        <f>CONCATENATE("     ","Bad Debts/Over/Short                              ")</f>
        <v xml:space="preserve">     Bad Debts/Over/Short                              </v>
      </c>
      <c r="C48" s="13"/>
      <c r="D48" s="1">
        <f>SUM(OSRRefD22_3x_0)</f>
        <v>-13.24</v>
      </c>
      <c r="E48" s="1"/>
      <c r="F48" s="5">
        <f t="shared" si="28"/>
        <v>-3.116578881458898E-4</v>
      </c>
      <c r="G48" s="1"/>
      <c r="H48" s="1">
        <f>SUM(OSRRefH22_3x_0)</f>
        <v>10</v>
      </c>
      <c r="I48" s="1"/>
      <c r="J48" s="5">
        <f t="shared" si="29"/>
        <v>2.2727272727272727E-4</v>
      </c>
      <c r="K48" s="1"/>
      <c r="L48" s="1">
        <f t="shared" si="30"/>
        <v>-23.240000000000002</v>
      </c>
      <c r="M48" s="1"/>
      <c r="N48" s="5">
        <f t="shared" si="31"/>
        <v>-2.3240000000000003</v>
      </c>
      <c r="O48" s="13"/>
      <c r="P48" s="1">
        <f>SUM(OSRRefP22_3x_0)</f>
        <v>-18.21</v>
      </c>
      <c r="Q48" s="1"/>
      <c r="R48" s="5">
        <f t="shared" si="32"/>
        <v>-2.686024926488321E-4</v>
      </c>
      <c r="S48" s="1"/>
      <c r="T48" s="1">
        <f>SUM(OSRRefT22_3x_0)</f>
        <v>20</v>
      </c>
      <c r="U48" s="1"/>
      <c r="V48" s="5">
        <f t="shared" si="33"/>
        <v>2.9239766081871346E-4</v>
      </c>
      <c r="W48" s="1"/>
      <c r="X48" s="1">
        <f t="shared" si="34"/>
        <v>-38.21</v>
      </c>
      <c r="Y48" s="1"/>
      <c r="Z48" s="5">
        <f t="shared" si="35"/>
        <v>-1.9105000000000001</v>
      </c>
    </row>
    <row r="49" spans="1:26" s="24" customFormat="1" hidden="1" outlineLevel="2" x14ac:dyDescent="0.25">
      <c r="A49" s="27"/>
      <c r="B49" s="11" t="str">
        <f>CONCATENATE("          ", "6272", " - ", "CASH (OVER/SHORT)")</f>
        <v xml:space="preserve">          6272 - CASH (OVER/SHORT)</v>
      </c>
      <c r="C49" s="11"/>
      <c r="D49" s="6">
        <v>-13.24</v>
      </c>
      <c r="E49" s="2"/>
      <c r="F49" s="7">
        <f t="shared" si="28"/>
        <v>-3.116578881458898E-4</v>
      </c>
      <c r="G49" s="2"/>
      <c r="H49" s="6">
        <v>10</v>
      </c>
      <c r="I49" s="2"/>
      <c r="J49" s="7">
        <f t="shared" si="29"/>
        <v>2.2727272727272727E-4</v>
      </c>
      <c r="K49" s="2"/>
      <c r="L49" s="6">
        <f t="shared" si="30"/>
        <v>-23.240000000000002</v>
      </c>
      <c r="M49" s="2"/>
      <c r="N49" s="7">
        <f t="shared" si="31"/>
        <v>-2.3240000000000003</v>
      </c>
      <c r="O49" s="11"/>
      <c r="P49" s="6">
        <v>-18.21</v>
      </c>
      <c r="Q49" s="2"/>
      <c r="R49" s="7">
        <f t="shared" si="32"/>
        <v>-2.686024926488321E-4</v>
      </c>
      <c r="S49" s="2"/>
      <c r="T49" s="6">
        <v>20</v>
      </c>
      <c r="U49" s="2"/>
      <c r="V49" s="7">
        <f t="shared" si="33"/>
        <v>2.9239766081871346E-4</v>
      </c>
      <c r="W49" s="2"/>
      <c r="X49" s="6">
        <f t="shared" si="34"/>
        <v>-38.21</v>
      </c>
      <c r="Y49" s="2"/>
      <c r="Z49" s="7">
        <f t="shared" si="35"/>
        <v>-1.9105000000000001</v>
      </c>
    </row>
    <row r="50" spans="1:26" s="26" customFormat="1" outlineLevel="1" collapsed="1" x14ac:dyDescent="0.25">
      <c r="A50" s="25"/>
      <c r="B50" s="13" t="str">
        <f>CONCATENATE("     ","Bank/card Fees                                    ")</f>
        <v xml:space="preserve">     Bank/card Fees                                    </v>
      </c>
      <c r="C50" s="13"/>
      <c r="D50" s="1">
        <f>SUM(OSRRefD22_4x_0)</f>
        <v>1616.35</v>
      </c>
      <c r="E50" s="1"/>
      <c r="F50" s="5">
        <f t="shared" si="28"/>
        <v>3.8047449207296753E-2</v>
      </c>
      <c r="G50" s="1"/>
      <c r="H50" s="1">
        <f>SUM(OSRRefH22_4x_0)</f>
        <v>0</v>
      </c>
      <c r="I50" s="1"/>
      <c r="J50" s="5">
        <f t="shared" si="29"/>
        <v>0</v>
      </c>
      <c r="K50" s="1"/>
      <c r="L50" s="1">
        <f t="shared" si="30"/>
        <v>1616.35</v>
      </c>
      <c r="M50" s="1"/>
      <c r="N50" s="5">
        <f t="shared" si="31"/>
        <v>0</v>
      </c>
      <c r="O50" s="13"/>
      <c r="P50" s="1">
        <f>SUM(OSRRefP22_4x_0)</f>
        <v>2468.56</v>
      </c>
      <c r="Q50" s="1"/>
      <c r="R50" s="5">
        <f t="shared" si="32"/>
        <v>3.6411936806875392E-2</v>
      </c>
      <c r="S50" s="1"/>
      <c r="T50" s="1">
        <f>SUM(OSRRefT22_4x_0)</f>
        <v>850</v>
      </c>
      <c r="U50" s="1"/>
      <c r="V50" s="5">
        <f t="shared" si="33"/>
        <v>1.2426900584795321E-2</v>
      </c>
      <c r="W50" s="1"/>
      <c r="X50" s="1">
        <f t="shared" si="34"/>
        <v>1618.56</v>
      </c>
      <c r="Y50" s="1"/>
      <c r="Z50" s="5">
        <f t="shared" si="35"/>
        <v>1.9041882352941175</v>
      </c>
    </row>
    <row r="51" spans="1:26" s="24" customFormat="1" hidden="1" outlineLevel="2" x14ac:dyDescent="0.25">
      <c r="A51" s="27"/>
      <c r="B51" s="11" t="str">
        <f>CONCATENATE("          ", "6381", " - ", "BANK/CREDIT CARD FEES")</f>
        <v xml:space="preserve">          6381 - BANK/CREDIT CARD FEES</v>
      </c>
      <c r="C51" s="11"/>
      <c r="D51" s="6">
        <v>1616.35</v>
      </c>
      <c r="E51" s="2"/>
      <c r="F51" s="7">
        <f t="shared" si="28"/>
        <v>3.8047449207296753E-2</v>
      </c>
      <c r="G51" s="2"/>
      <c r="H51" s="6"/>
      <c r="I51" s="2"/>
      <c r="J51" s="7">
        <f t="shared" si="29"/>
        <v>0</v>
      </c>
      <c r="K51" s="2"/>
      <c r="L51" s="6">
        <f t="shared" si="30"/>
        <v>1616.35</v>
      </c>
      <c r="M51" s="2"/>
      <c r="N51" s="7">
        <f t="shared" si="31"/>
        <v>0</v>
      </c>
      <c r="O51" s="11"/>
      <c r="P51" s="6">
        <v>2468.56</v>
      </c>
      <c r="Q51" s="2"/>
      <c r="R51" s="7">
        <f t="shared" si="32"/>
        <v>3.6411936806875392E-2</v>
      </c>
      <c r="S51" s="2"/>
      <c r="T51" s="6">
        <v>850</v>
      </c>
      <c r="U51" s="2"/>
      <c r="V51" s="7">
        <f t="shared" si="33"/>
        <v>1.2426900584795321E-2</v>
      </c>
      <c r="W51" s="2"/>
      <c r="X51" s="6">
        <f t="shared" si="34"/>
        <v>1618.56</v>
      </c>
      <c r="Y51" s="2"/>
      <c r="Z51" s="7">
        <f t="shared" si="35"/>
        <v>1.9041882352941175</v>
      </c>
    </row>
    <row r="52" spans="1:26" s="26" customFormat="1" outlineLevel="1" collapsed="1" x14ac:dyDescent="0.25">
      <c r="A52" s="25"/>
      <c r="B52" s="13" t="str">
        <f>CONCATENATE("     ","Depreciation                                      ")</f>
        <v xml:space="preserve">     Depreciation                                      </v>
      </c>
      <c r="C52" s="13"/>
      <c r="D52" s="1">
        <f>SUM(OSRRefD22_5x_0)</f>
        <v>13266.91</v>
      </c>
      <c r="E52" s="1"/>
      <c r="F52" s="5">
        <f t="shared" si="28"/>
        <v>0.31229132574181173</v>
      </c>
      <c r="G52" s="1"/>
      <c r="H52" s="1">
        <f>SUM(OSRRefH22_5x_0)</f>
        <v>13266</v>
      </c>
      <c r="I52" s="1"/>
      <c r="J52" s="5">
        <f t="shared" si="29"/>
        <v>0.30149999999999999</v>
      </c>
      <c r="K52" s="1"/>
      <c r="L52" s="1">
        <f t="shared" si="30"/>
        <v>0.90999999999985448</v>
      </c>
      <c r="M52" s="1"/>
      <c r="N52" s="5">
        <f t="shared" si="31"/>
        <v>6.8596411879983006E-5</v>
      </c>
      <c r="O52" s="13"/>
      <c r="P52" s="1">
        <f>SUM(OSRRefP22_5x_0)</f>
        <v>26533.82</v>
      </c>
      <c r="Q52" s="1"/>
      <c r="R52" s="5">
        <f t="shared" si="32"/>
        <v>0.3913811197965642</v>
      </c>
      <c r="S52" s="1"/>
      <c r="T52" s="1">
        <f>SUM(OSRRefT22_5x_0)</f>
        <v>26532</v>
      </c>
      <c r="U52" s="1"/>
      <c r="V52" s="5">
        <f t="shared" si="33"/>
        <v>0.38789473684210524</v>
      </c>
      <c r="W52" s="1"/>
      <c r="X52" s="1">
        <f t="shared" si="34"/>
        <v>1.819999999999709</v>
      </c>
      <c r="Y52" s="1"/>
      <c r="Z52" s="5">
        <f t="shared" si="35"/>
        <v>6.8596411879983006E-5</v>
      </c>
    </row>
    <row r="53" spans="1:26" s="24" customFormat="1" hidden="1" outlineLevel="2" x14ac:dyDescent="0.25">
      <c r="A53" s="27"/>
      <c r="B53" s="11" t="str">
        <f>CONCATENATE("          ", "6321", " - ", "BUILDING DEPRECIATION")</f>
        <v xml:space="preserve">          6321 - BUILDING DEPRECIATION</v>
      </c>
      <c r="C53" s="11"/>
      <c r="D53" s="6">
        <v>10612.46</v>
      </c>
      <c r="E53" s="2"/>
      <c r="F53" s="7">
        <f t="shared" si="28"/>
        <v>0.24980792081818198</v>
      </c>
      <c r="G53" s="2"/>
      <c r="H53" s="6">
        <v>10612</v>
      </c>
      <c r="I53" s="2"/>
      <c r="J53" s="7">
        <f t="shared" si="29"/>
        <v>0.24118181818181819</v>
      </c>
      <c r="K53" s="2"/>
      <c r="L53" s="6">
        <f t="shared" si="30"/>
        <v>0.45999999999912689</v>
      </c>
      <c r="M53" s="2"/>
      <c r="N53" s="7">
        <f t="shared" si="31"/>
        <v>4.3347154165013841E-5</v>
      </c>
      <c r="O53" s="11"/>
      <c r="P53" s="6">
        <v>21224.92</v>
      </c>
      <c r="Q53" s="2"/>
      <c r="R53" s="7">
        <f t="shared" si="32"/>
        <v>0.31307338925162265</v>
      </c>
      <c r="S53" s="2"/>
      <c r="T53" s="6">
        <v>21224</v>
      </c>
      <c r="U53" s="2"/>
      <c r="V53" s="7">
        <f t="shared" si="33"/>
        <v>0.31029239766081873</v>
      </c>
      <c r="W53" s="2"/>
      <c r="X53" s="6">
        <f t="shared" si="34"/>
        <v>0.91999999999825377</v>
      </c>
      <c r="Y53" s="2"/>
      <c r="Z53" s="7">
        <f t="shared" si="35"/>
        <v>4.3347154165013841E-5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2654.45</v>
      </c>
      <c r="E54" s="2"/>
      <c r="F54" s="7">
        <f t="shared" si="28"/>
        <v>6.2483404923629693E-2</v>
      </c>
      <c r="G54" s="2"/>
      <c r="H54" s="6">
        <v>2654</v>
      </c>
      <c r="I54" s="2"/>
      <c r="J54" s="7">
        <f t="shared" si="29"/>
        <v>6.0318181818181819E-2</v>
      </c>
      <c r="K54" s="2"/>
      <c r="L54" s="6">
        <f t="shared" si="30"/>
        <v>0.4499999999998181</v>
      </c>
      <c r="M54" s="2"/>
      <c r="N54" s="7">
        <f t="shared" si="31"/>
        <v>1.6955538809337533E-4</v>
      </c>
      <c r="O54" s="11"/>
      <c r="P54" s="6">
        <v>5308.9</v>
      </c>
      <c r="Q54" s="2"/>
      <c r="R54" s="7">
        <f t="shared" si="32"/>
        <v>7.8307730544941487E-2</v>
      </c>
      <c r="S54" s="2"/>
      <c r="T54" s="6">
        <v>5308</v>
      </c>
      <c r="U54" s="2"/>
      <c r="V54" s="7">
        <f t="shared" si="33"/>
        <v>7.7602339181286548E-2</v>
      </c>
      <c r="W54" s="2"/>
      <c r="X54" s="6">
        <f t="shared" si="34"/>
        <v>0.8999999999996362</v>
      </c>
      <c r="Y54" s="2"/>
      <c r="Z54" s="7">
        <f t="shared" si="35"/>
        <v>1.6955538809337533E-4</v>
      </c>
    </row>
    <row r="55" spans="1:26" s="26" customFormat="1" outlineLevel="1" collapsed="1" x14ac:dyDescent="0.25">
      <c r="A55" s="25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0</v>
      </c>
      <c r="E55" s="1"/>
      <c r="F55" s="5">
        <f t="shared" ref="F55:F72" si="36">IF(D$12=0,0,D55/D$12)</f>
        <v>0</v>
      </c>
      <c r="G55" s="1"/>
      <c r="H55" s="1">
        <f>SUM(OSRRefH22_6x_0)</f>
        <v>25</v>
      </c>
      <c r="I55" s="1"/>
      <c r="J55" s="5">
        <f t="shared" ref="J55:J72" si="37">IF(H$12=0,0,H55/H$12)</f>
        <v>5.6818181818181815E-4</v>
      </c>
      <c r="K55" s="1"/>
      <c r="L55" s="1">
        <f t="shared" ref="L55:L72" si="38">+D55-H55</f>
        <v>-25</v>
      </c>
      <c r="M55" s="1"/>
      <c r="N55" s="5">
        <f t="shared" ref="N55:N72" si="39">IF(H55=0,0,L55/H55)</f>
        <v>-1</v>
      </c>
      <c r="O55" s="13"/>
      <c r="P55" s="1">
        <f>SUM(OSRRefP22_6x_0)</f>
        <v>15.35</v>
      </c>
      <c r="Q55" s="1"/>
      <c r="R55" s="5">
        <f t="shared" ref="R55:R72" si="40">IF(P$12=0,0,P55/P$12)</f>
        <v>2.2641670852056959E-4</v>
      </c>
      <c r="S55" s="1"/>
      <c r="T55" s="1">
        <f>SUM(OSRRefT22_6x_0)</f>
        <v>50</v>
      </c>
      <c r="U55" s="1"/>
      <c r="V55" s="5">
        <f t="shared" ref="V55:V72" si="41">IF(T$12=0,0,T55/T$12)</f>
        <v>7.3099415204678359E-4</v>
      </c>
      <c r="W55" s="1"/>
      <c r="X55" s="1">
        <f t="shared" ref="X55:X72" si="42">+P55-T55</f>
        <v>-34.65</v>
      </c>
      <c r="Y55" s="1"/>
      <c r="Z55" s="5">
        <f t="shared" ref="Z55:Z72" si="43">IF(T55=0,0,X55/T55)</f>
        <v>-0.69299999999999995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/>
      <c r="E56" s="2"/>
      <c r="F56" s="7">
        <f t="shared" si="36"/>
        <v>0</v>
      </c>
      <c r="G56" s="2"/>
      <c r="H56" s="6">
        <v>25</v>
      </c>
      <c r="I56" s="2"/>
      <c r="J56" s="7">
        <f t="shared" si="37"/>
        <v>5.6818181818181815E-4</v>
      </c>
      <c r="K56" s="2"/>
      <c r="L56" s="6">
        <f t="shared" si="38"/>
        <v>-25</v>
      </c>
      <c r="M56" s="2"/>
      <c r="N56" s="7">
        <f t="shared" si="39"/>
        <v>-1</v>
      </c>
      <c r="O56" s="11"/>
      <c r="P56" s="6">
        <v>15.35</v>
      </c>
      <c r="Q56" s="2"/>
      <c r="R56" s="7">
        <f t="shared" si="40"/>
        <v>2.2641670852056959E-4</v>
      </c>
      <c r="S56" s="2"/>
      <c r="T56" s="6">
        <v>50</v>
      </c>
      <c r="U56" s="2"/>
      <c r="V56" s="7">
        <f t="shared" si="41"/>
        <v>7.3099415204678359E-4</v>
      </c>
      <c r="W56" s="2"/>
      <c r="X56" s="6">
        <f t="shared" si="42"/>
        <v>-34.65</v>
      </c>
      <c r="Y56" s="2"/>
      <c r="Z56" s="7">
        <f t="shared" si="43"/>
        <v>-0.69299999999999995</v>
      </c>
    </row>
    <row r="57" spans="1:26" s="26" customFormat="1" outlineLevel="1" collapsed="1" x14ac:dyDescent="0.25">
      <c r="A57" s="25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SUM(OSRRefD22_7x_0)</f>
        <v>146.04</v>
      </c>
      <c r="E57" s="1"/>
      <c r="F57" s="5">
        <f t="shared" si="36"/>
        <v>3.4376524157723374E-3</v>
      </c>
      <c r="G57" s="1"/>
      <c r="H57" s="1">
        <f>SUM(OSRRefH22_7x_0)</f>
        <v>125</v>
      </c>
      <c r="I57" s="1"/>
      <c r="J57" s="5">
        <f t="shared" si="37"/>
        <v>2.840909090909091E-3</v>
      </c>
      <c r="K57" s="1"/>
      <c r="L57" s="1">
        <f t="shared" si="38"/>
        <v>21.039999999999992</v>
      </c>
      <c r="M57" s="1"/>
      <c r="N57" s="5">
        <f t="shared" si="39"/>
        <v>0.16831999999999994</v>
      </c>
      <c r="O57" s="13"/>
      <c r="P57" s="1">
        <f>SUM(OSRRefP22_7x_0)</f>
        <v>292.51</v>
      </c>
      <c r="Q57" s="1"/>
      <c r="R57" s="5">
        <f t="shared" si="40"/>
        <v>4.3146026976776429E-3</v>
      </c>
      <c r="S57" s="1"/>
      <c r="T57" s="1">
        <f>SUM(OSRRefT22_7x_0)</f>
        <v>250</v>
      </c>
      <c r="U57" s="1"/>
      <c r="V57" s="5">
        <f t="shared" si="41"/>
        <v>3.6549707602339179E-3</v>
      </c>
      <c r="W57" s="1"/>
      <c r="X57" s="1">
        <f t="shared" si="42"/>
        <v>42.509999999999991</v>
      </c>
      <c r="Y57" s="1"/>
      <c r="Z57" s="5">
        <f t="shared" si="43"/>
        <v>0.17003999999999997</v>
      </c>
    </row>
    <row r="58" spans="1:26" s="24" customFormat="1" hidden="1" outlineLevel="2" x14ac:dyDescent="0.25">
      <c r="A58" s="27"/>
      <c r="B58" s="11" t="str">
        <f>CONCATENATE("          ", "6351", " - ", "EQUIPMENT RENTAL")</f>
        <v xml:space="preserve">          6351 - EQUIPMENT RENTAL</v>
      </c>
      <c r="C58" s="11"/>
      <c r="D58" s="6">
        <v>146.04</v>
      </c>
      <c r="E58" s="2"/>
      <c r="F58" s="7">
        <f t="shared" si="36"/>
        <v>3.4376524157723374E-3</v>
      </c>
      <c r="G58" s="2"/>
      <c r="H58" s="6">
        <v>125</v>
      </c>
      <c r="I58" s="2"/>
      <c r="J58" s="7">
        <f t="shared" si="37"/>
        <v>2.840909090909091E-3</v>
      </c>
      <c r="K58" s="2"/>
      <c r="L58" s="6">
        <f t="shared" si="38"/>
        <v>21.039999999999992</v>
      </c>
      <c r="M58" s="2"/>
      <c r="N58" s="7">
        <f t="shared" si="39"/>
        <v>0.16831999999999994</v>
      </c>
      <c r="O58" s="11"/>
      <c r="P58" s="6">
        <v>292.51</v>
      </c>
      <c r="Q58" s="2"/>
      <c r="R58" s="7">
        <f t="shared" si="40"/>
        <v>4.3146026976776429E-3</v>
      </c>
      <c r="S58" s="2"/>
      <c r="T58" s="6">
        <v>250</v>
      </c>
      <c r="U58" s="2"/>
      <c r="V58" s="7">
        <f t="shared" si="41"/>
        <v>3.6549707602339179E-3</v>
      </c>
      <c r="W58" s="2"/>
      <c r="X58" s="6">
        <f t="shared" si="42"/>
        <v>42.509999999999991</v>
      </c>
      <c r="Y58" s="2"/>
      <c r="Z58" s="7">
        <f t="shared" si="43"/>
        <v>0.17003999999999997</v>
      </c>
    </row>
    <row r="59" spans="1:26" s="26" customFormat="1" outlineLevel="1" collapsed="1" x14ac:dyDescent="0.25">
      <c r="A59" s="25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SUM(OSRRefD22_8x_0)</f>
        <v>0</v>
      </c>
      <c r="E59" s="1"/>
      <c r="F59" s="5">
        <f t="shared" si="36"/>
        <v>0</v>
      </c>
      <c r="G59" s="1"/>
      <c r="H59" s="1">
        <f>SUM(OSRRefH22_8x_0)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3"/>
      <c r="P59" s="1">
        <f>SUM(OSRRefP22_8x_0)</f>
        <v>1354.55</v>
      </c>
      <c r="Q59" s="1"/>
      <c r="R59" s="5">
        <f t="shared" si="40"/>
        <v>1.997998387795033E-2</v>
      </c>
      <c r="S59" s="1"/>
      <c r="T59" s="1">
        <f>SUM(OSRRefT22_8x_0)</f>
        <v>1400</v>
      </c>
      <c r="U59" s="1"/>
      <c r="V59" s="5">
        <f t="shared" si="41"/>
        <v>2.046783625730994E-2</v>
      </c>
      <c r="W59" s="1"/>
      <c r="X59" s="1">
        <f t="shared" si="42"/>
        <v>-45.450000000000045</v>
      </c>
      <c r="Y59" s="1"/>
      <c r="Z59" s="5">
        <f t="shared" si="43"/>
        <v>-3.2464285714285744E-2</v>
      </c>
    </row>
    <row r="60" spans="1:26" s="24" customFormat="1" hidden="1" outlineLevel="2" x14ac:dyDescent="0.25">
      <c r="A60" s="27"/>
      <c r="B60" s="11" t="str">
        <f>CONCATENATE("          ", "6279", " - ", "GENERAL EXPENSE")</f>
        <v xml:space="preserve">          6279 - GENERAL EXPENSE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1354.55</v>
      </c>
      <c r="Q60" s="2"/>
      <c r="R60" s="7">
        <f t="shared" si="40"/>
        <v>1.997998387795033E-2</v>
      </c>
      <c r="S60" s="2"/>
      <c r="T60" s="6">
        <v>1400</v>
      </c>
      <c r="U60" s="2"/>
      <c r="V60" s="7">
        <f t="shared" si="41"/>
        <v>2.046783625730994E-2</v>
      </c>
      <c r="W60" s="2"/>
      <c r="X60" s="6">
        <f t="shared" si="42"/>
        <v>-45.450000000000045</v>
      </c>
      <c r="Y60" s="2"/>
      <c r="Z60" s="7">
        <f t="shared" si="43"/>
        <v>-3.2464285714285744E-2</v>
      </c>
    </row>
    <row r="61" spans="1:26" s="26" customFormat="1" outlineLevel="1" collapsed="1" x14ac:dyDescent="0.25">
      <c r="A61" s="25"/>
      <c r="B61" s="13" t="str">
        <f>CONCATENATE("     ","Insurance                                         ")</f>
        <v xml:space="preserve">     Insurance                                         </v>
      </c>
      <c r="C61" s="13"/>
      <c r="D61" s="1">
        <f>SUM(OSRRefD22_9x_0)</f>
        <v>641.28</v>
      </c>
      <c r="E61" s="1"/>
      <c r="F61" s="5">
        <f t="shared" si="36"/>
        <v>1.5095163935815423E-2</v>
      </c>
      <c r="G61" s="1"/>
      <c r="H61" s="1">
        <f>SUM(OSRRefH22_9x_0)</f>
        <v>604</v>
      </c>
      <c r="I61" s="1"/>
      <c r="J61" s="5">
        <f t="shared" si="37"/>
        <v>1.3727272727272727E-2</v>
      </c>
      <c r="K61" s="1"/>
      <c r="L61" s="1">
        <f t="shared" si="38"/>
        <v>37.279999999999973</v>
      </c>
      <c r="M61" s="1"/>
      <c r="N61" s="5">
        <f t="shared" si="39"/>
        <v>6.1721854304635719E-2</v>
      </c>
      <c r="O61" s="13"/>
      <c r="P61" s="1">
        <f>SUM(OSRRefP22_9x_0)</f>
        <v>1282.56</v>
      </c>
      <c r="Q61" s="1"/>
      <c r="R61" s="5">
        <f t="shared" si="40"/>
        <v>1.8918111640400113E-2</v>
      </c>
      <c r="S61" s="1"/>
      <c r="T61" s="1">
        <f>SUM(OSRRefT22_9x_0)</f>
        <v>1208</v>
      </c>
      <c r="U61" s="1"/>
      <c r="V61" s="5">
        <f t="shared" si="41"/>
        <v>1.7660818713450294E-2</v>
      </c>
      <c r="W61" s="1"/>
      <c r="X61" s="1">
        <f t="shared" si="42"/>
        <v>74.559999999999945</v>
      </c>
      <c r="Y61" s="1"/>
      <c r="Z61" s="5">
        <f t="shared" si="43"/>
        <v>6.1721854304635719E-2</v>
      </c>
    </row>
    <row r="62" spans="1:26" s="24" customFormat="1" hidden="1" outlineLevel="2" x14ac:dyDescent="0.25">
      <c r="A62" s="27"/>
      <c r="B62" s="11" t="str">
        <f>CONCATENATE("          ", "6314", " - ", "LIABILITY INSURANCE")</f>
        <v xml:space="preserve">          6314 - LIABILITY INSURANCE</v>
      </c>
      <c r="C62" s="11"/>
      <c r="D62" s="6">
        <v>641.28</v>
      </c>
      <c r="E62" s="2"/>
      <c r="F62" s="7">
        <f t="shared" si="36"/>
        <v>1.5095163935815423E-2</v>
      </c>
      <c r="G62" s="2"/>
      <c r="H62" s="6">
        <v>604</v>
      </c>
      <c r="I62" s="2"/>
      <c r="J62" s="7">
        <f t="shared" si="37"/>
        <v>1.3727272727272727E-2</v>
      </c>
      <c r="K62" s="2"/>
      <c r="L62" s="6">
        <f t="shared" si="38"/>
        <v>37.279999999999973</v>
      </c>
      <c r="M62" s="2"/>
      <c r="N62" s="7">
        <f t="shared" si="39"/>
        <v>6.1721854304635719E-2</v>
      </c>
      <c r="O62" s="11"/>
      <c r="P62" s="6">
        <v>1282.56</v>
      </c>
      <c r="Q62" s="2"/>
      <c r="R62" s="7">
        <f t="shared" si="40"/>
        <v>1.8918111640400113E-2</v>
      </c>
      <c r="S62" s="2"/>
      <c r="T62" s="6">
        <v>1208</v>
      </c>
      <c r="U62" s="2"/>
      <c r="V62" s="7">
        <f t="shared" si="41"/>
        <v>1.7660818713450294E-2</v>
      </c>
      <c r="W62" s="2"/>
      <c r="X62" s="6">
        <f t="shared" si="42"/>
        <v>74.559999999999945</v>
      </c>
      <c r="Y62" s="2"/>
      <c r="Z62" s="7">
        <f t="shared" si="43"/>
        <v>6.1721854304635719E-2</v>
      </c>
    </row>
    <row r="63" spans="1:26" s="26" customFormat="1" outlineLevel="1" collapsed="1" x14ac:dyDescent="0.25">
      <c r="A63" s="25"/>
      <c r="B63" s="13" t="str">
        <f>CONCATENATE("     ","Interest                                          ")</f>
        <v xml:space="preserve">     Interest                                          </v>
      </c>
      <c r="C63" s="13"/>
      <c r="D63" s="1">
        <f>SUM(OSRRefD22_10x_0)</f>
        <v>7630</v>
      </c>
      <c r="E63" s="1"/>
      <c r="F63" s="5">
        <f t="shared" si="36"/>
        <v>0.1796034506460075</v>
      </c>
      <c r="G63" s="1"/>
      <c r="H63" s="1">
        <f>SUM(OSRRefH22_10x_0)</f>
        <v>7754</v>
      </c>
      <c r="I63" s="1"/>
      <c r="J63" s="5">
        <f t="shared" si="37"/>
        <v>0.17622727272727273</v>
      </c>
      <c r="K63" s="1"/>
      <c r="L63" s="1">
        <f t="shared" si="38"/>
        <v>-124</v>
      </c>
      <c r="M63" s="1"/>
      <c r="N63" s="5">
        <f t="shared" si="39"/>
        <v>-1.5991746195511993E-2</v>
      </c>
      <c r="O63" s="13"/>
      <c r="P63" s="1">
        <f>SUM(OSRRefP22_10x_0)</f>
        <v>15260</v>
      </c>
      <c r="Q63" s="1"/>
      <c r="R63" s="5">
        <f t="shared" si="40"/>
        <v>0.22508918384520471</v>
      </c>
      <c r="S63" s="1"/>
      <c r="T63" s="1">
        <f>SUM(OSRRefT22_10x_0)</f>
        <v>15508</v>
      </c>
      <c r="U63" s="1"/>
      <c r="V63" s="5">
        <f t="shared" si="41"/>
        <v>0.22672514619883041</v>
      </c>
      <c r="W63" s="1"/>
      <c r="X63" s="1">
        <f t="shared" si="42"/>
        <v>-248</v>
      </c>
      <c r="Y63" s="1"/>
      <c r="Z63" s="5">
        <f t="shared" si="43"/>
        <v>-1.5991746195511993E-2</v>
      </c>
    </row>
    <row r="64" spans="1:26" s="24" customFormat="1" hidden="1" outlineLevel="2" x14ac:dyDescent="0.25">
      <c r="A64" s="27"/>
      <c r="B64" s="11" t="str">
        <f>CONCATENATE("          ", "6401", " - ", "INTEREST EXPENSE")</f>
        <v xml:space="preserve">          6401 - INTEREST EXPENSE</v>
      </c>
      <c r="C64" s="11"/>
      <c r="D64" s="6">
        <v>7630</v>
      </c>
      <c r="E64" s="2"/>
      <c r="F64" s="7">
        <f t="shared" si="36"/>
        <v>0.1796034506460075</v>
      </c>
      <c r="G64" s="2"/>
      <c r="H64" s="6">
        <v>7754</v>
      </c>
      <c r="I64" s="2"/>
      <c r="J64" s="7">
        <f t="shared" si="37"/>
        <v>0.17622727272727273</v>
      </c>
      <c r="K64" s="2"/>
      <c r="L64" s="6">
        <f t="shared" si="38"/>
        <v>-124</v>
      </c>
      <c r="M64" s="2"/>
      <c r="N64" s="7">
        <f t="shared" si="39"/>
        <v>-1.5991746195511993E-2</v>
      </c>
      <c r="O64" s="11"/>
      <c r="P64" s="6">
        <v>15260</v>
      </c>
      <c r="Q64" s="2"/>
      <c r="R64" s="7">
        <f t="shared" si="40"/>
        <v>0.22508918384520471</v>
      </c>
      <c r="S64" s="2"/>
      <c r="T64" s="6">
        <v>15508</v>
      </c>
      <c r="U64" s="2"/>
      <c r="V64" s="7">
        <f t="shared" si="41"/>
        <v>0.22672514619883041</v>
      </c>
      <c r="W64" s="2"/>
      <c r="X64" s="6">
        <f t="shared" si="42"/>
        <v>-248</v>
      </c>
      <c r="Y64" s="2"/>
      <c r="Z64" s="7">
        <f t="shared" si="43"/>
        <v>-1.5991746195511993E-2</v>
      </c>
    </row>
    <row r="65" spans="1:26" s="26" customFormat="1" outlineLevel="1" collapsed="1" x14ac:dyDescent="0.25">
      <c r="A65" s="25"/>
      <c r="B65" s="13" t="str">
        <f>CONCATENATE("     ","Repair and Maintenance                            ")</f>
        <v xml:space="preserve">     Repair and Maintenance                            </v>
      </c>
      <c r="C65" s="13"/>
      <c r="D65" s="1">
        <f>SUM(OSRRefD22_11x_0)</f>
        <v>660.61</v>
      </c>
      <c r="E65" s="1"/>
      <c r="F65" s="5">
        <f t="shared" si="36"/>
        <v>1.5550175036862256E-2</v>
      </c>
      <c r="G65" s="1"/>
      <c r="H65" s="1">
        <f>SUM(OSRRefH22_11x_0)</f>
        <v>1200</v>
      </c>
      <c r="I65" s="1"/>
      <c r="J65" s="5">
        <f t="shared" si="37"/>
        <v>2.7272727272727271E-2</v>
      </c>
      <c r="K65" s="1"/>
      <c r="L65" s="1">
        <f t="shared" si="38"/>
        <v>-539.39</v>
      </c>
      <c r="M65" s="1"/>
      <c r="N65" s="5">
        <f t="shared" si="39"/>
        <v>-0.44949166666666668</v>
      </c>
      <c r="O65" s="13"/>
      <c r="P65" s="1">
        <f>SUM(OSRRefP22_11x_0)</f>
        <v>1498.01</v>
      </c>
      <c r="Q65" s="1"/>
      <c r="R65" s="5">
        <f t="shared" si="40"/>
        <v>2.2096058210481984E-2</v>
      </c>
      <c r="S65" s="1"/>
      <c r="T65" s="1">
        <f>SUM(OSRRefT22_11x_0)</f>
        <v>4200</v>
      </c>
      <c r="U65" s="1"/>
      <c r="V65" s="5">
        <f t="shared" si="41"/>
        <v>6.1403508771929821E-2</v>
      </c>
      <c r="W65" s="1"/>
      <c r="X65" s="1">
        <f t="shared" si="42"/>
        <v>-2701.99</v>
      </c>
      <c r="Y65" s="1"/>
      <c r="Z65" s="5">
        <f t="shared" si="43"/>
        <v>-0.64333095238095228</v>
      </c>
    </row>
    <row r="66" spans="1:26" s="24" customFormat="1" hidden="1" outlineLevel="2" x14ac:dyDescent="0.25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660.61</v>
      </c>
      <c r="E66" s="2"/>
      <c r="F66" s="7">
        <f t="shared" si="36"/>
        <v>1.5550175036862256E-2</v>
      </c>
      <c r="G66" s="2"/>
      <c r="H66" s="6">
        <v>1200</v>
      </c>
      <c r="I66" s="2"/>
      <c r="J66" s="7">
        <f t="shared" si="37"/>
        <v>2.7272727272727271E-2</v>
      </c>
      <c r="K66" s="2"/>
      <c r="L66" s="6">
        <f t="shared" si="38"/>
        <v>-539.39</v>
      </c>
      <c r="M66" s="2"/>
      <c r="N66" s="7">
        <f t="shared" si="39"/>
        <v>-0.44949166666666668</v>
      </c>
      <c r="O66" s="11"/>
      <c r="P66" s="6">
        <v>1498.01</v>
      </c>
      <c r="Q66" s="2"/>
      <c r="R66" s="7">
        <f t="shared" si="40"/>
        <v>2.2096058210481984E-2</v>
      </c>
      <c r="S66" s="2"/>
      <c r="T66" s="6">
        <v>4200</v>
      </c>
      <c r="U66" s="2"/>
      <c r="V66" s="7">
        <f t="shared" si="41"/>
        <v>6.1403508771929821E-2</v>
      </c>
      <c r="W66" s="2"/>
      <c r="X66" s="6">
        <f t="shared" si="42"/>
        <v>-2701.99</v>
      </c>
      <c r="Y66" s="2"/>
      <c r="Z66" s="7">
        <f t="shared" si="43"/>
        <v>-0.64333095238095228</v>
      </c>
    </row>
    <row r="67" spans="1:26" s="26" customFormat="1" outlineLevel="1" collapsed="1" x14ac:dyDescent="0.25">
      <c r="A67" s="25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SUM(OSRRefD22_12x_0)</f>
        <v>3663.96</v>
      </c>
      <c r="E67" s="1"/>
      <c r="F67" s="5">
        <f t="shared" si="36"/>
        <v>8.6246377330137042E-2</v>
      </c>
      <c r="G67" s="1"/>
      <c r="H67" s="1">
        <f>SUM(OSRRefH22_12x_0)</f>
        <v>4035</v>
      </c>
      <c r="I67" s="1"/>
      <c r="J67" s="5">
        <f t="shared" si="37"/>
        <v>9.1704545454545455E-2</v>
      </c>
      <c r="K67" s="1"/>
      <c r="L67" s="1">
        <f t="shared" si="38"/>
        <v>-371.03999999999996</v>
      </c>
      <c r="M67" s="1"/>
      <c r="N67" s="5">
        <f t="shared" si="39"/>
        <v>-9.1955390334572479E-2</v>
      </c>
      <c r="O67" s="13"/>
      <c r="P67" s="1">
        <f>SUM(OSRRefP22_12x_0)</f>
        <v>7957.66</v>
      </c>
      <c r="Q67" s="1"/>
      <c r="R67" s="5">
        <f t="shared" si="40"/>
        <v>0.11737766675738084</v>
      </c>
      <c r="S67" s="1"/>
      <c r="T67" s="1">
        <f>SUM(OSRRefT22_12x_0)</f>
        <v>8070</v>
      </c>
      <c r="U67" s="1"/>
      <c r="V67" s="5">
        <f t="shared" si="41"/>
        <v>0.11798245614035088</v>
      </c>
      <c r="W67" s="1"/>
      <c r="X67" s="1">
        <f t="shared" si="42"/>
        <v>-112.34000000000015</v>
      </c>
      <c r="Y67" s="1"/>
      <c r="Z67" s="5">
        <f t="shared" si="43"/>
        <v>-1.3920693928128891E-2</v>
      </c>
    </row>
    <row r="68" spans="1:26" s="24" customFormat="1" hidden="1" outlineLevel="2" x14ac:dyDescent="0.25">
      <c r="A68" s="27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328.54</v>
      </c>
      <c r="E68" s="2"/>
      <c r="F68" s="7">
        <f t="shared" si="36"/>
        <v>7.733540979716816E-3</v>
      </c>
      <c r="G68" s="2"/>
      <c r="H68" s="6">
        <v>350</v>
      </c>
      <c r="I68" s="2"/>
      <c r="J68" s="7">
        <f t="shared" si="37"/>
        <v>7.9545454545454537E-3</v>
      </c>
      <c r="K68" s="2"/>
      <c r="L68" s="6">
        <f t="shared" si="38"/>
        <v>-21.45999999999998</v>
      </c>
      <c r="M68" s="2"/>
      <c r="N68" s="7">
        <f t="shared" si="39"/>
        <v>-6.1314285714285655E-2</v>
      </c>
      <c r="O68" s="11"/>
      <c r="P68" s="6">
        <v>657.08</v>
      </c>
      <c r="Q68" s="2"/>
      <c r="R68" s="7">
        <f t="shared" si="40"/>
        <v>9.6921101520974513E-3</v>
      </c>
      <c r="S68" s="2"/>
      <c r="T68" s="6">
        <v>700</v>
      </c>
      <c r="U68" s="2"/>
      <c r="V68" s="7">
        <f t="shared" si="41"/>
        <v>1.023391812865497E-2</v>
      </c>
      <c r="W68" s="2"/>
      <c r="X68" s="6">
        <f t="shared" si="42"/>
        <v>-42.919999999999959</v>
      </c>
      <c r="Y68" s="2"/>
      <c r="Z68" s="7">
        <f t="shared" si="43"/>
        <v>-6.1314285714285655E-2</v>
      </c>
    </row>
    <row r="69" spans="1:26" s="24" customFormat="1" hidden="1" outlineLevel="2" x14ac:dyDescent="0.25">
      <c r="A69" s="27"/>
      <c r="B69" s="11" t="str">
        <f>CONCATENATE("          ", "6283", " - ", "PLANT SERVICE")</f>
        <v xml:space="preserve">          6283 - PLANT SERVICE</v>
      </c>
      <c r="C69" s="11"/>
      <c r="D69" s="6">
        <v>61.55</v>
      </c>
      <c r="E69" s="2"/>
      <c r="F69" s="7">
        <f t="shared" si="36"/>
        <v>1.4488325540316857E-3</v>
      </c>
      <c r="G69" s="2"/>
      <c r="H69" s="6">
        <v>60</v>
      </c>
      <c r="I69" s="2"/>
      <c r="J69" s="7">
        <f t="shared" si="37"/>
        <v>1.3636363636363637E-3</v>
      </c>
      <c r="K69" s="2"/>
      <c r="L69" s="6">
        <f t="shared" si="38"/>
        <v>1.5499999999999972</v>
      </c>
      <c r="M69" s="2"/>
      <c r="N69" s="7">
        <f t="shared" si="39"/>
        <v>2.5833333333333285E-2</v>
      </c>
      <c r="O69" s="11"/>
      <c r="P69" s="6">
        <v>123.1</v>
      </c>
      <c r="Q69" s="2"/>
      <c r="R69" s="7">
        <f t="shared" si="40"/>
        <v>1.8157587504157731E-3</v>
      </c>
      <c r="S69" s="2"/>
      <c r="T69" s="6">
        <v>120</v>
      </c>
      <c r="U69" s="2"/>
      <c r="V69" s="7">
        <f t="shared" si="41"/>
        <v>1.7543859649122807E-3</v>
      </c>
      <c r="W69" s="2"/>
      <c r="X69" s="6">
        <f t="shared" si="42"/>
        <v>3.0999999999999943</v>
      </c>
      <c r="Y69" s="2"/>
      <c r="Z69" s="7">
        <f t="shared" si="43"/>
        <v>2.5833333333333285E-2</v>
      </c>
    </row>
    <row r="70" spans="1:26" s="24" customFormat="1" hidden="1" outlineLevel="2" x14ac:dyDescent="0.25">
      <c r="A70" s="27"/>
      <c r="B70" s="11" t="str">
        <f>CONCATENATE("          ", "6284", " - ", "TRASH REMOVAL EXPENSE")</f>
        <v xml:space="preserve">          6284 - TRASH REMOVAL EXPENSE</v>
      </c>
      <c r="C70" s="11"/>
      <c r="D70" s="6"/>
      <c r="E70" s="2"/>
      <c r="F70" s="7">
        <f t="shared" si="36"/>
        <v>0</v>
      </c>
      <c r="G70" s="2"/>
      <c r="H70" s="6">
        <v>475</v>
      </c>
      <c r="I70" s="2"/>
      <c r="J70" s="7">
        <f t="shared" si="37"/>
        <v>1.0795454545454546E-2</v>
      </c>
      <c r="K70" s="2"/>
      <c r="L70" s="6">
        <f t="shared" si="38"/>
        <v>-475</v>
      </c>
      <c r="M70" s="2"/>
      <c r="N70" s="7">
        <f t="shared" si="39"/>
        <v>-1</v>
      </c>
      <c r="O70" s="11"/>
      <c r="P70" s="6">
        <v>623</v>
      </c>
      <c r="Q70" s="2"/>
      <c r="R70" s="7">
        <f t="shared" si="40"/>
        <v>9.1894208083592738E-3</v>
      </c>
      <c r="S70" s="2"/>
      <c r="T70" s="6">
        <v>950</v>
      </c>
      <c r="U70" s="2"/>
      <c r="V70" s="7">
        <f t="shared" si="41"/>
        <v>1.3888888888888888E-2</v>
      </c>
      <c r="W70" s="2"/>
      <c r="X70" s="6">
        <f t="shared" si="42"/>
        <v>-327</v>
      </c>
      <c r="Y70" s="2"/>
      <c r="Z70" s="7">
        <f t="shared" si="43"/>
        <v>-0.34421052631578947</v>
      </c>
    </row>
    <row r="71" spans="1:26" s="24" customFormat="1" hidden="1" outlineLevel="2" x14ac:dyDescent="0.25">
      <c r="A71" s="27"/>
      <c r="B71" s="11" t="str">
        <f>CONCATENATE("          ", "6285", " - ", "JANITORIAL SERVICES")</f>
        <v xml:space="preserve">          6285 - JANITORIAL SERVICES</v>
      </c>
      <c r="C71" s="11"/>
      <c r="D71" s="6">
        <v>3040.95</v>
      </c>
      <c r="E71" s="2"/>
      <c r="F71" s="7">
        <f t="shared" si="36"/>
        <v>7.1581273033024445E-2</v>
      </c>
      <c r="G71" s="2"/>
      <c r="H71" s="6">
        <v>3000</v>
      </c>
      <c r="I71" s="2"/>
      <c r="J71" s="7">
        <f t="shared" si="37"/>
        <v>6.8181818181818177E-2</v>
      </c>
      <c r="K71" s="2"/>
      <c r="L71" s="6">
        <f t="shared" si="38"/>
        <v>40.949999999999818</v>
      </c>
      <c r="M71" s="2"/>
      <c r="N71" s="7">
        <f t="shared" si="39"/>
        <v>1.364999999999994E-2</v>
      </c>
      <c r="O71" s="11"/>
      <c r="P71" s="6">
        <v>6081.9</v>
      </c>
      <c r="Q71" s="2"/>
      <c r="R71" s="7">
        <f t="shared" si="40"/>
        <v>8.9709692478908934E-2</v>
      </c>
      <c r="S71" s="2"/>
      <c r="T71" s="6">
        <v>6000</v>
      </c>
      <c r="U71" s="2"/>
      <c r="V71" s="7">
        <f t="shared" si="41"/>
        <v>8.771929824561403E-2</v>
      </c>
      <c r="W71" s="2"/>
      <c r="X71" s="6">
        <f t="shared" si="42"/>
        <v>81.899999999999636</v>
      </c>
      <c r="Y71" s="2"/>
      <c r="Z71" s="7">
        <f t="shared" si="43"/>
        <v>1.364999999999994E-2</v>
      </c>
    </row>
    <row r="72" spans="1:26" s="24" customFormat="1" hidden="1" outlineLevel="2" x14ac:dyDescent="0.25">
      <c r="A72" s="27"/>
      <c r="B72" s="11" t="str">
        <f>CONCATENATE("          ", "6286", " - ", "LAUNDRY EXPENSE")</f>
        <v xml:space="preserve">          6286 - LAUNDRY EXPENSE</v>
      </c>
      <c r="C72" s="11"/>
      <c r="D72" s="6">
        <v>232.92</v>
      </c>
      <c r="E72" s="2"/>
      <c r="F72" s="7">
        <f t="shared" si="36"/>
        <v>5.4827307633640975E-3</v>
      </c>
      <c r="G72" s="2"/>
      <c r="H72" s="6">
        <v>150</v>
      </c>
      <c r="I72" s="2"/>
      <c r="J72" s="7">
        <f t="shared" si="37"/>
        <v>3.4090909090909089E-3</v>
      </c>
      <c r="K72" s="2"/>
      <c r="L72" s="6">
        <f t="shared" si="38"/>
        <v>82.919999999999987</v>
      </c>
      <c r="M72" s="2"/>
      <c r="N72" s="7">
        <f t="shared" si="39"/>
        <v>0.55279999999999996</v>
      </c>
      <c r="O72" s="11"/>
      <c r="P72" s="6">
        <v>472.58</v>
      </c>
      <c r="Q72" s="2"/>
      <c r="R72" s="7">
        <f t="shared" si="40"/>
        <v>6.9706845675993993E-3</v>
      </c>
      <c r="S72" s="2"/>
      <c r="T72" s="6">
        <v>300</v>
      </c>
      <c r="U72" s="2"/>
      <c r="V72" s="7">
        <f t="shared" si="41"/>
        <v>4.3859649122807015E-3</v>
      </c>
      <c r="W72" s="2"/>
      <c r="X72" s="6">
        <f t="shared" si="42"/>
        <v>172.57999999999998</v>
      </c>
      <c r="Y72" s="2"/>
      <c r="Z72" s="7">
        <f t="shared" si="43"/>
        <v>0.57526666666666659</v>
      </c>
    </row>
    <row r="73" spans="1:26" s="26" customFormat="1" outlineLevel="1" collapsed="1" x14ac:dyDescent="0.25">
      <c r="A73" s="25"/>
      <c r="B73" s="13" t="str">
        <f>CONCATENATE("     ","Subscriptions &amp; Dues                              ")</f>
        <v xml:space="preserve">     Subscriptions &amp; Dues                              </v>
      </c>
      <c r="C73" s="13"/>
      <c r="D73" s="1">
        <f>SUM(OSRRefD22_13x_0)</f>
        <v>196.71</v>
      </c>
      <c r="E73" s="1"/>
      <c r="F73" s="5">
        <f t="shared" ref="F73:F83" si="44">IF(D$12=0,0,D73/D$12)</f>
        <v>4.6303793940466759E-3</v>
      </c>
      <c r="G73" s="1"/>
      <c r="H73" s="1">
        <f>SUM(OSRRefH22_13x_0)</f>
        <v>200</v>
      </c>
      <c r="I73" s="1"/>
      <c r="J73" s="5">
        <f t="shared" ref="J73:J83" si="45">IF(H$12=0,0,H73/H$12)</f>
        <v>4.5454545454545452E-3</v>
      </c>
      <c r="K73" s="1"/>
      <c r="L73" s="1">
        <f t="shared" ref="L73:L83" si="46">+D73-H73</f>
        <v>-3.289999999999992</v>
      </c>
      <c r="M73" s="1"/>
      <c r="N73" s="5">
        <f t="shared" ref="N73:N83" si="47">IF(H73=0,0,L73/H73)</f>
        <v>-1.6449999999999961E-2</v>
      </c>
      <c r="O73" s="13"/>
      <c r="P73" s="1">
        <f>SUM(OSRRefP22_13x_0)</f>
        <v>393.42</v>
      </c>
      <c r="Q73" s="1"/>
      <c r="R73" s="5">
        <f t="shared" ref="R73:R83" si="48">IF(P$12=0,0,P73/P$12)</f>
        <v>5.8030528642451142E-3</v>
      </c>
      <c r="S73" s="1"/>
      <c r="T73" s="1">
        <f>SUM(OSRRefT22_13x_0)</f>
        <v>400</v>
      </c>
      <c r="U73" s="1"/>
      <c r="V73" s="5">
        <f t="shared" ref="V73:V83" si="49">IF(T$12=0,0,T73/T$12)</f>
        <v>5.8479532163742687E-3</v>
      </c>
      <c r="W73" s="1"/>
      <c r="X73" s="1">
        <f t="shared" ref="X73:X83" si="50">+P73-T73</f>
        <v>-6.5799999999999841</v>
      </c>
      <c r="Y73" s="1"/>
      <c r="Z73" s="5">
        <f t="shared" ref="Z73:Z83" si="51">IF(T73=0,0,X73/T73)</f>
        <v>-1.6449999999999961E-2</v>
      </c>
    </row>
    <row r="74" spans="1:26" s="24" customFormat="1" hidden="1" outlineLevel="2" x14ac:dyDescent="0.25">
      <c r="A74" s="27"/>
      <c r="B74" s="11" t="str">
        <f>CONCATENATE("          ", "6275", " - ", "SUBSCRIPTIONS")</f>
        <v xml:space="preserve">          6275 - SUBSCRIPTIONS</v>
      </c>
      <c r="C74" s="11"/>
      <c r="D74" s="6">
        <v>196.71</v>
      </c>
      <c r="E74" s="2"/>
      <c r="F74" s="7">
        <f t="shared" si="44"/>
        <v>4.6303793940466759E-3</v>
      </c>
      <c r="G74" s="2"/>
      <c r="H74" s="6">
        <v>200</v>
      </c>
      <c r="I74" s="2"/>
      <c r="J74" s="7">
        <f t="shared" si="45"/>
        <v>4.5454545454545452E-3</v>
      </c>
      <c r="K74" s="2"/>
      <c r="L74" s="6">
        <f t="shared" si="46"/>
        <v>-3.289999999999992</v>
      </c>
      <c r="M74" s="2"/>
      <c r="N74" s="7">
        <f t="shared" si="47"/>
        <v>-1.6449999999999961E-2</v>
      </c>
      <c r="O74" s="11"/>
      <c r="P74" s="6">
        <v>393.42</v>
      </c>
      <c r="Q74" s="2"/>
      <c r="R74" s="7">
        <f t="shared" si="48"/>
        <v>5.8030528642451142E-3</v>
      </c>
      <c r="S74" s="2"/>
      <c r="T74" s="6">
        <v>400</v>
      </c>
      <c r="U74" s="2"/>
      <c r="V74" s="7">
        <f t="shared" si="49"/>
        <v>5.8479532163742687E-3</v>
      </c>
      <c r="W74" s="2"/>
      <c r="X74" s="6">
        <f t="shared" si="50"/>
        <v>-6.5799999999999841</v>
      </c>
      <c r="Y74" s="2"/>
      <c r="Z74" s="7">
        <f t="shared" si="51"/>
        <v>-1.6449999999999961E-2</v>
      </c>
    </row>
    <row r="75" spans="1:26" s="26" customFormat="1" outlineLevel="1" collapsed="1" x14ac:dyDescent="0.25">
      <c r="A75" s="25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SUM(OSRRefD22_14x_0)</f>
        <v>6442.49</v>
      </c>
      <c r="E75" s="1"/>
      <c r="F75" s="5">
        <f t="shared" si="44"/>
        <v>0.15165051569494062</v>
      </c>
      <c r="G75" s="1"/>
      <c r="H75" s="1">
        <f>SUM(OSRRefH22_14x_0)</f>
        <v>1810</v>
      </c>
      <c r="I75" s="1"/>
      <c r="J75" s="5">
        <f t="shared" si="45"/>
        <v>4.1136363636363638E-2</v>
      </c>
      <c r="K75" s="1"/>
      <c r="L75" s="1">
        <f t="shared" si="46"/>
        <v>4632.49</v>
      </c>
      <c r="M75" s="1"/>
      <c r="N75" s="5">
        <f t="shared" si="47"/>
        <v>2.5593867403314916</v>
      </c>
      <c r="O75" s="13"/>
      <c r="P75" s="1">
        <f>SUM(OSRRefP22_14x_0)</f>
        <v>7431.25</v>
      </c>
      <c r="Q75" s="1"/>
      <c r="R75" s="5">
        <f t="shared" si="48"/>
        <v>0.10961297493117152</v>
      </c>
      <c r="S75" s="1"/>
      <c r="T75" s="1">
        <f>SUM(OSRRefT22_14x_0)</f>
        <v>4020</v>
      </c>
      <c r="U75" s="1"/>
      <c r="V75" s="5">
        <f t="shared" si="49"/>
        <v>5.8771929824561406E-2</v>
      </c>
      <c r="W75" s="1"/>
      <c r="X75" s="1">
        <f t="shared" si="50"/>
        <v>3411.25</v>
      </c>
      <c r="Y75" s="1"/>
      <c r="Z75" s="5">
        <f t="shared" si="51"/>
        <v>0.84856965174129351</v>
      </c>
    </row>
    <row r="76" spans="1:26" s="24" customFormat="1" hidden="1" outlineLevel="2" x14ac:dyDescent="0.25">
      <c r="A76" s="27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4"/>
        <v>0</v>
      </c>
      <c r="G76" s="2"/>
      <c r="H76" s="6">
        <v>200</v>
      </c>
      <c r="I76" s="2"/>
      <c r="J76" s="7">
        <f t="shared" si="45"/>
        <v>4.5454545454545452E-3</v>
      </c>
      <c r="K76" s="2"/>
      <c r="L76" s="6">
        <f t="shared" si="46"/>
        <v>-200</v>
      </c>
      <c r="M76" s="2"/>
      <c r="N76" s="7">
        <f t="shared" si="47"/>
        <v>-1</v>
      </c>
      <c r="O76" s="11"/>
      <c r="P76" s="6"/>
      <c r="Q76" s="2"/>
      <c r="R76" s="7">
        <f t="shared" si="48"/>
        <v>0</v>
      </c>
      <c r="S76" s="2"/>
      <c r="T76" s="6">
        <v>400</v>
      </c>
      <c r="U76" s="2"/>
      <c r="V76" s="7">
        <f t="shared" si="49"/>
        <v>5.8479532163742687E-3</v>
      </c>
      <c r="W76" s="2"/>
      <c r="X76" s="6">
        <f t="shared" si="50"/>
        <v>-400</v>
      </c>
      <c r="Y76" s="2"/>
      <c r="Z76" s="7">
        <f t="shared" si="51"/>
        <v>-1</v>
      </c>
    </row>
    <row r="77" spans="1:26" s="24" customFormat="1" hidden="1" outlineLevel="2" x14ac:dyDescent="0.25">
      <c r="A77" s="27"/>
      <c r="B77" s="11" t="str">
        <f>CONCATENATE("          ", "6237", " - ", "JANITORIAL SUPPLIES")</f>
        <v xml:space="preserve">          6237 - JANITORIAL SUPPLIES</v>
      </c>
      <c r="C77" s="11"/>
      <c r="D77" s="6">
        <v>718.66</v>
      </c>
      <c r="E77" s="2"/>
      <c r="F77" s="7">
        <f t="shared" si="44"/>
        <v>1.6916620686927883E-2</v>
      </c>
      <c r="G77" s="2"/>
      <c r="H77" s="6">
        <v>400</v>
      </c>
      <c r="I77" s="2"/>
      <c r="J77" s="7">
        <f t="shared" si="45"/>
        <v>9.0909090909090905E-3</v>
      </c>
      <c r="K77" s="2"/>
      <c r="L77" s="6">
        <f t="shared" si="46"/>
        <v>318.65999999999997</v>
      </c>
      <c r="M77" s="2"/>
      <c r="N77" s="7">
        <f t="shared" si="47"/>
        <v>0.79664999999999997</v>
      </c>
      <c r="O77" s="11"/>
      <c r="P77" s="6">
        <v>1241.52</v>
      </c>
      <c r="Q77" s="2"/>
      <c r="R77" s="7">
        <f t="shared" si="48"/>
        <v>1.8312760388433717E-2</v>
      </c>
      <c r="S77" s="2"/>
      <c r="T77" s="6">
        <v>650</v>
      </c>
      <c r="U77" s="2"/>
      <c r="V77" s="7">
        <f t="shared" si="49"/>
        <v>9.5029239766081866E-3</v>
      </c>
      <c r="W77" s="2"/>
      <c r="X77" s="6">
        <f t="shared" si="50"/>
        <v>591.52</v>
      </c>
      <c r="Y77" s="2"/>
      <c r="Z77" s="7">
        <f t="shared" si="51"/>
        <v>0.9100307692307692</v>
      </c>
    </row>
    <row r="78" spans="1:26" s="24" customFormat="1" hidden="1" outlineLevel="2" x14ac:dyDescent="0.25">
      <c r="A78" s="27"/>
      <c r="B78" s="11" t="str">
        <f>CONCATENATE("          ", "6239", " - ", "KITCHEN SUPPLIES")</f>
        <v xml:space="preserve">          6239 - KITCHEN SUPPLIES</v>
      </c>
      <c r="C78" s="11"/>
      <c r="D78" s="6">
        <v>72.53</v>
      </c>
      <c r="E78" s="2"/>
      <c r="F78" s="7">
        <f t="shared" si="44"/>
        <v>1.7072920413309207E-3</v>
      </c>
      <c r="G78" s="2"/>
      <c r="H78" s="6">
        <v>200</v>
      </c>
      <c r="I78" s="2"/>
      <c r="J78" s="7">
        <f t="shared" si="45"/>
        <v>4.5454545454545452E-3</v>
      </c>
      <c r="K78" s="2"/>
      <c r="L78" s="6">
        <f t="shared" si="46"/>
        <v>-127.47</v>
      </c>
      <c r="M78" s="2"/>
      <c r="N78" s="7">
        <f t="shared" si="47"/>
        <v>-0.63734999999999997</v>
      </c>
      <c r="O78" s="11"/>
      <c r="P78" s="6">
        <v>135.76</v>
      </c>
      <c r="Q78" s="2"/>
      <c r="R78" s="7">
        <f t="shared" si="48"/>
        <v>2.0024972214171028E-3</v>
      </c>
      <c r="S78" s="2"/>
      <c r="T78" s="6">
        <v>450</v>
      </c>
      <c r="U78" s="2"/>
      <c r="V78" s="7">
        <f t="shared" si="49"/>
        <v>6.5789473684210523E-3</v>
      </c>
      <c r="W78" s="2"/>
      <c r="X78" s="6">
        <f t="shared" si="50"/>
        <v>-314.24</v>
      </c>
      <c r="Y78" s="2"/>
      <c r="Z78" s="7">
        <f t="shared" si="51"/>
        <v>-0.6983111111111111</v>
      </c>
    </row>
    <row r="79" spans="1:26" s="24" customFormat="1" hidden="1" outlineLevel="2" x14ac:dyDescent="0.25">
      <c r="A79" s="27"/>
      <c r="B79" s="11" t="str">
        <f>CONCATENATE("          ", "6241", " - ", "OFFICE EXPENSE")</f>
        <v xml:space="preserve">          6241 - OFFICE EXPENSE</v>
      </c>
      <c r="C79" s="11"/>
      <c r="D79" s="6">
        <v>4739.95</v>
      </c>
      <c r="E79" s="2"/>
      <c r="F79" s="7">
        <f t="shared" si="44"/>
        <v>0.11157423012969112</v>
      </c>
      <c r="G79" s="2"/>
      <c r="H79" s="6">
        <v>100</v>
      </c>
      <c r="I79" s="2"/>
      <c r="J79" s="7">
        <f t="shared" si="45"/>
        <v>2.2727272727272726E-3</v>
      </c>
      <c r="K79" s="2"/>
      <c r="L79" s="6">
        <f t="shared" si="46"/>
        <v>4639.95</v>
      </c>
      <c r="M79" s="2"/>
      <c r="N79" s="7">
        <f t="shared" si="47"/>
        <v>46.399499999999996</v>
      </c>
      <c r="O79" s="11"/>
      <c r="P79" s="6">
        <v>4784.01</v>
      </c>
      <c r="Q79" s="2"/>
      <c r="R79" s="7">
        <f t="shared" si="48"/>
        <v>7.0565459135471673E-2</v>
      </c>
      <c r="S79" s="2"/>
      <c r="T79" s="6">
        <v>250</v>
      </c>
      <c r="U79" s="2"/>
      <c r="V79" s="7">
        <f t="shared" si="49"/>
        <v>3.6549707602339179E-3</v>
      </c>
      <c r="W79" s="2"/>
      <c r="X79" s="6">
        <f t="shared" si="50"/>
        <v>4534.01</v>
      </c>
      <c r="Y79" s="2"/>
      <c r="Z79" s="7">
        <f t="shared" si="51"/>
        <v>18.136040000000001</v>
      </c>
    </row>
    <row r="80" spans="1:26" s="24" customFormat="1" hidden="1" outlineLevel="2" x14ac:dyDescent="0.25">
      <c r="A80" s="27"/>
      <c r="B80" s="11" t="str">
        <f>CONCATENATE("          ", "6243", " - ", "PAPER SUPPLIES")</f>
        <v xml:space="preserve">          6243 - PAPER SUPPLIES</v>
      </c>
      <c r="C80" s="11"/>
      <c r="D80" s="6">
        <v>500.79</v>
      </c>
      <c r="E80" s="2"/>
      <c r="F80" s="7">
        <f t="shared" si="44"/>
        <v>1.1788153610617837E-2</v>
      </c>
      <c r="G80" s="2"/>
      <c r="H80" s="6">
        <v>750</v>
      </c>
      <c r="I80" s="2"/>
      <c r="J80" s="7">
        <f t="shared" si="45"/>
        <v>1.7045454545454544E-2</v>
      </c>
      <c r="K80" s="2"/>
      <c r="L80" s="6">
        <f t="shared" si="46"/>
        <v>-249.20999999999998</v>
      </c>
      <c r="M80" s="2"/>
      <c r="N80" s="7">
        <f t="shared" si="47"/>
        <v>-0.33227999999999996</v>
      </c>
      <c r="O80" s="11"/>
      <c r="P80" s="6">
        <v>859.4</v>
      </c>
      <c r="Q80" s="2"/>
      <c r="R80" s="7">
        <f t="shared" si="48"/>
        <v>1.2676385622317753E-2</v>
      </c>
      <c r="S80" s="2"/>
      <c r="T80" s="6">
        <v>1250</v>
      </c>
      <c r="U80" s="2"/>
      <c r="V80" s="7">
        <f t="shared" si="49"/>
        <v>1.827485380116959E-2</v>
      </c>
      <c r="W80" s="2"/>
      <c r="X80" s="6">
        <f t="shared" si="50"/>
        <v>-390.6</v>
      </c>
      <c r="Y80" s="2"/>
      <c r="Z80" s="7">
        <f t="shared" si="51"/>
        <v>-0.31248000000000004</v>
      </c>
    </row>
    <row r="81" spans="1:26" s="24" customFormat="1" hidden="1" outlineLevel="2" x14ac:dyDescent="0.25">
      <c r="A81" s="27"/>
      <c r="B81" s="11" t="str">
        <f>CONCATENATE("          ", "6244", " - ", "SAFETY SUPPLY EXPENSE")</f>
        <v xml:space="preserve">          6244 - SAFETY SUPPLY EXPENSE</v>
      </c>
      <c r="C81" s="11"/>
      <c r="D81" s="6"/>
      <c r="E81" s="2"/>
      <c r="F81" s="7">
        <f t="shared" si="44"/>
        <v>0</v>
      </c>
      <c r="G81" s="2"/>
      <c r="H81" s="6">
        <v>60</v>
      </c>
      <c r="I81" s="2"/>
      <c r="J81" s="7">
        <f t="shared" si="45"/>
        <v>1.3636363636363637E-3</v>
      </c>
      <c r="K81" s="2"/>
      <c r="L81" s="6">
        <f t="shared" si="46"/>
        <v>-60</v>
      </c>
      <c r="M81" s="2"/>
      <c r="N81" s="7">
        <f t="shared" si="47"/>
        <v>-1</v>
      </c>
      <c r="O81" s="11"/>
      <c r="P81" s="6"/>
      <c r="Q81" s="2"/>
      <c r="R81" s="7">
        <f t="shared" si="48"/>
        <v>0</v>
      </c>
      <c r="S81" s="2"/>
      <c r="T81" s="6">
        <v>120</v>
      </c>
      <c r="U81" s="2"/>
      <c r="V81" s="7">
        <f t="shared" si="49"/>
        <v>1.7543859649122807E-3</v>
      </c>
      <c r="W81" s="2"/>
      <c r="X81" s="6">
        <f t="shared" si="50"/>
        <v>-120</v>
      </c>
      <c r="Y81" s="2"/>
      <c r="Z81" s="7">
        <f t="shared" si="51"/>
        <v>-1</v>
      </c>
    </row>
    <row r="82" spans="1:26" s="24" customFormat="1" hidden="1" outlineLevel="2" x14ac:dyDescent="0.25">
      <c r="A82" s="27"/>
      <c r="B82" s="11" t="str">
        <f>CONCATENATE("          ", "6247", " - ", "STORE SUPPLIES")</f>
        <v xml:space="preserve">          6247 - STORE SUPPLIES</v>
      </c>
      <c r="C82" s="11"/>
      <c r="D82" s="6">
        <v>410.56</v>
      </c>
      <c r="E82" s="2"/>
      <c r="F82" s="7">
        <f t="shared" si="44"/>
        <v>9.6642192263728492E-3</v>
      </c>
      <c r="G82" s="2"/>
      <c r="H82" s="6">
        <v>100</v>
      </c>
      <c r="I82" s="2"/>
      <c r="J82" s="7">
        <f t="shared" si="45"/>
        <v>2.2727272727272726E-3</v>
      </c>
      <c r="K82" s="2"/>
      <c r="L82" s="6">
        <f t="shared" si="46"/>
        <v>310.56</v>
      </c>
      <c r="M82" s="2"/>
      <c r="N82" s="7">
        <f t="shared" si="47"/>
        <v>3.1055999999999999</v>
      </c>
      <c r="O82" s="11"/>
      <c r="P82" s="6">
        <v>410.56</v>
      </c>
      <c r="Q82" s="2"/>
      <c r="R82" s="7">
        <f t="shared" si="48"/>
        <v>6.0558725635312741E-3</v>
      </c>
      <c r="S82" s="2"/>
      <c r="T82" s="6">
        <v>100</v>
      </c>
      <c r="U82" s="2"/>
      <c r="V82" s="7">
        <f t="shared" si="49"/>
        <v>1.4619883040935672E-3</v>
      </c>
      <c r="W82" s="2"/>
      <c r="X82" s="6">
        <f t="shared" si="50"/>
        <v>310.56</v>
      </c>
      <c r="Y82" s="2"/>
      <c r="Z82" s="7">
        <f t="shared" si="51"/>
        <v>3.1055999999999999</v>
      </c>
    </row>
    <row r="83" spans="1:26" s="24" customFormat="1" hidden="1" outlineLevel="2" x14ac:dyDescent="0.25">
      <c r="A83" s="27"/>
      <c r="B83" s="11" t="str">
        <f>CONCATENATE("          ", "6248", " - ", "UNIFORMS")</f>
        <v xml:space="preserve">          6248 - UNIFORMS</v>
      </c>
      <c r="C83" s="11"/>
      <c r="D83" s="6"/>
      <c r="E83" s="2"/>
      <c r="F83" s="7">
        <f t="shared" si="44"/>
        <v>0</v>
      </c>
      <c r="G83" s="2"/>
      <c r="H83" s="6"/>
      <c r="I83" s="2"/>
      <c r="J83" s="7">
        <f t="shared" si="45"/>
        <v>0</v>
      </c>
      <c r="K83" s="2"/>
      <c r="L83" s="6">
        <f t="shared" si="46"/>
        <v>0</v>
      </c>
      <c r="M83" s="2"/>
      <c r="N83" s="7">
        <f t="shared" si="47"/>
        <v>0</v>
      </c>
      <c r="O83" s="11"/>
      <c r="P83" s="6"/>
      <c r="Q83" s="2"/>
      <c r="R83" s="7">
        <f t="shared" si="48"/>
        <v>0</v>
      </c>
      <c r="S83" s="2"/>
      <c r="T83" s="6">
        <v>800</v>
      </c>
      <c r="U83" s="2"/>
      <c r="V83" s="7">
        <f t="shared" si="49"/>
        <v>1.1695906432748537E-2</v>
      </c>
      <c r="W83" s="2"/>
      <c r="X83" s="6">
        <f t="shared" si="50"/>
        <v>-800</v>
      </c>
      <c r="Y83" s="2"/>
      <c r="Z83" s="7">
        <f t="shared" si="51"/>
        <v>-1</v>
      </c>
    </row>
    <row r="84" spans="1:26" s="26" customFormat="1" outlineLevel="1" collapsed="1" x14ac:dyDescent="0.25">
      <c r="A84" s="25"/>
      <c r="B84" s="13" t="str">
        <f>CONCATENATE("     ","Telephone/Data Lines                              ")</f>
        <v xml:space="preserve">     Telephone/Data Lines                              </v>
      </c>
      <c r="C84" s="13"/>
      <c r="D84" s="1">
        <f>SUM(OSRRefD22_15x_0)</f>
        <v>150.5</v>
      </c>
      <c r="E84" s="1"/>
      <c r="F84" s="5">
        <f t="shared" ref="F84:F88" si="52">IF(D$12=0,0,D84/D$12)</f>
        <v>3.5426368705405147E-3</v>
      </c>
      <c r="G84" s="1"/>
      <c r="H84" s="1">
        <f>SUM(OSRRefH22_15x_0)</f>
        <v>150</v>
      </c>
      <c r="I84" s="1"/>
      <c r="J84" s="5">
        <f t="shared" ref="J84:J88" si="53">IF(H$12=0,0,H84/H$12)</f>
        <v>3.4090909090909089E-3</v>
      </c>
      <c r="K84" s="1"/>
      <c r="L84" s="1">
        <f t="shared" ref="L84:L88" si="54">+D84-H84</f>
        <v>0.5</v>
      </c>
      <c r="M84" s="1"/>
      <c r="N84" s="5">
        <f t="shared" ref="N84:N88" si="55">IF(H84=0,0,L84/H84)</f>
        <v>3.3333333333333335E-3</v>
      </c>
      <c r="O84" s="13"/>
      <c r="P84" s="1">
        <f>SUM(OSRRefP22_15x_0)</f>
        <v>242.5</v>
      </c>
      <c r="Q84" s="1"/>
      <c r="R84" s="5">
        <f t="shared" ref="R84:R88" si="56">IF(P$12=0,0,P84/P$12)</f>
        <v>3.576941486399878E-3</v>
      </c>
      <c r="S84" s="1"/>
      <c r="T84" s="1">
        <f>SUM(OSRRefT22_15x_0)</f>
        <v>300</v>
      </c>
      <c r="U84" s="1"/>
      <c r="V84" s="5">
        <f t="shared" ref="V84:V88" si="57">IF(T$12=0,0,T84/T$12)</f>
        <v>4.3859649122807015E-3</v>
      </c>
      <c r="W84" s="1"/>
      <c r="X84" s="1">
        <f t="shared" ref="X84:X88" si="58">+P84-T84</f>
        <v>-57.5</v>
      </c>
      <c r="Y84" s="1"/>
      <c r="Z84" s="5">
        <f t="shared" ref="Z84:Z88" si="59">IF(T84=0,0,X84/T84)</f>
        <v>-0.19166666666666668</v>
      </c>
    </row>
    <row r="85" spans="1:26" s="24" customFormat="1" hidden="1" outlineLevel="2" x14ac:dyDescent="0.25">
      <c r="A85" s="27"/>
      <c r="B85" s="11" t="str">
        <f>CONCATENATE("          ", "6309", " - ", "TELEPHONE")</f>
        <v xml:space="preserve">          6309 - TELEPHONE</v>
      </c>
      <c r="C85" s="11"/>
      <c r="D85" s="6">
        <v>150.5</v>
      </c>
      <c r="E85" s="2"/>
      <c r="F85" s="7">
        <f t="shared" si="52"/>
        <v>3.5426368705405147E-3</v>
      </c>
      <c r="G85" s="2"/>
      <c r="H85" s="6">
        <v>150</v>
      </c>
      <c r="I85" s="2"/>
      <c r="J85" s="7">
        <f t="shared" si="53"/>
        <v>3.4090909090909089E-3</v>
      </c>
      <c r="K85" s="2"/>
      <c r="L85" s="6">
        <f t="shared" si="54"/>
        <v>0.5</v>
      </c>
      <c r="M85" s="2"/>
      <c r="N85" s="7">
        <f t="shared" si="55"/>
        <v>3.3333333333333335E-3</v>
      </c>
      <c r="O85" s="11"/>
      <c r="P85" s="6">
        <v>242.5</v>
      </c>
      <c r="Q85" s="2"/>
      <c r="R85" s="7">
        <f t="shared" si="56"/>
        <v>3.576941486399878E-3</v>
      </c>
      <c r="S85" s="2"/>
      <c r="T85" s="6">
        <v>300</v>
      </c>
      <c r="U85" s="2"/>
      <c r="V85" s="7">
        <f t="shared" si="57"/>
        <v>4.3859649122807015E-3</v>
      </c>
      <c r="W85" s="2"/>
      <c r="X85" s="6">
        <f t="shared" si="58"/>
        <v>-57.5</v>
      </c>
      <c r="Y85" s="2"/>
      <c r="Z85" s="7">
        <f t="shared" si="59"/>
        <v>-0.19166666666666668</v>
      </c>
    </row>
    <row r="86" spans="1:26" s="26" customFormat="1" outlineLevel="1" collapsed="1" x14ac:dyDescent="0.25">
      <c r="A86" s="25"/>
      <c r="B86" s="13" t="str">
        <f>CONCATENATE("     ","Travel                                            ")</f>
        <v xml:space="preserve">     Travel                                            </v>
      </c>
      <c r="C86" s="13"/>
      <c r="D86" s="1">
        <f>SUM(OSRRefD22_16x_0)</f>
        <v>0</v>
      </c>
      <c r="E86" s="1"/>
      <c r="F86" s="5">
        <f t="shared" si="52"/>
        <v>0</v>
      </c>
      <c r="G86" s="1"/>
      <c r="H86" s="1">
        <f>SUM(OSRRefH22_16x_0)</f>
        <v>0</v>
      </c>
      <c r="I86" s="1"/>
      <c r="J86" s="5">
        <f t="shared" si="53"/>
        <v>0</v>
      </c>
      <c r="K86" s="1"/>
      <c r="L86" s="1">
        <f t="shared" si="54"/>
        <v>0</v>
      </c>
      <c r="M86" s="1"/>
      <c r="N86" s="5">
        <f t="shared" si="55"/>
        <v>0</v>
      </c>
      <c r="O86" s="13"/>
      <c r="P86" s="1">
        <f>SUM(OSRRefP22_16x_0)</f>
        <v>0</v>
      </c>
      <c r="Q86" s="1"/>
      <c r="R86" s="5">
        <f t="shared" si="56"/>
        <v>0</v>
      </c>
      <c r="S86" s="1"/>
      <c r="T86" s="1">
        <f>SUM(OSRRefT22_16x_0)</f>
        <v>1200</v>
      </c>
      <c r="U86" s="1"/>
      <c r="V86" s="5">
        <f t="shared" si="57"/>
        <v>1.7543859649122806E-2</v>
      </c>
      <c r="W86" s="1"/>
      <c r="X86" s="1">
        <f t="shared" si="58"/>
        <v>-1200</v>
      </c>
      <c r="Y86" s="1"/>
      <c r="Z86" s="5">
        <f t="shared" si="59"/>
        <v>-1</v>
      </c>
    </row>
    <row r="87" spans="1:26" s="24" customFormat="1" hidden="1" outlineLevel="2" x14ac:dyDescent="0.25">
      <c r="A87" s="27"/>
      <c r="B87" s="11" t="str">
        <f>CONCATENATE("          ", "6292", " - ", "TRAVEL/CONFERENCE")</f>
        <v xml:space="preserve">          6292 - TRAVEL/CONFERENCE</v>
      </c>
      <c r="C87" s="11"/>
      <c r="D87" s="6"/>
      <c r="E87" s="2"/>
      <c r="F87" s="7">
        <f t="shared" si="52"/>
        <v>0</v>
      </c>
      <c r="G87" s="2"/>
      <c r="H87" s="6"/>
      <c r="I87" s="2"/>
      <c r="J87" s="7">
        <f t="shared" si="53"/>
        <v>0</v>
      </c>
      <c r="K87" s="2"/>
      <c r="L87" s="6">
        <f t="shared" si="54"/>
        <v>0</v>
      </c>
      <c r="M87" s="2"/>
      <c r="N87" s="7">
        <f t="shared" si="55"/>
        <v>0</v>
      </c>
      <c r="O87" s="11"/>
      <c r="P87" s="6"/>
      <c r="Q87" s="2"/>
      <c r="R87" s="7">
        <f t="shared" si="56"/>
        <v>0</v>
      </c>
      <c r="S87" s="2"/>
      <c r="T87" s="6">
        <v>1200</v>
      </c>
      <c r="U87" s="2"/>
      <c r="V87" s="7">
        <f t="shared" si="57"/>
        <v>1.7543859649122806E-2</v>
      </c>
      <c r="W87" s="2"/>
      <c r="X87" s="6">
        <f t="shared" si="58"/>
        <v>-1200</v>
      </c>
      <c r="Y87" s="2"/>
      <c r="Z87" s="7">
        <f t="shared" si="59"/>
        <v>-1</v>
      </c>
    </row>
    <row r="88" spans="1:26" s="24" customFormat="1" hidden="1" outlineLevel="2" x14ac:dyDescent="0.25">
      <c r="A88" s="27"/>
      <c r="B88" s="11" t="str">
        <f>CONCATENATE("          ", "6298", " - ", "VEHICLE MILEAGE")</f>
        <v xml:space="preserve">          6298 - VEHICLE MILEAGE</v>
      </c>
      <c r="C88" s="11"/>
      <c r="D88" s="6"/>
      <c r="E88" s="2"/>
      <c r="F88" s="7">
        <f t="shared" si="52"/>
        <v>0</v>
      </c>
      <c r="G88" s="2"/>
      <c r="H88" s="6"/>
      <c r="I88" s="2"/>
      <c r="J88" s="7">
        <f t="shared" si="53"/>
        <v>0</v>
      </c>
      <c r="K88" s="2"/>
      <c r="L88" s="6">
        <f t="shared" si="54"/>
        <v>0</v>
      </c>
      <c r="M88" s="2"/>
      <c r="N88" s="7">
        <f t="shared" si="55"/>
        <v>0</v>
      </c>
      <c r="O88" s="11"/>
      <c r="P88" s="6"/>
      <c r="Q88" s="2"/>
      <c r="R88" s="7">
        <f t="shared" si="56"/>
        <v>0</v>
      </c>
      <c r="S88" s="2"/>
      <c r="T88" s="6">
        <v>0</v>
      </c>
      <c r="U88" s="2"/>
      <c r="V88" s="7">
        <f t="shared" si="57"/>
        <v>0</v>
      </c>
      <c r="W88" s="2"/>
      <c r="X88" s="6">
        <f t="shared" si="58"/>
        <v>0</v>
      </c>
      <c r="Y88" s="2"/>
      <c r="Z88" s="7">
        <f t="shared" si="59"/>
        <v>0</v>
      </c>
    </row>
    <row r="89" spans="1:26" s="26" customFormat="1" outlineLevel="1" collapsed="1" x14ac:dyDescent="0.25">
      <c r="A89" s="25"/>
      <c r="B89" s="13" t="str">
        <f>CONCATENATE("     ","Utilities                                         ")</f>
        <v xml:space="preserve">     Utilities                                         </v>
      </c>
      <c r="C89" s="13"/>
      <c r="D89" s="1">
        <f>SUM(OSRRefD22_17x_0)</f>
        <v>0</v>
      </c>
      <c r="E89" s="1"/>
      <c r="F89" s="5">
        <f t="shared" ref="F89:F90" si="60">IF(D$12=0,0,D89/D$12)</f>
        <v>0</v>
      </c>
      <c r="G89" s="1"/>
      <c r="H89" s="1">
        <f>SUM(OSRRefH22_17x_0)</f>
        <v>2100</v>
      </c>
      <c r="I89" s="1"/>
      <c r="J89" s="5">
        <f t="shared" ref="J89:J90" si="61">IF(H$12=0,0,H89/H$12)</f>
        <v>4.7727272727272729E-2</v>
      </c>
      <c r="K89" s="1"/>
      <c r="L89" s="1">
        <f t="shared" ref="L89:L90" si="62">+D89-H89</f>
        <v>-2100</v>
      </c>
      <c r="M89" s="1"/>
      <c r="N89" s="5">
        <f t="shared" ref="N89:N90" si="63">IF(H89=0,0,L89/H89)</f>
        <v>-1</v>
      </c>
      <c r="O89" s="13"/>
      <c r="P89" s="1">
        <f>SUM(OSRRefP22_17x_0)</f>
        <v>2031</v>
      </c>
      <c r="Q89" s="1"/>
      <c r="R89" s="5">
        <f t="shared" ref="R89:R90" si="64">IF(P$12=0,0,P89/P$12)</f>
        <v>2.9957806840734649E-2</v>
      </c>
      <c r="S89" s="1"/>
      <c r="T89" s="1">
        <f>SUM(OSRRefT22_17x_0)</f>
        <v>4200</v>
      </c>
      <c r="U89" s="1"/>
      <c r="V89" s="5">
        <f t="shared" ref="V89:V90" si="65">IF(T$12=0,0,T89/T$12)</f>
        <v>6.1403508771929821E-2</v>
      </c>
      <c r="W89" s="1"/>
      <c r="X89" s="1">
        <f t="shared" ref="X89:X90" si="66">+P89-T89</f>
        <v>-2169</v>
      </c>
      <c r="Y89" s="1"/>
      <c r="Z89" s="5">
        <f t="shared" ref="Z89:Z90" si="67">IF(T89=0,0,X89/T89)</f>
        <v>-0.51642857142857146</v>
      </c>
    </row>
    <row r="90" spans="1:26" s="24" customFormat="1" hidden="1" outlineLevel="2" x14ac:dyDescent="0.25">
      <c r="A90" s="27"/>
      <c r="B90" s="11" t="str">
        <f>CONCATENATE("          ", "6274", " - ", "UTILITIES")</f>
        <v xml:space="preserve">          6274 - UTILITIES</v>
      </c>
      <c r="C90" s="11"/>
      <c r="D90" s="6"/>
      <c r="E90" s="2"/>
      <c r="F90" s="7">
        <f t="shared" si="60"/>
        <v>0</v>
      </c>
      <c r="G90" s="2"/>
      <c r="H90" s="6">
        <v>2100</v>
      </c>
      <c r="I90" s="2"/>
      <c r="J90" s="7">
        <f t="shared" si="61"/>
        <v>4.7727272727272729E-2</v>
      </c>
      <c r="K90" s="2"/>
      <c r="L90" s="6">
        <f t="shared" si="62"/>
        <v>-2100</v>
      </c>
      <c r="M90" s="2"/>
      <c r="N90" s="7">
        <f t="shared" si="63"/>
        <v>-1</v>
      </c>
      <c r="O90" s="11"/>
      <c r="P90" s="6">
        <v>2031</v>
      </c>
      <c r="Q90" s="2"/>
      <c r="R90" s="7">
        <f t="shared" si="64"/>
        <v>2.9957806840734649E-2</v>
      </c>
      <c r="S90" s="2"/>
      <c r="T90" s="6">
        <v>4200</v>
      </c>
      <c r="U90" s="2"/>
      <c r="V90" s="7">
        <f t="shared" si="65"/>
        <v>6.1403508771929821E-2</v>
      </c>
      <c r="W90" s="2"/>
      <c r="X90" s="6">
        <f t="shared" si="66"/>
        <v>-2169</v>
      </c>
      <c r="Y90" s="2"/>
      <c r="Z90" s="7">
        <f t="shared" si="67"/>
        <v>-0.51642857142857146</v>
      </c>
    </row>
    <row r="91" spans="1:26" s="63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x14ac:dyDescent="0.25">
      <c r="A92" s="10"/>
      <c r="B92" s="28" t="s">
        <v>0</v>
      </c>
      <c r="C92" s="10"/>
      <c r="D92" s="4">
        <f>SUM(0)</f>
        <v>0</v>
      </c>
      <c r="E92" s="4"/>
      <c r="F92" s="12">
        <f>IF(D$12=0,0,D92/D$12)</f>
        <v>0</v>
      </c>
      <c r="G92" s="4"/>
      <c r="H92" s="4">
        <f>SUM(0)</f>
        <v>0</v>
      </c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>
        <f>SUM(0)</f>
        <v>0</v>
      </c>
      <c r="Q92" s="4"/>
      <c r="R92" s="12">
        <f>IF(P$12=0,0,P92/P$12)</f>
        <v>0</v>
      </c>
      <c r="S92" s="4"/>
      <c r="T92" s="4">
        <f>SUM(0)</f>
        <v>0</v>
      </c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10"/>
      <c r="B94" s="29" t="s">
        <v>3</v>
      </c>
      <c r="C94" s="29"/>
      <c r="D94" s="22">
        <f>+D22-D24+D92</f>
        <v>-37476.719999999987</v>
      </c>
      <c r="E94" s="14"/>
      <c r="F94" s="20">
        <f>IF(D$12=0,0,D94/D$12)</f>
        <v>-0.88216883760081777</v>
      </c>
      <c r="G94" s="14"/>
      <c r="H94" s="22">
        <f>+H22-H24+H92</f>
        <v>-30835.224006923076</v>
      </c>
      <c r="I94" s="14"/>
      <c r="J94" s="20">
        <f>IF(H$12=0,0,H94/H$12)</f>
        <v>-0.70080054561188809</v>
      </c>
      <c r="K94" s="15"/>
      <c r="L94" s="22">
        <f>+D94-H94</f>
        <v>-6641.495993076911</v>
      </c>
      <c r="M94" s="15"/>
      <c r="N94" s="20">
        <f>IF(H94=0,0,L94/H94)</f>
        <v>0.21538666272006887</v>
      </c>
      <c r="O94" s="28"/>
      <c r="P94" s="22">
        <f>+P22-P24+P92</f>
        <v>-80859.279999999955</v>
      </c>
      <c r="Q94" s="14"/>
      <c r="R94" s="20">
        <f>IF(P$12=0,0,P94/P$12)</f>
        <v>-1.1926965492471084</v>
      </c>
      <c r="S94" s="14"/>
      <c r="T94" s="22">
        <f>+T22-T24+T92</f>
        <v>-75953.098903076941</v>
      </c>
      <c r="U94" s="14"/>
      <c r="V94" s="20">
        <f>IF(T$12=0,0,T94/T$12)</f>
        <v>-1.1104254225596044</v>
      </c>
      <c r="W94" s="15"/>
      <c r="X94" s="22">
        <f>+P94-T94</f>
        <v>-4906.1810969230137</v>
      </c>
      <c r="Y94" s="15"/>
      <c r="Z94" s="20">
        <f>IF(T94=0,0,X94/T94)</f>
        <v>6.4594877204203968E-2</v>
      </c>
    </row>
    <row r="95" spans="1:26" x14ac:dyDescent="0.25">
      <c r="A95" s="9"/>
      <c r="B95" s="10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52"/>
      <c r="B96" s="10" t="s">
        <v>14</v>
      </c>
      <c r="C96" s="10"/>
      <c r="D96" s="4">
        <v>3189.55</v>
      </c>
      <c r="E96" s="4"/>
      <c r="F96" s="12">
        <f>IF(D$12=0,0,D96/D$12)</f>
        <v>7.5079185584269098E-2</v>
      </c>
      <c r="G96" s="4"/>
      <c r="H96" s="4">
        <v>5162</v>
      </c>
      <c r="I96" s="4"/>
      <c r="J96" s="12">
        <f>IF(H$12=0,0,H96/H$12)</f>
        <v>0.11731818181818182</v>
      </c>
      <c r="K96" s="4"/>
      <c r="L96" s="4">
        <f>+D96-H96</f>
        <v>-1972.4499999999998</v>
      </c>
      <c r="M96" s="4"/>
      <c r="N96" s="12">
        <f>IF(H96=0,0,L96/H96)</f>
        <v>-0.38210964742347925</v>
      </c>
      <c r="O96" s="10"/>
      <c r="P96" s="4">
        <v>8452.84</v>
      </c>
      <c r="Q96" s="4"/>
      <c r="R96" s="12">
        <f>IF(P$12=0,0,P96/P$12)</f>
        <v>0.12468170752123854</v>
      </c>
      <c r="S96" s="4"/>
      <c r="T96" s="4">
        <v>11108</v>
      </c>
      <c r="U96" s="4"/>
      <c r="V96" s="12">
        <f>IF(T$12=0,0,T96/T$12)</f>
        <v>0.16239766081871346</v>
      </c>
      <c r="W96" s="4"/>
      <c r="X96" s="4">
        <f>+P96-T96</f>
        <v>-2655.16</v>
      </c>
      <c r="Y96" s="4"/>
      <c r="Z96" s="12">
        <f>IF(T96=0,0,X96/T96)</f>
        <v>-0.23903132877205616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9" t="s">
        <v>4</v>
      </c>
      <c r="C98" s="29"/>
      <c r="D98" s="31">
        <f>+D94-D96</f>
        <v>-40666.26999999999</v>
      </c>
      <c r="E98" s="14"/>
      <c r="F98" s="32">
        <f>IF(D$12=0,0,D98/D$12)</f>
        <v>-0.95724802318508695</v>
      </c>
      <c r="G98" s="14"/>
      <c r="H98" s="31">
        <f>+H94-H96</f>
        <v>-35997.224006923076</v>
      </c>
      <c r="I98" s="14"/>
      <c r="J98" s="32">
        <f>IF(H$12=0,0,H98/H$12)</f>
        <v>-0.81811872743006986</v>
      </c>
      <c r="K98" s="15"/>
      <c r="L98" s="31">
        <f>D98-H98</f>
        <v>-4669.0459930769139</v>
      </c>
      <c r="M98" s="15"/>
      <c r="N98" s="32">
        <f>IF(H98=0,0,L98/H98)</f>
        <v>0.12970572375744727</v>
      </c>
      <c r="O98" s="28"/>
      <c r="P98" s="31">
        <f>+P94-P96</f>
        <v>-89312.119999999952</v>
      </c>
      <c r="Q98" s="14"/>
      <c r="R98" s="32">
        <f>IF(P$12=0,0,P98/P$12)</f>
        <v>-1.317378256768347</v>
      </c>
      <c r="S98" s="14"/>
      <c r="T98" s="31">
        <f>+T94-T96</f>
        <v>-87061.098903076941</v>
      </c>
      <c r="U98" s="14"/>
      <c r="V98" s="32">
        <f>IF(T$12=0,0,T98/T$12)</f>
        <v>-1.2728230833783178</v>
      </c>
      <c r="W98" s="15"/>
      <c r="X98" s="31">
        <f>P98-T98</f>
        <v>-2251.0210969230102</v>
      </c>
      <c r="Y98" s="15"/>
      <c r="Z98" s="32">
        <f>IF(T98=0,0,X98/T98)</f>
        <v>2.5855647646132043E-2</v>
      </c>
    </row>
    <row r="99" spans="1:26" ht="15.75" thickTop="1" x14ac:dyDescent="0.25">
      <c r="A99" s="9"/>
      <c r="B99" s="9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x14ac:dyDescent="0.25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9" t="s">
        <v>5</v>
      </c>
      <c r="C101" s="29"/>
      <c r="D101" s="33">
        <f>SUM(D98:D100)</f>
        <v>-40666.26999999999</v>
      </c>
      <c r="E101" s="14"/>
      <c r="F101" s="35">
        <f>IF(D$12=0,0,D101/D$12)</f>
        <v>-0.95724802318508695</v>
      </c>
      <c r="G101" s="14"/>
      <c r="H101" s="33">
        <f>SUM(H98:H100)</f>
        <v>-35997.224006923076</v>
      </c>
      <c r="I101" s="14"/>
      <c r="J101" s="35">
        <f>IF(H$12=0,0,H101/H$12)</f>
        <v>-0.81811872743006986</v>
      </c>
      <c r="K101" s="15"/>
      <c r="L101" s="33">
        <f>+D101-H101</f>
        <v>-4669.0459930769139</v>
      </c>
      <c r="M101" s="15"/>
      <c r="N101" s="35">
        <f>IF(H101=0,0,L101/H101)</f>
        <v>0.12970572375744727</v>
      </c>
      <c r="O101" s="28"/>
      <c r="P101" s="33">
        <f>SUM(P98:P100)</f>
        <v>-89312.119999999952</v>
      </c>
      <c r="Q101" s="14"/>
      <c r="R101" s="35">
        <f>IF(P$12=0,0,P101/P$12)</f>
        <v>-1.317378256768347</v>
      </c>
      <c r="S101" s="14"/>
      <c r="T101" s="33">
        <f>SUM(T98:T100)</f>
        <v>-87061.098903076941</v>
      </c>
      <c r="U101" s="14"/>
      <c r="V101" s="35">
        <f>IF(T$12=0,0,T101/T$12)</f>
        <v>-1.2728230833783178</v>
      </c>
      <c r="W101" s="15"/>
      <c r="X101" s="33">
        <f>+P101-T101</f>
        <v>-2251.0210969230102</v>
      </c>
      <c r="Y101" s="15"/>
      <c r="Z101" s="35">
        <f>IF(T101=0,0,X101/T101)</f>
        <v>2.5855647646132043E-2</v>
      </c>
    </row>
    <row r="102" spans="1:26" ht="15.75" thickTop="1" x14ac:dyDescent="0.25">
      <c r="A102" s="9"/>
      <c r="C102" s="9"/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61">
        <v>43732.706395949077</v>
      </c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A104" s="9"/>
      <c r="B104" s="62" t="s">
        <v>314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25">
      <c r="A105" s="9"/>
      <c r="B105" s="58"/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25"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","418", " - ", "Nugget")</f>
        <v>Department 418 - Nugget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74781.83</v>
      </c>
      <c r="E12" s="4"/>
      <c r="F12" s="12"/>
      <c r="G12" s="4"/>
      <c r="H12" s="4">
        <f>SUM(OSRRefH13x_0)</f>
        <v>81800</v>
      </c>
      <c r="I12" s="4"/>
      <c r="J12" s="12"/>
      <c r="K12" s="4"/>
      <c r="L12" s="4">
        <f t="shared" ref="L12:L16" si="0">+D12-H12</f>
        <v>-7018.1699999999983</v>
      </c>
      <c r="M12" s="4"/>
      <c r="N12" s="12">
        <f t="shared" ref="N12:N16" si="1">IF(H12=0,0,L12/H12)</f>
        <v>-8.5796699266503643E-2</v>
      </c>
      <c r="O12" s="10"/>
      <c r="P12" s="4">
        <f>SUM(OSRRefP13x_0)</f>
        <v>114662.12</v>
      </c>
      <c r="Q12" s="4"/>
      <c r="R12" s="12"/>
      <c r="S12" s="4"/>
      <c r="T12" s="4">
        <f>SUM(OSRRefT13x_0)</f>
        <v>123000</v>
      </c>
      <c r="U12" s="4"/>
      <c r="V12" s="12"/>
      <c r="W12" s="4"/>
      <c r="X12" s="4">
        <f t="shared" ref="X12:X16" si="2">+P12-T12</f>
        <v>-8337.8800000000047</v>
      </c>
      <c r="Y12" s="4"/>
      <c r="Z12" s="12">
        <f t="shared" ref="Z12:Z16" si="3">IF(T12=0,0,X12/T12)</f>
        <v>-6.7787642276422796E-2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31520</v>
      </c>
      <c r="I13" s="2"/>
      <c r="J13" s="21"/>
      <c r="K13" s="2"/>
      <c r="L13" s="2">
        <f t="shared" si="0"/>
        <v>-31520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48000</v>
      </c>
      <c r="U13" s="2"/>
      <c r="V13" s="21"/>
      <c r="W13" s="2"/>
      <c r="X13" s="2">
        <f t="shared" si="2"/>
        <v>-48000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"4055", " - ", "TAXABLE SALES-FOOD")</f>
        <v xml:space="preserve">          4055 - TAXABLE SALES-FOOD</v>
      </c>
      <c r="C14" s="11"/>
      <c r="D14" s="2">
        <f>--29693.44</f>
        <v>29693.439999999999</v>
      </c>
      <c r="E14" s="2"/>
      <c r="F14" s="21"/>
      <c r="G14" s="2"/>
      <c r="H14" s="2"/>
      <c r="I14" s="2"/>
      <c r="J14" s="21"/>
      <c r="K14" s="2"/>
      <c r="L14" s="2">
        <f t="shared" si="0"/>
        <v>29693.439999999999</v>
      </c>
      <c r="M14" s="2"/>
      <c r="N14" s="21">
        <f t="shared" si="1"/>
        <v>0</v>
      </c>
      <c r="O14" s="11"/>
      <c r="P14" s="2">
        <f>--43937.07</f>
        <v>43937.07</v>
      </c>
      <c r="Q14" s="2"/>
      <c r="R14" s="21"/>
      <c r="S14" s="2"/>
      <c r="T14" s="2"/>
      <c r="U14" s="2"/>
      <c r="V14" s="21"/>
      <c r="W14" s="2"/>
      <c r="X14" s="2">
        <f t="shared" si="2"/>
        <v>43937.07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1"/>
      <c r="G15" s="2"/>
      <c r="H15" s="2">
        <v>50280</v>
      </c>
      <c r="I15" s="2"/>
      <c r="J15" s="21"/>
      <c r="K15" s="2"/>
      <c r="L15" s="2">
        <f t="shared" si="0"/>
        <v>-50280</v>
      </c>
      <c r="M15" s="2"/>
      <c r="N15" s="21">
        <f t="shared" si="1"/>
        <v>-1</v>
      </c>
      <c r="O15" s="11"/>
      <c r="P15" s="2">
        <f>0</f>
        <v>0</v>
      </c>
      <c r="Q15" s="2"/>
      <c r="R15" s="21"/>
      <c r="S15" s="2"/>
      <c r="T15" s="2">
        <v>75000</v>
      </c>
      <c r="U15" s="2"/>
      <c r="V15" s="21"/>
      <c r="W15" s="2"/>
      <c r="X15" s="2">
        <f t="shared" si="2"/>
        <v>-75000</v>
      </c>
      <c r="Y15" s="2"/>
      <c r="Z15" s="21">
        <f t="shared" si="3"/>
        <v>-1</v>
      </c>
    </row>
    <row r="16" spans="1:26" s="24" customFormat="1" hidden="1" outlineLevel="1" x14ac:dyDescent="0.25">
      <c r="A16" s="46"/>
      <c r="B16" s="11" t="str">
        <f>CONCATENATE("          ", "4155", " - ", "NON-TAXABLE SALES-FOOD")</f>
        <v xml:space="preserve">          4155 - NON-TAXABLE SALES-FOOD</v>
      </c>
      <c r="C16" s="11"/>
      <c r="D16" s="2">
        <f>--45088.39</f>
        <v>45088.39</v>
      </c>
      <c r="E16" s="2"/>
      <c r="F16" s="21"/>
      <c r="G16" s="2"/>
      <c r="H16" s="2"/>
      <c r="I16" s="2"/>
      <c r="J16" s="21"/>
      <c r="K16" s="2"/>
      <c r="L16" s="2">
        <f t="shared" si="0"/>
        <v>45088.39</v>
      </c>
      <c r="M16" s="2"/>
      <c r="N16" s="21">
        <f t="shared" si="1"/>
        <v>0</v>
      </c>
      <c r="O16" s="11"/>
      <c r="P16" s="2">
        <f>--70725.05</f>
        <v>70725.05</v>
      </c>
      <c r="Q16" s="2"/>
      <c r="R16" s="21"/>
      <c r="S16" s="2"/>
      <c r="T16" s="2"/>
      <c r="U16" s="2"/>
      <c r="V16" s="21"/>
      <c r="W16" s="2"/>
      <c r="X16" s="2">
        <f t="shared" si="2"/>
        <v>70725.05</v>
      </c>
      <c r="Y16" s="2"/>
      <c r="Z16" s="21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22583.630000000005</v>
      </c>
      <c r="E18" s="4"/>
      <c r="F18" s="12">
        <f t="shared" ref="F18:F21" si="4">IF(D$12=0,0,D18/D$12)</f>
        <v>0.30199354575837478</v>
      </c>
      <c r="G18" s="4"/>
      <c r="H18" s="4">
        <f>SUM(OSRRefH16x_0)</f>
        <v>24743</v>
      </c>
      <c r="I18" s="4"/>
      <c r="J18" s="12">
        <f t="shared" ref="J18:J21" si="5">IF(H$12=0,0,H18/H$12)</f>
        <v>0.30248166259168702</v>
      </c>
      <c r="K18" s="4"/>
      <c r="L18" s="4">
        <f t="shared" ref="L18:L21" si="6">+D18-H18</f>
        <v>-2159.3699999999953</v>
      </c>
      <c r="M18" s="4"/>
      <c r="N18" s="12">
        <f t="shared" ref="N18:N21" si="7">IF(H18=0,0,L18/H18)</f>
        <v>-8.727195570464355E-2</v>
      </c>
      <c r="O18" s="10"/>
      <c r="P18" s="4">
        <f>SUM(OSRRefP16x_0)</f>
        <v>38615.769999999997</v>
      </c>
      <c r="Q18" s="4"/>
      <c r="R18" s="12">
        <f t="shared" ref="R18:R21" si="8">IF(P$12=0,0,P18/P$12)</f>
        <v>0.33677878971712716</v>
      </c>
      <c r="S18" s="4"/>
      <c r="T18" s="4">
        <f>SUM(OSRRefT16x_0)</f>
        <v>37680</v>
      </c>
      <c r="U18" s="4"/>
      <c r="V18" s="12">
        <f t="shared" ref="V18:V21" si="9">IF(T$12=0,0,T18/T$12)</f>
        <v>0.30634146341463414</v>
      </c>
      <c r="W18" s="4"/>
      <c r="X18" s="4">
        <f t="shared" ref="X18:X21" si="10">+P18-T18</f>
        <v>935.7699999999968</v>
      </c>
      <c r="Y18" s="4"/>
      <c r="Z18" s="12">
        <f t="shared" ref="Z18:Z21" si="11">IF(T18=0,0,X18/T18)</f>
        <v>2.4834660297239831E-2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1">
        <f t="shared" si="4"/>
        <v>0</v>
      </c>
      <c r="G19" s="2"/>
      <c r="H19" s="2">
        <v>24743</v>
      </c>
      <c r="I19" s="2"/>
      <c r="J19" s="21">
        <f t="shared" si="5"/>
        <v>0.30248166259168702</v>
      </c>
      <c r="K19" s="2"/>
      <c r="L19" s="2">
        <f t="shared" si="6"/>
        <v>-24743</v>
      </c>
      <c r="M19" s="2"/>
      <c r="N19" s="21">
        <f t="shared" si="7"/>
        <v>-1</v>
      </c>
      <c r="O19" s="11"/>
      <c r="P19" s="2"/>
      <c r="Q19" s="2"/>
      <c r="R19" s="21">
        <f t="shared" si="8"/>
        <v>0</v>
      </c>
      <c r="S19" s="2"/>
      <c r="T19" s="2">
        <v>37680</v>
      </c>
      <c r="U19" s="2"/>
      <c r="V19" s="21">
        <f t="shared" si="9"/>
        <v>0.30634146341463414</v>
      </c>
      <c r="W19" s="2"/>
      <c r="X19" s="2">
        <f t="shared" si="10"/>
        <v>-37680</v>
      </c>
      <c r="Y19" s="2"/>
      <c r="Z19" s="21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36734.630000000005</v>
      </c>
      <c r="E20" s="2"/>
      <c r="F20" s="21">
        <f t="shared" si="4"/>
        <v>0.49122400454762882</v>
      </c>
      <c r="G20" s="2"/>
      <c r="H20" s="2"/>
      <c r="I20" s="2"/>
      <c r="J20" s="21">
        <f t="shared" si="5"/>
        <v>0</v>
      </c>
      <c r="K20" s="2"/>
      <c r="L20" s="2">
        <f t="shared" si="6"/>
        <v>36734.630000000005</v>
      </c>
      <c r="M20" s="2"/>
      <c r="N20" s="21">
        <f t="shared" si="7"/>
        <v>0</v>
      </c>
      <c r="O20" s="11"/>
      <c r="P20" s="2">
        <v>51739.77</v>
      </c>
      <c r="Q20" s="2"/>
      <c r="R20" s="21">
        <f t="shared" si="8"/>
        <v>0.45123681648307218</v>
      </c>
      <c r="S20" s="2"/>
      <c r="T20" s="2"/>
      <c r="U20" s="2"/>
      <c r="V20" s="21">
        <f t="shared" si="9"/>
        <v>0</v>
      </c>
      <c r="W20" s="2"/>
      <c r="X20" s="2">
        <f t="shared" si="10"/>
        <v>51739.77</v>
      </c>
      <c r="Y20" s="2"/>
      <c r="Z20" s="21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-14151</v>
      </c>
      <c r="E21" s="2"/>
      <c r="F21" s="21">
        <f t="shared" si="4"/>
        <v>-0.18923045878925401</v>
      </c>
      <c r="G21" s="2"/>
      <c r="H21" s="2"/>
      <c r="I21" s="2"/>
      <c r="J21" s="21">
        <f t="shared" si="5"/>
        <v>0</v>
      </c>
      <c r="K21" s="2"/>
      <c r="L21" s="2">
        <f t="shared" si="6"/>
        <v>-14151</v>
      </c>
      <c r="M21" s="2"/>
      <c r="N21" s="21">
        <f t="shared" si="7"/>
        <v>0</v>
      </c>
      <c r="O21" s="11"/>
      <c r="P21" s="2">
        <v>-13124</v>
      </c>
      <c r="Q21" s="2"/>
      <c r="R21" s="21">
        <f t="shared" si="8"/>
        <v>-0.11445802676594502</v>
      </c>
      <c r="S21" s="2"/>
      <c r="T21" s="2"/>
      <c r="U21" s="2"/>
      <c r="V21" s="21">
        <f t="shared" si="9"/>
        <v>0</v>
      </c>
      <c r="W21" s="2"/>
      <c r="X21" s="2">
        <f t="shared" si="10"/>
        <v>-13124</v>
      </c>
      <c r="Y21" s="2"/>
      <c r="Z21" s="21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52198.2</v>
      </c>
      <c r="E23" s="14"/>
      <c r="F23" s="20">
        <f>IF(D$12=0,0,D23/D$12)</f>
        <v>0.69800645424162522</v>
      </c>
      <c r="G23" s="14"/>
      <c r="H23" s="22">
        <f>H12-H18</f>
        <v>57057</v>
      </c>
      <c r="I23" s="14"/>
      <c r="J23" s="20">
        <f>IF(H$12=0,0,H23/H$12)</f>
        <v>0.69751833740831293</v>
      </c>
      <c r="K23" s="15"/>
      <c r="L23" s="22">
        <f>+D23-H23</f>
        <v>-4858.8000000000029</v>
      </c>
      <c r="M23" s="15"/>
      <c r="N23" s="20">
        <f>IF(H23=0,0,L23/H23)</f>
        <v>-8.5156948314843106E-2</v>
      </c>
      <c r="O23" s="28"/>
      <c r="P23" s="22">
        <f>P12-P18</f>
        <v>76046.350000000006</v>
      </c>
      <c r="Q23" s="14"/>
      <c r="R23" s="20">
        <f>IF(P$12=0,0,P23/P$12)</f>
        <v>0.66322121028287295</v>
      </c>
      <c r="S23" s="14"/>
      <c r="T23" s="22">
        <f>T12-T18</f>
        <v>85320</v>
      </c>
      <c r="U23" s="14"/>
      <c r="V23" s="20">
        <f>IF(T$12=0,0,T23/T$12)</f>
        <v>0.6936585365853658</v>
      </c>
      <c r="W23" s="15"/>
      <c r="X23" s="22">
        <f>+P23-T23</f>
        <v>-9273.6499999999942</v>
      </c>
      <c r="Y23" s="15"/>
      <c r="Z23" s="20">
        <f>IF(T23=0,0,X23/T23)</f>
        <v>-0.10869256915142984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19">
        <f>SUM(OSRRefD22x_0)</f>
        <v>45574.299999999988</v>
      </c>
      <c r="E25" s="19"/>
      <c r="F25" s="34">
        <f t="shared" ref="F25:F35" si="12">IF(D$12=0,0,D25/D$12)</f>
        <v>0.60943012493810311</v>
      </c>
      <c r="G25" s="19"/>
      <c r="H25" s="19">
        <f>SUM(OSRRefH22x_0)</f>
        <v>50804.576818923073</v>
      </c>
      <c r="I25" s="19"/>
      <c r="J25" s="34">
        <f t="shared" ref="J25:J35" si="13">IF(H$12=0,0,H25/H$12)</f>
        <v>0.62108284619710363</v>
      </c>
      <c r="K25" s="4"/>
      <c r="L25" s="19">
        <f t="shared" ref="L25:L35" si="14">+D25-H25</f>
        <v>-5230.2768189230846</v>
      </c>
      <c r="M25" s="4"/>
      <c r="N25" s="34">
        <f t="shared" ref="N25:N35" si="15">IF(H25=0,0,L25/H25)</f>
        <v>-0.10294892992741107</v>
      </c>
      <c r="O25" s="10"/>
      <c r="P25" s="19">
        <f>SUM(OSRRefP22x_0)</f>
        <v>82321.540000000008</v>
      </c>
      <c r="Q25" s="19"/>
      <c r="R25" s="34">
        <f t="shared" ref="R25:R35" si="16">IF(P$12=0,0,P25/P$12)</f>
        <v>0.71794887448444189</v>
      </c>
      <c r="S25" s="19"/>
      <c r="T25" s="19">
        <f>SUM(OSRRefT22x_0)</f>
        <v>94697.781136153892</v>
      </c>
      <c r="U25" s="19"/>
      <c r="V25" s="34">
        <f t="shared" ref="V25:V35" si="17">IF(T$12=0,0,T25/T$12)</f>
        <v>0.76990065964352761</v>
      </c>
      <c r="W25" s="4"/>
      <c r="X25" s="19">
        <f t="shared" ref="X25:X35" si="18">+P25-T25</f>
        <v>-12376.241136153883</v>
      </c>
      <c r="Y25" s="4"/>
      <c r="Z25" s="34">
        <f t="shared" ref="Z25:Z35" si="19">IF(T25=0,0,X25/T25)</f>
        <v>-0.13069198652458033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5647.7600000000011</v>
      </c>
      <c r="E26" s="1"/>
      <c r="F26" s="5">
        <f t="shared" si="12"/>
        <v>7.5523158499865559E-2</v>
      </c>
      <c r="G26" s="1"/>
      <c r="H26" s="1">
        <f>SUM(OSRRefH22_0x_0)</f>
        <v>9677.5398958461574</v>
      </c>
      <c r="I26" s="1"/>
      <c r="J26" s="5">
        <f t="shared" si="13"/>
        <v>0.11830733369005082</v>
      </c>
      <c r="K26" s="1"/>
      <c r="L26" s="1">
        <f t="shared" si="14"/>
        <v>-4029.7798958461563</v>
      </c>
      <c r="M26" s="1"/>
      <c r="N26" s="5">
        <f t="shared" si="15"/>
        <v>-0.4164054025316743</v>
      </c>
      <c r="O26" s="13"/>
      <c r="P26" s="1">
        <f>SUM(OSRRefP22_0x_0)</f>
        <v>10909.109999999999</v>
      </c>
      <c r="Q26" s="1"/>
      <c r="R26" s="5">
        <f t="shared" si="16"/>
        <v>9.5141359674842912E-2</v>
      </c>
      <c r="S26" s="1"/>
      <c r="T26" s="1">
        <f>SUM(OSRRefT22_0x_0)</f>
        <v>17887.158059230773</v>
      </c>
      <c r="U26" s="1"/>
      <c r="V26" s="5">
        <f t="shared" si="17"/>
        <v>0.14542404926203881</v>
      </c>
      <c r="W26" s="1"/>
      <c r="X26" s="1">
        <f t="shared" si="18"/>
        <v>-6978.048059230774</v>
      </c>
      <c r="Y26" s="1"/>
      <c r="Z26" s="5">
        <f t="shared" si="19"/>
        <v>-0.39011496606246576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1212.46</v>
      </c>
      <c r="E27" s="2"/>
      <c r="F27" s="7">
        <f t="shared" si="12"/>
        <v>1.621329673264214E-2</v>
      </c>
      <c r="G27" s="2"/>
      <c r="H27" s="6">
        <v>959.81688969230788</v>
      </c>
      <c r="I27" s="2"/>
      <c r="J27" s="7">
        <f t="shared" si="13"/>
        <v>1.1733702807974424E-2</v>
      </c>
      <c r="K27" s="2"/>
      <c r="L27" s="6">
        <f t="shared" si="14"/>
        <v>252.64311030769215</v>
      </c>
      <c r="M27" s="2"/>
      <c r="N27" s="7">
        <f t="shared" si="15"/>
        <v>0.26322011314958516</v>
      </c>
      <c r="O27" s="11"/>
      <c r="P27" s="6">
        <v>2330.29</v>
      </c>
      <c r="Q27" s="2"/>
      <c r="R27" s="7">
        <f t="shared" si="16"/>
        <v>2.0323102346267451E-2</v>
      </c>
      <c r="S27" s="2"/>
      <c r="T27" s="6">
        <v>2070.9547823076882</v>
      </c>
      <c r="U27" s="2"/>
      <c r="V27" s="7">
        <f t="shared" si="17"/>
        <v>1.6837030750469009E-2</v>
      </c>
      <c r="W27" s="2"/>
      <c r="X27" s="6">
        <f t="shared" si="18"/>
        <v>259.33521769231174</v>
      </c>
      <c r="Y27" s="2"/>
      <c r="Z27" s="7">
        <f t="shared" si="19"/>
        <v>0.12522495416502122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599.66</v>
      </c>
      <c r="E28" s="2"/>
      <c r="F28" s="7">
        <f t="shared" si="12"/>
        <v>8.0187928003366583E-3</v>
      </c>
      <c r="G28" s="2"/>
      <c r="H28" s="6">
        <v>968.12625846153912</v>
      </c>
      <c r="I28" s="2"/>
      <c r="J28" s="7">
        <f t="shared" si="13"/>
        <v>1.1835284333270649E-2</v>
      </c>
      <c r="K28" s="2"/>
      <c r="L28" s="6">
        <f t="shared" si="14"/>
        <v>-368.46625846153916</v>
      </c>
      <c r="M28" s="2"/>
      <c r="N28" s="7">
        <f t="shared" si="15"/>
        <v>-0.38059731903881344</v>
      </c>
      <c r="O28" s="11"/>
      <c r="P28" s="6">
        <v>1102.71</v>
      </c>
      <c r="Q28" s="2"/>
      <c r="R28" s="7">
        <f t="shared" si="16"/>
        <v>9.6170383034955235E-3</v>
      </c>
      <c r="S28" s="2"/>
      <c r="T28" s="6">
        <v>1687.826861538462</v>
      </c>
      <c r="U28" s="2"/>
      <c r="V28" s="7">
        <f t="shared" si="17"/>
        <v>1.3722169606003757E-2</v>
      </c>
      <c r="W28" s="2"/>
      <c r="X28" s="6">
        <f t="shared" si="18"/>
        <v>-585.11686153846199</v>
      </c>
      <c r="Y28" s="2"/>
      <c r="Z28" s="7">
        <f t="shared" si="19"/>
        <v>-0.34666876968951971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2533.4</v>
      </c>
      <c r="E29" s="2"/>
      <c r="F29" s="7">
        <f t="shared" si="12"/>
        <v>3.3877213221446975E-2</v>
      </c>
      <c r="G29" s="2"/>
      <c r="H29" s="6">
        <v>5182.9230769230799</v>
      </c>
      <c r="I29" s="2"/>
      <c r="J29" s="7">
        <f t="shared" si="13"/>
        <v>6.33609178107956E-2</v>
      </c>
      <c r="K29" s="2"/>
      <c r="L29" s="6">
        <f t="shared" si="14"/>
        <v>-2649.5230769230798</v>
      </c>
      <c r="M29" s="2"/>
      <c r="N29" s="7">
        <f t="shared" si="15"/>
        <v>-0.51120246964884708</v>
      </c>
      <c r="O29" s="11"/>
      <c r="P29" s="6">
        <v>5066.8</v>
      </c>
      <c r="Q29" s="2"/>
      <c r="R29" s="7">
        <f t="shared" si="16"/>
        <v>4.4188961446029434E-2</v>
      </c>
      <c r="S29" s="2"/>
      <c r="T29" s="6">
        <v>8997.1538461538494</v>
      </c>
      <c r="U29" s="2"/>
      <c r="V29" s="7">
        <f t="shared" si="17"/>
        <v>7.3147592245153242E-2</v>
      </c>
      <c r="W29" s="2"/>
      <c r="X29" s="6">
        <f t="shared" si="18"/>
        <v>-3930.3538461538492</v>
      </c>
      <c r="Y29" s="2"/>
      <c r="Z29" s="7">
        <f t="shared" si="19"/>
        <v>-0.43684413019501911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40.18</v>
      </c>
      <c r="E30" s="2"/>
      <c r="F30" s="7">
        <f t="shared" si="12"/>
        <v>5.3729629242825429E-4</v>
      </c>
      <c r="G30" s="2"/>
      <c r="H30" s="6">
        <v>64.874440000000007</v>
      </c>
      <c r="I30" s="2"/>
      <c r="J30" s="7">
        <f t="shared" si="13"/>
        <v>7.9308606356968221E-4</v>
      </c>
      <c r="K30" s="2"/>
      <c r="L30" s="6">
        <f t="shared" si="14"/>
        <v>-24.694440000000007</v>
      </c>
      <c r="M30" s="2"/>
      <c r="N30" s="7">
        <f t="shared" si="15"/>
        <v>-0.38064975975129811</v>
      </c>
      <c r="O30" s="11"/>
      <c r="P30" s="6">
        <v>73.89</v>
      </c>
      <c r="Q30" s="2"/>
      <c r="R30" s="7">
        <f t="shared" si="16"/>
        <v>6.4441508669122816E-4</v>
      </c>
      <c r="S30" s="2"/>
      <c r="T30" s="6">
        <v>113.1018</v>
      </c>
      <c r="U30" s="2"/>
      <c r="V30" s="7">
        <f t="shared" si="17"/>
        <v>9.1952682926829264E-4</v>
      </c>
      <c r="W30" s="2"/>
      <c r="X30" s="6">
        <f t="shared" si="18"/>
        <v>-39.211799999999997</v>
      </c>
      <c r="Y30" s="2"/>
      <c r="Z30" s="7">
        <f t="shared" si="19"/>
        <v>-0.34669474756369922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268.22000000000003</v>
      </c>
      <c r="E31" s="2"/>
      <c r="F31" s="7">
        <f t="shared" si="12"/>
        <v>3.5867001382555099E-3</v>
      </c>
      <c r="G31" s="2"/>
      <c r="H31" s="6">
        <v>776.77846153846201</v>
      </c>
      <c r="I31" s="2"/>
      <c r="J31" s="7">
        <f t="shared" si="13"/>
        <v>9.4960692119616386E-3</v>
      </c>
      <c r="K31" s="2"/>
      <c r="L31" s="6">
        <f t="shared" si="14"/>
        <v>-508.55846153846198</v>
      </c>
      <c r="M31" s="2"/>
      <c r="N31" s="7">
        <f t="shared" si="15"/>
        <v>-0.65470206335436709</v>
      </c>
      <c r="O31" s="11"/>
      <c r="P31" s="6">
        <v>536.44000000000005</v>
      </c>
      <c r="Q31" s="2"/>
      <c r="R31" s="7">
        <f t="shared" si="16"/>
        <v>4.6784413195918593E-3</v>
      </c>
      <c r="S31" s="2"/>
      <c r="T31" s="6">
        <v>1747.751538461539</v>
      </c>
      <c r="U31" s="2"/>
      <c r="V31" s="7">
        <f t="shared" si="17"/>
        <v>1.4209362101313325E-2</v>
      </c>
      <c r="W31" s="2"/>
      <c r="X31" s="6">
        <f t="shared" si="18"/>
        <v>-1211.3115384615389</v>
      </c>
      <c r="Y31" s="2"/>
      <c r="Z31" s="7">
        <f t="shared" si="19"/>
        <v>-0.69306850075943738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329.14</v>
      </c>
      <c r="E33" s="2"/>
      <c r="F33" s="7">
        <f t="shared" si="12"/>
        <v>4.4013365278704726E-3</v>
      </c>
      <c r="G33" s="2"/>
      <c r="H33" s="6">
        <v>590.33538461538501</v>
      </c>
      <c r="I33" s="2"/>
      <c r="J33" s="7">
        <f t="shared" si="13"/>
        <v>7.2168139928531173E-3</v>
      </c>
      <c r="K33" s="2"/>
      <c r="L33" s="6">
        <f t="shared" si="14"/>
        <v>-261.19538461538502</v>
      </c>
      <c r="M33" s="2"/>
      <c r="N33" s="7">
        <f t="shared" si="15"/>
        <v>-0.44245253024356468</v>
      </c>
      <c r="O33" s="11"/>
      <c r="P33" s="6">
        <v>696.65</v>
      </c>
      <c r="Q33" s="2"/>
      <c r="R33" s="7">
        <f t="shared" si="16"/>
        <v>6.0756769541676012E-3</v>
      </c>
      <c r="S33" s="2"/>
      <c r="T33" s="6">
        <v>1189.5346153846162</v>
      </c>
      <c r="U33" s="2"/>
      <c r="V33" s="7">
        <f t="shared" si="17"/>
        <v>9.671013133208263E-3</v>
      </c>
      <c r="W33" s="2"/>
      <c r="X33" s="6">
        <f t="shared" si="18"/>
        <v>-492.88461538461627</v>
      </c>
      <c r="Y33" s="2"/>
      <c r="Z33" s="7">
        <f t="shared" si="19"/>
        <v>-0.4143507965299944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306.33999999999997</v>
      </c>
      <c r="E34" s="2"/>
      <c r="F34" s="7">
        <f t="shared" si="12"/>
        <v>4.0964496322168096E-3</v>
      </c>
      <c r="G34" s="2"/>
      <c r="H34" s="6">
        <v>984.68538461538503</v>
      </c>
      <c r="I34" s="2"/>
      <c r="J34" s="7">
        <f t="shared" si="13"/>
        <v>1.203771863832989E-2</v>
      </c>
      <c r="K34" s="2"/>
      <c r="L34" s="6">
        <f t="shared" si="14"/>
        <v>-678.345384615385</v>
      </c>
      <c r="M34" s="2"/>
      <c r="N34" s="7">
        <f t="shared" si="15"/>
        <v>-0.68889555508163103</v>
      </c>
      <c r="O34" s="11"/>
      <c r="P34" s="6">
        <v>632.08000000000004</v>
      </c>
      <c r="Q34" s="2"/>
      <c r="R34" s="7">
        <f t="shared" si="16"/>
        <v>5.5125441601812358E-3</v>
      </c>
      <c r="S34" s="2"/>
      <c r="T34" s="6">
        <v>1780.834615384616</v>
      </c>
      <c r="U34" s="2"/>
      <c r="V34" s="7">
        <f t="shared" si="17"/>
        <v>1.4478330206378991E-2</v>
      </c>
      <c r="W34" s="2"/>
      <c r="X34" s="6">
        <f t="shared" si="18"/>
        <v>-1148.754615384616</v>
      </c>
      <c r="Y34" s="2"/>
      <c r="Z34" s="7">
        <f t="shared" si="19"/>
        <v>-0.64506529997818673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358.36</v>
      </c>
      <c r="E35" s="2"/>
      <c r="F35" s="7">
        <f t="shared" si="12"/>
        <v>4.7920731546687214E-3</v>
      </c>
      <c r="G35" s="2"/>
      <c r="H35" s="6">
        <v>150</v>
      </c>
      <c r="I35" s="2"/>
      <c r="J35" s="7">
        <f t="shared" si="13"/>
        <v>1.8337408312958435E-3</v>
      </c>
      <c r="K35" s="2"/>
      <c r="L35" s="6">
        <f t="shared" si="14"/>
        <v>208.36</v>
      </c>
      <c r="M35" s="2"/>
      <c r="N35" s="7">
        <f t="shared" si="15"/>
        <v>1.3890666666666667</v>
      </c>
      <c r="O35" s="11"/>
      <c r="P35" s="6">
        <v>470.25</v>
      </c>
      <c r="Q35" s="2"/>
      <c r="R35" s="7">
        <f t="shared" si="16"/>
        <v>4.1011800584185958E-3</v>
      </c>
      <c r="S35" s="2"/>
      <c r="T35" s="6">
        <v>300</v>
      </c>
      <c r="U35" s="2"/>
      <c r="V35" s="7">
        <f t="shared" si="17"/>
        <v>2.4390243902439024E-3</v>
      </c>
      <c r="W35" s="2"/>
      <c r="X35" s="6">
        <f t="shared" si="18"/>
        <v>170.25</v>
      </c>
      <c r="Y35" s="2"/>
      <c r="Z35" s="7">
        <f t="shared" si="19"/>
        <v>0.5675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21037.230000000003</v>
      </c>
      <c r="E36" s="1"/>
      <c r="F36" s="5">
        <f t="shared" ref="F36:F46" si="20">IF(D$12=0,0,D36/D$12)</f>
        <v>0.28131472578298772</v>
      </c>
      <c r="G36" s="1"/>
      <c r="H36" s="1">
        <f>SUM(OSRRefH22_1x_0)</f>
        <v>23771.036923076921</v>
      </c>
      <c r="I36" s="1"/>
      <c r="J36" s="5">
        <f t="shared" ref="J36:J46" si="21">IF(H$12=0,0,H36/H$12)</f>
        <v>0.2905994733872484</v>
      </c>
      <c r="K36" s="1"/>
      <c r="L36" s="1">
        <f t="shared" ref="L36:L46" si="22">+D36-H36</f>
        <v>-2733.8069230769179</v>
      </c>
      <c r="M36" s="1"/>
      <c r="N36" s="5">
        <f t="shared" ref="N36:N46" si="23">IF(H36=0,0,L36/H36)</f>
        <v>-0.11500579179290821</v>
      </c>
      <c r="O36" s="13"/>
      <c r="P36" s="1">
        <f>SUM(OSRRefP22_1x_0)</f>
        <v>36779.590000000004</v>
      </c>
      <c r="Q36" s="1"/>
      <c r="R36" s="5">
        <f t="shared" ref="R36:R46" si="24">IF(P$12=0,0,P36/P$12)</f>
        <v>0.32076495707562364</v>
      </c>
      <c r="S36" s="1"/>
      <c r="T36" s="1">
        <f>SUM(OSRRefT22_1x_0)</f>
        <v>41121.623076923119</v>
      </c>
      <c r="U36" s="1"/>
      <c r="V36" s="5">
        <f t="shared" ref="V36:V46" si="25">IF(T$12=0,0,T36/T$12)</f>
        <v>0.33432213883677331</v>
      </c>
      <c r="W36" s="1"/>
      <c r="X36" s="1">
        <f t="shared" ref="X36:X46" si="26">+P36-T36</f>
        <v>-4342.033076923115</v>
      </c>
      <c r="Y36" s="1"/>
      <c r="Z36" s="5">
        <f t="shared" ref="Z36:Z46" si="27">IF(T36=0,0,X36/T36)</f>
        <v>-0.1055900217946359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3648</v>
      </c>
      <c r="E38" s="2"/>
      <c r="F38" s="7">
        <f t="shared" si="20"/>
        <v>4.8781903304586156E-2</v>
      </c>
      <c r="G38" s="2"/>
      <c r="H38" s="6">
        <v>8129.0769230769192</v>
      </c>
      <c r="I38" s="2"/>
      <c r="J38" s="7">
        <f t="shared" si="21"/>
        <v>9.9377468497272844E-2</v>
      </c>
      <c r="K38" s="2"/>
      <c r="L38" s="6">
        <f t="shared" si="22"/>
        <v>-4481.0769230769192</v>
      </c>
      <c r="M38" s="2"/>
      <c r="N38" s="7">
        <f t="shared" si="23"/>
        <v>-0.55124056094929863</v>
      </c>
      <c r="O38" s="11"/>
      <c r="P38" s="6">
        <v>7488</v>
      </c>
      <c r="Q38" s="2"/>
      <c r="R38" s="7">
        <f t="shared" si="24"/>
        <v>6.5304914997210944E-2</v>
      </c>
      <c r="S38" s="2"/>
      <c r="T38" s="6">
        <v>18290.423076923122</v>
      </c>
      <c r="U38" s="2"/>
      <c r="V38" s="7">
        <f t="shared" si="25"/>
        <v>0.1487026266416514</v>
      </c>
      <c r="W38" s="2"/>
      <c r="X38" s="6">
        <f t="shared" si="26"/>
        <v>-10802.423076923122</v>
      </c>
      <c r="Y38" s="2"/>
      <c r="Z38" s="7">
        <f t="shared" si="27"/>
        <v>-0.59060542402392269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>
        <v>1746.62</v>
      </c>
      <c r="E40" s="2"/>
      <c r="F40" s="7">
        <f t="shared" si="20"/>
        <v>2.335620831958779E-2</v>
      </c>
      <c r="G40" s="2"/>
      <c r="H40" s="6">
        <v>3231.96</v>
      </c>
      <c r="I40" s="2"/>
      <c r="J40" s="7">
        <f t="shared" si="21"/>
        <v>3.9510513447432762E-2</v>
      </c>
      <c r="K40" s="2"/>
      <c r="L40" s="6">
        <f t="shared" si="22"/>
        <v>-1485.3400000000001</v>
      </c>
      <c r="M40" s="2"/>
      <c r="N40" s="7">
        <f t="shared" si="23"/>
        <v>-0.45957870765727304</v>
      </c>
      <c r="O40" s="11"/>
      <c r="P40" s="6">
        <v>1886.7</v>
      </c>
      <c r="Q40" s="2"/>
      <c r="R40" s="7">
        <f t="shared" si="24"/>
        <v>1.6454431507109759E-2</v>
      </c>
      <c r="S40" s="2"/>
      <c r="T40" s="6">
        <v>3856.2</v>
      </c>
      <c r="U40" s="2"/>
      <c r="V40" s="7">
        <f t="shared" si="25"/>
        <v>3.1351219512195119E-2</v>
      </c>
      <c r="W40" s="2"/>
      <c r="X40" s="6">
        <f t="shared" si="26"/>
        <v>-1969.4999999999998</v>
      </c>
      <c r="Y40" s="2"/>
      <c r="Z40" s="7">
        <f t="shared" si="27"/>
        <v>-0.51073595767854363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5504.67</v>
      </c>
      <c r="E41" s="2"/>
      <c r="F41" s="7">
        <f t="shared" si="20"/>
        <v>7.3609725784993488E-2</v>
      </c>
      <c r="G41" s="2"/>
      <c r="H41" s="6">
        <v>5650</v>
      </c>
      <c r="I41" s="2"/>
      <c r="J41" s="7">
        <f t="shared" si="21"/>
        <v>6.9070904645476772E-2</v>
      </c>
      <c r="K41" s="2"/>
      <c r="L41" s="6">
        <f t="shared" si="22"/>
        <v>-145.32999999999993</v>
      </c>
      <c r="M41" s="2"/>
      <c r="N41" s="7">
        <f t="shared" si="23"/>
        <v>-2.5722123893805297E-2</v>
      </c>
      <c r="O41" s="11"/>
      <c r="P41" s="6">
        <v>11700.82</v>
      </c>
      <c r="Q41" s="2"/>
      <c r="R41" s="7">
        <f t="shared" si="24"/>
        <v>0.10204608112949595</v>
      </c>
      <c r="S41" s="2"/>
      <c r="T41" s="6">
        <v>9680</v>
      </c>
      <c r="U41" s="2"/>
      <c r="V41" s="7">
        <f t="shared" si="25"/>
        <v>7.8699186991869924E-2</v>
      </c>
      <c r="W41" s="2"/>
      <c r="X41" s="6">
        <f t="shared" si="26"/>
        <v>2020.8199999999997</v>
      </c>
      <c r="Y41" s="2"/>
      <c r="Z41" s="7">
        <f t="shared" si="27"/>
        <v>0.20876239669421484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>
        <v>975</v>
      </c>
      <c r="E42" s="2"/>
      <c r="F42" s="7">
        <f t="shared" si="20"/>
        <v>1.3037926458873765E-2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975</v>
      </c>
      <c r="M42" s="2"/>
      <c r="N42" s="7">
        <f t="shared" si="23"/>
        <v>0</v>
      </c>
      <c r="O42" s="11"/>
      <c r="P42" s="6">
        <v>1945.13</v>
      </c>
      <c r="Q42" s="2"/>
      <c r="R42" s="7">
        <f t="shared" si="24"/>
        <v>1.6964015666202582E-2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1945.13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9162.94</v>
      </c>
      <c r="E43" s="2"/>
      <c r="F43" s="7">
        <f t="shared" si="20"/>
        <v>0.12252896191494646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9162.94</v>
      </c>
      <c r="M43" s="2"/>
      <c r="N43" s="7">
        <f t="shared" si="23"/>
        <v>0</v>
      </c>
      <c r="O43" s="11"/>
      <c r="P43" s="6">
        <v>13758.94</v>
      </c>
      <c r="Q43" s="2"/>
      <c r="R43" s="7">
        <f t="shared" si="24"/>
        <v>0.11999551377560437</v>
      </c>
      <c r="S43" s="2"/>
      <c r="T43" s="6">
        <v>2535</v>
      </c>
      <c r="U43" s="2"/>
      <c r="V43" s="7">
        <f t="shared" si="25"/>
        <v>2.0609756097560977E-2</v>
      </c>
      <c r="W43" s="2"/>
      <c r="X43" s="6">
        <f t="shared" si="26"/>
        <v>11223.94</v>
      </c>
      <c r="Y43" s="2"/>
      <c r="Z43" s="7">
        <f t="shared" si="27"/>
        <v>4.4275897435897438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6760</v>
      </c>
      <c r="I44" s="2"/>
      <c r="J44" s="7">
        <f t="shared" si="21"/>
        <v>8.2640586797066012E-2</v>
      </c>
      <c r="K44" s="2"/>
      <c r="L44" s="6">
        <f t="shared" si="22"/>
        <v>-6760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6760</v>
      </c>
      <c r="U44" s="2"/>
      <c r="V44" s="7">
        <f t="shared" si="25"/>
        <v>5.4959349593495938E-2</v>
      </c>
      <c r="W44" s="2"/>
      <c r="X44" s="6">
        <f t="shared" si="26"/>
        <v>-6760</v>
      </c>
      <c r="Y44" s="2"/>
      <c r="Z44" s="7">
        <f t="shared" si="27"/>
        <v>-1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1126.9100000000001</v>
      </c>
      <c r="E47" s="1"/>
      <c r="F47" s="5">
        <f t="shared" ref="F47:F56" si="28">IF(D$12=0,0,D47/D$12)</f>
        <v>1.5069302262327628E-2</v>
      </c>
      <c r="G47" s="1"/>
      <c r="H47" s="1">
        <f>SUM(OSRRefH22_2x_0)</f>
        <v>1750</v>
      </c>
      <c r="I47" s="1"/>
      <c r="J47" s="5">
        <f t="shared" ref="J47:J56" si="29">IF(H$12=0,0,H47/H$12)</f>
        <v>2.1393643031784843E-2</v>
      </c>
      <c r="K47" s="1"/>
      <c r="L47" s="1">
        <f t="shared" ref="L47:L56" si="30">+D47-H47</f>
        <v>-623.08999999999992</v>
      </c>
      <c r="M47" s="1"/>
      <c r="N47" s="5">
        <f t="shared" ref="N47:N56" si="31">IF(H47=0,0,L47/H47)</f>
        <v>-0.35605142857142852</v>
      </c>
      <c r="O47" s="13"/>
      <c r="P47" s="1">
        <f>SUM(OSRRefP22_2x_0)</f>
        <v>1436.9</v>
      </c>
      <c r="Q47" s="1"/>
      <c r="R47" s="5">
        <f t="shared" ref="R47:R56" si="32">IF(P$12=0,0,P47/P$12)</f>
        <v>1.2531601543735631E-2</v>
      </c>
      <c r="S47" s="1"/>
      <c r="T47" s="1">
        <f>SUM(OSRRefT22_2x_0)</f>
        <v>2200</v>
      </c>
      <c r="U47" s="1"/>
      <c r="V47" s="5">
        <f t="shared" ref="V47:V56" si="33">IF(T$12=0,0,T47/T$12)</f>
        <v>1.7886178861788619E-2</v>
      </c>
      <c r="W47" s="1"/>
      <c r="X47" s="1">
        <f t="shared" ref="X47:X56" si="34">+P47-T47</f>
        <v>-763.09999999999991</v>
      </c>
      <c r="Y47" s="1"/>
      <c r="Z47" s="5">
        <f t="shared" ref="Z47:Z56" si="35">IF(T47=0,0,X47/T47)</f>
        <v>-0.34686363636363632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1126.9100000000001</v>
      </c>
      <c r="E48" s="2"/>
      <c r="F48" s="7">
        <f t="shared" si="28"/>
        <v>1.5069302262327628E-2</v>
      </c>
      <c r="G48" s="2"/>
      <c r="H48" s="6">
        <v>1750</v>
      </c>
      <c r="I48" s="2"/>
      <c r="J48" s="7">
        <f t="shared" si="29"/>
        <v>2.1393643031784843E-2</v>
      </c>
      <c r="K48" s="2"/>
      <c r="L48" s="6">
        <f t="shared" si="30"/>
        <v>-623.08999999999992</v>
      </c>
      <c r="M48" s="2"/>
      <c r="N48" s="7">
        <f t="shared" si="31"/>
        <v>-0.35605142857142852</v>
      </c>
      <c r="O48" s="11"/>
      <c r="P48" s="6">
        <v>1436.9</v>
      </c>
      <c r="Q48" s="2"/>
      <c r="R48" s="7">
        <f t="shared" si="32"/>
        <v>1.2531601543735631E-2</v>
      </c>
      <c r="S48" s="2"/>
      <c r="T48" s="6">
        <v>2200</v>
      </c>
      <c r="U48" s="2"/>
      <c r="V48" s="7">
        <f t="shared" si="33"/>
        <v>1.7886178861788619E-2</v>
      </c>
      <c r="W48" s="2"/>
      <c r="X48" s="6">
        <f t="shared" si="34"/>
        <v>-763.09999999999991</v>
      </c>
      <c r="Y48" s="2"/>
      <c r="Z48" s="7">
        <f t="shared" si="35"/>
        <v>-0.34686363636363632</v>
      </c>
    </row>
    <row r="49" spans="1:26" s="26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4</v>
      </c>
      <c r="E49" s="1"/>
      <c r="F49" s="5">
        <f t="shared" si="28"/>
        <v>5.3488929062046222E-5</v>
      </c>
      <c r="G49" s="1"/>
      <c r="H49" s="1">
        <f>SUM(OSRRefH22_3x_0)</f>
        <v>10</v>
      </c>
      <c r="I49" s="1"/>
      <c r="J49" s="5">
        <f t="shared" si="29"/>
        <v>1.2224938875305622E-4</v>
      </c>
      <c r="K49" s="1"/>
      <c r="L49" s="1">
        <f t="shared" si="30"/>
        <v>-6</v>
      </c>
      <c r="M49" s="1"/>
      <c r="N49" s="5">
        <f t="shared" si="31"/>
        <v>-0.6</v>
      </c>
      <c r="O49" s="13"/>
      <c r="P49" s="1">
        <f>SUM(OSRRefP22_3x_0)</f>
        <v>14.53</v>
      </c>
      <c r="Q49" s="1"/>
      <c r="R49" s="5">
        <f t="shared" si="32"/>
        <v>1.2672014088000466E-4</v>
      </c>
      <c r="S49" s="1"/>
      <c r="T49" s="1">
        <f>SUM(OSRRefT22_3x_0)</f>
        <v>20</v>
      </c>
      <c r="U49" s="1"/>
      <c r="V49" s="5">
        <f t="shared" si="33"/>
        <v>1.6260162601626016E-4</v>
      </c>
      <c r="W49" s="1"/>
      <c r="X49" s="1">
        <f t="shared" si="34"/>
        <v>-5.4700000000000006</v>
      </c>
      <c r="Y49" s="1"/>
      <c r="Z49" s="5">
        <f t="shared" si="35"/>
        <v>-0.27350000000000002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4</v>
      </c>
      <c r="E50" s="2"/>
      <c r="F50" s="7">
        <f t="shared" si="28"/>
        <v>5.3488929062046222E-5</v>
      </c>
      <c r="G50" s="2"/>
      <c r="H50" s="6">
        <v>10</v>
      </c>
      <c r="I50" s="2"/>
      <c r="J50" s="7">
        <f t="shared" si="29"/>
        <v>1.2224938875305622E-4</v>
      </c>
      <c r="K50" s="2"/>
      <c r="L50" s="6">
        <f t="shared" si="30"/>
        <v>-6</v>
      </c>
      <c r="M50" s="2"/>
      <c r="N50" s="7">
        <f t="shared" si="31"/>
        <v>-0.6</v>
      </c>
      <c r="O50" s="11"/>
      <c r="P50" s="6">
        <v>14.53</v>
      </c>
      <c r="Q50" s="2"/>
      <c r="R50" s="7">
        <f t="shared" si="32"/>
        <v>1.2672014088000466E-4</v>
      </c>
      <c r="S50" s="2"/>
      <c r="T50" s="6">
        <v>20</v>
      </c>
      <c r="U50" s="2"/>
      <c r="V50" s="7">
        <f t="shared" si="33"/>
        <v>1.6260162601626016E-4</v>
      </c>
      <c r="W50" s="2"/>
      <c r="X50" s="6">
        <f t="shared" si="34"/>
        <v>-5.4700000000000006</v>
      </c>
      <c r="Y50" s="2"/>
      <c r="Z50" s="7">
        <f t="shared" si="35"/>
        <v>-0.27350000000000002</v>
      </c>
    </row>
    <row r="51" spans="1:26" s="26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2534.0700000000002</v>
      </c>
      <c r="E51" s="1"/>
      <c r="F51" s="5">
        <f t="shared" si="28"/>
        <v>3.3886172617064871E-2</v>
      </c>
      <c r="G51" s="1"/>
      <c r="H51" s="1">
        <f>SUM(OSRRefH22_4x_0)</f>
        <v>2955</v>
      </c>
      <c r="I51" s="1"/>
      <c r="J51" s="5">
        <f t="shared" si="29"/>
        <v>3.612469437652812E-2</v>
      </c>
      <c r="K51" s="1"/>
      <c r="L51" s="1">
        <f t="shared" si="30"/>
        <v>-420.92999999999984</v>
      </c>
      <c r="M51" s="1"/>
      <c r="N51" s="5">
        <f t="shared" si="31"/>
        <v>-0.14244670050761415</v>
      </c>
      <c r="O51" s="13"/>
      <c r="P51" s="1">
        <f>SUM(OSRRefP22_4x_0)</f>
        <v>3827.41</v>
      </c>
      <c r="Q51" s="1"/>
      <c r="R51" s="5">
        <f t="shared" si="32"/>
        <v>3.3379899133209816E-2</v>
      </c>
      <c r="S51" s="1"/>
      <c r="T51" s="1">
        <f>SUM(OSRRefT22_4x_0)</f>
        <v>4500</v>
      </c>
      <c r="U51" s="1"/>
      <c r="V51" s="5">
        <f t="shared" si="33"/>
        <v>3.6585365853658534E-2</v>
      </c>
      <c r="W51" s="1"/>
      <c r="X51" s="1">
        <f t="shared" si="34"/>
        <v>-672.59000000000015</v>
      </c>
      <c r="Y51" s="1"/>
      <c r="Z51" s="5">
        <f t="shared" si="35"/>
        <v>-0.14946444444444448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2534.0700000000002</v>
      </c>
      <c r="E52" s="2"/>
      <c r="F52" s="7">
        <f t="shared" si="28"/>
        <v>3.3886172617064871E-2</v>
      </c>
      <c r="G52" s="2"/>
      <c r="H52" s="6">
        <v>2955</v>
      </c>
      <c r="I52" s="2"/>
      <c r="J52" s="7">
        <f t="shared" si="29"/>
        <v>3.612469437652812E-2</v>
      </c>
      <c r="K52" s="2"/>
      <c r="L52" s="6">
        <f t="shared" si="30"/>
        <v>-420.92999999999984</v>
      </c>
      <c r="M52" s="2"/>
      <c r="N52" s="7">
        <f t="shared" si="31"/>
        <v>-0.14244670050761415</v>
      </c>
      <c r="O52" s="11"/>
      <c r="P52" s="6">
        <v>3827.41</v>
      </c>
      <c r="Q52" s="2"/>
      <c r="R52" s="7">
        <f t="shared" si="32"/>
        <v>3.3379899133209816E-2</v>
      </c>
      <c r="S52" s="2"/>
      <c r="T52" s="6">
        <v>4500</v>
      </c>
      <c r="U52" s="2"/>
      <c r="V52" s="7">
        <f t="shared" si="33"/>
        <v>3.6585365853658534E-2</v>
      </c>
      <c r="W52" s="2"/>
      <c r="X52" s="6">
        <f t="shared" si="34"/>
        <v>-672.59000000000015</v>
      </c>
      <c r="Y52" s="2"/>
      <c r="Z52" s="7">
        <f t="shared" si="35"/>
        <v>-0.14946444444444448</v>
      </c>
    </row>
    <row r="53" spans="1:26" s="26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8263.4700000000012</v>
      </c>
      <c r="E53" s="1"/>
      <c r="F53" s="5">
        <f t="shared" si="28"/>
        <v>0.11050104015908678</v>
      </c>
      <c r="G53" s="1"/>
      <c r="H53" s="1">
        <f>SUM(OSRRefH22_5x_0)</f>
        <v>8546</v>
      </c>
      <c r="I53" s="1"/>
      <c r="J53" s="5">
        <f t="shared" si="29"/>
        <v>0.10447432762836185</v>
      </c>
      <c r="K53" s="1"/>
      <c r="L53" s="1">
        <f t="shared" si="30"/>
        <v>-282.52999999999884</v>
      </c>
      <c r="M53" s="1"/>
      <c r="N53" s="5">
        <f t="shared" si="31"/>
        <v>-3.3059911069506065E-2</v>
      </c>
      <c r="O53" s="13"/>
      <c r="P53" s="1">
        <f>SUM(OSRRefP22_5x_0)</f>
        <v>16526.940000000002</v>
      </c>
      <c r="Q53" s="1"/>
      <c r="R53" s="5">
        <f t="shared" si="32"/>
        <v>0.14413600585790673</v>
      </c>
      <c r="S53" s="1"/>
      <c r="T53" s="1">
        <f>SUM(OSRRefT22_5x_0)</f>
        <v>17092</v>
      </c>
      <c r="U53" s="1"/>
      <c r="V53" s="5">
        <f t="shared" si="33"/>
        <v>0.13895934959349593</v>
      </c>
      <c r="W53" s="1"/>
      <c r="X53" s="1">
        <f t="shared" si="34"/>
        <v>-565.05999999999767</v>
      </c>
      <c r="Y53" s="1"/>
      <c r="Z53" s="5">
        <f t="shared" si="35"/>
        <v>-3.3059911069506065E-2</v>
      </c>
    </row>
    <row r="54" spans="1:26" s="24" customFormat="1" hidden="1" outlineLevel="2" x14ac:dyDescent="0.25">
      <c r="A54" s="27"/>
      <c r="B54" s="11" t="str">
        <f>CONCATENATE("          ", "6321", " - ", "BUILDING DEPRECIATION")</f>
        <v xml:space="preserve">          6321 - BUILDING DEPRECIATION</v>
      </c>
      <c r="C54" s="11"/>
      <c r="D54" s="6">
        <v>6537.05</v>
      </c>
      <c r="E54" s="2"/>
      <c r="F54" s="7">
        <f t="shared" si="28"/>
        <v>8.7414950931262309E-2</v>
      </c>
      <c r="G54" s="2"/>
      <c r="H54" s="6">
        <v>6537</v>
      </c>
      <c r="I54" s="2"/>
      <c r="J54" s="7">
        <f t="shared" si="29"/>
        <v>7.9914425427872859E-2</v>
      </c>
      <c r="K54" s="2"/>
      <c r="L54" s="6">
        <f t="shared" si="30"/>
        <v>5.0000000000181899E-2</v>
      </c>
      <c r="M54" s="2"/>
      <c r="N54" s="7">
        <f t="shared" si="31"/>
        <v>7.6487685482915549E-6</v>
      </c>
      <c r="O54" s="11"/>
      <c r="P54" s="6">
        <v>13074.1</v>
      </c>
      <c r="Q54" s="2"/>
      <c r="R54" s="7">
        <f t="shared" si="32"/>
        <v>0.11402283509148445</v>
      </c>
      <c r="S54" s="2"/>
      <c r="T54" s="6">
        <v>13074</v>
      </c>
      <c r="U54" s="2"/>
      <c r="V54" s="7">
        <f t="shared" si="33"/>
        <v>0.10629268292682927</v>
      </c>
      <c r="W54" s="2"/>
      <c r="X54" s="6">
        <f t="shared" si="34"/>
        <v>0.1000000000003638</v>
      </c>
      <c r="Y54" s="2"/>
      <c r="Z54" s="7">
        <f t="shared" si="35"/>
        <v>7.6487685482915549E-6</v>
      </c>
    </row>
    <row r="55" spans="1:26" s="24" customFormat="1" hidden="1" outlineLevel="2" x14ac:dyDescent="0.25">
      <c r="A55" s="27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1726.42</v>
      </c>
      <c r="E55" s="2"/>
      <c r="F55" s="7">
        <f t="shared" si="28"/>
        <v>2.3086089227824461E-2</v>
      </c>
      <c r="G55" s="2"/>
      <c r="H55" s="6">
        <v>1726</v>
      </c>
      <c r="I55" s="2"/>
      <c r="J55" s="7">
        <f t="shared" si="29"/>
        <v>2.1100244498777506E-2</v>
      </c>
      <c r="K55" s="2"/>
      <c r="L55" s="6">
        <f t="shared" si="30"/>
        <v>0.42000000000007276</v>
      </c>
      <c r="M55" s="2"/>
      <c r="N55" s="7">
        <f t="shared" si="31"/>
        <v>2.4333719582854738E-4</v>
      </c>
      <c r="O55" s="11"/>
      <c r="P55" s="6">
        <v>3452.84</v>
      </c>
      <c r="Q55" s="2"/>
      <c r="R55" s="7">
        <f t="shared" si="32"/>
        <v>3.0113170766422254E-2</v>
      </c>
      <c r="S55" s="2"/>
      <c r="T55" s="6">
        <v>3452</v>
      </c>
      <c r="U55" s="2"/>
      <c r="V55" s="7">
        <f t="shared" si="33"/>
        <v>2.8065040650406502E-2</v>
      </c>
      <c r="W55" s="2"/>
      <c r="X55" s="6">
        <f t="shared" si="34"/>
        <v>0.84000000000014552</v>
      </c>
      <c r="Y55" s="2"/>
      <c r="Z55" s="7">
        <f t="shared" si="35"/>
        <v>2.4333719582854738E-4</v>
      </c>
    </row>
    <row r="56" spans="1:26" s="24" customFormat="1" hidden="1" outlineLevel="2" x14ac:dyDescent="0.25">
      <c r="A56" s="27"/>
      <c r="B56" s="11" t="str">
        <f>CONCATENATE("          ", "6324", " - ", "FURNITURE + FIXT DEPRECIATION")</f>
        <v xml:space="preserve">          6324 - FURNITURE + FIXT DEPRECIATION</v>
      </c>
      <c r="C56" s="11"/>
      <c r="D56" s="6"/>
      <c r="E56" s="2"/>
      <c r="F56" s="7">
        <f t="shared" si="28"/>
        <v>0</v>
      </c>
      <c r="G56" s="2"/>
      <c r="H56" s="6">
        <v>283</v>
      </c>
      <c r="I56" s="2"/>
      <c r="J56" s="7">
        <f t="shared" si="29"/>
        <v>3.4596577017114915E-3</v>
      </c>
      <c r="K56" s="2"/>
      <c r="L56" s="6">
        <f t="shared" si="30"/>
        <v>-283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566</v>
      </c>
      <c r="U56" s="2"/>
      <c r="V56" s="7">
        <f t="shared" si="33"/>
        <v>4.6016260162601626E-3</v>
      </c>
      <c r="W56" s="2"/>
      <c r="X56" s="6">
        <f t="shared" si="34"/>
        <v>-566</v>
      </c>
      <c r="Y56" s="2"/>
      <c r="Z56" s="7">
        <f t="shared" si="35"/>
        <v>-1</v>
      </c>
    </row>
    <row r="57" spans="1:26" s="26" customFormat="1" outlineLevel="1" collapsed="1" x14ac:dyDescent="0.25">
      <c r="A57" s="25"/>
      <c r="B57" s="13" t="str">
        <f>CONCATENATE("     ","Employees' Appreciation                           ")</f>
        <v xml:space="preserve">     Employees' Appreciation                           </v>
      </c>
      <c r="C57" s="13"/>
      <c r="D57" s="1">
        <f>SUM(OSRRefD22_6x_0)</f>
        <v>8.25</v>
      </c>
      <c r="E57" s="1"/>
      <c r="F57" s="5">
        <f t="shared" ref="F57:F63" si="36">IF(D$12=0,0,D57/D$12)</f>
        <v>1.1032091619047033E-4</v>
      </c>
      <c r="G57" s="1"/>
      <c r="H57" s="1">
        <f>SUM(OSRRefH22_6x_0)</f>
        <v>75</v>
      </c>
      <c r="I57" s="1"/>
      <c r="J57" s="5">
        <f t="shared" ref="J57:J63" si="37">IF(H$12=0,0,H57/H$12)</f>
        <v>9.1687041564792176E-4</v>
      </c>
      <c r="K57" s="1"/>
      <c r="L57" s="1">
        <f t="shared" ref="L57:L63" si="38">+D57-H57</f>
        <v>-66.75</v>
      </c>
      <c r="M57" s="1"/>
      <c r="N57" s="5">
        <f t="shared" ref="N57:N63" si="39">IF(H57=0,0,L57/H57)</f>
        <v>-0.89</v>
      </c>
      <c r="O57" s="13"/>
      <c r="P57" s="1">
        <f>SUM(OSRRefP22_6x_0)</f>
        <v>8.25</v>
      </c>
      <c r="Q57" s="1"/>
      <c r="R57" s="5">
        <f t="shared" ref="R57:R63" si="40">IF(P$12=0,0,P57/P$12)</f>
        <v>7.1950527340677121E-5</v>
      </c>
      <c r="S57" s="1"/>
      <c r="T57" s="1">
        <f>SUM(OSRRefT22_6x_0)</f>
        <v>125</v>
      </c>
      <c r="U57" s="1"/>
      <c r="V57" s="5">
        <f t="shared" ref="V57:V63" si="41">IF(T$12=0,0,T57/T$12)</f>
        <v>1.0162601626016261E-3</v>
      </c>
      <c r="W57" s="1"/>
      <c r="X57" s="1">
        <f t="shared" ref="X57:X63" si="42">+P57-T57</f>
        <v>-116.75</v>
      </c>
      <c r="Y57" s="1"/>
      <c r="Z57" s="5">
        <f t="shared" ref="Z57:Z63" si="43">IF(T57=0,0,X57/T57)</f>
        <v>-0.93400000000000005</v>
      </c>
    </row>
    <row r="58" spans="1:26" s="24" customFormat="1" hidden="1" outlineLevel="2" x14ac:dyDescent="0.25">
      <c r="A58" s="27"/>
      <c r="B58" s="11" t="str">
        <f>CONCATENATE("          ", "6277", " - ", "EMPLOYEE APPRECIATION")</f>
        <v xml:space="preserve">          6277 - EMPLOYEE APPRECIATION</v>
      </c>
      <c r="C58" s="11"/>
      <c r="D58" s="6">
        <v>8.25</v>
      </c>
      <c r="E58" s="2"/>
      <c r="F58" s="7">
        <f t="shared" si="36"/>
        <v>1.1032091619047033E-4</v>
      </c>
      <c r="G58" s="2"/>
      <c r="H58" s="6">
        <v>75</v>
      </c>
      <c r="I58" s="2"/>
      <c r="J58" s="7">
        <f t="shared" si="37"/>
        <v>9.1687041564792176E-4</v>
      </c>
      <c r="K58" s="2"/>
      <c r="L58" s="6">
        <f t="shared" si="38"/>
        <v>-66.75</v>
      </c>
      <c r="M58" s="2"/>
      <c r="N58" s="7">
        <f t="shared" si="39"/>
        <v>-0.89</v>
      </c>
      <c r="O58" s="11"/>
      <c r="P58" s="6">
        <v>8.25</v>
      </c>
      <c r="Q58" s="2"/>
      <c r="R58" s="7">
        <f t="shared" si="40"/>
        <v>7.1950527340677121E-5</v>
      </c>
      <c r="S58" s="2"/>
      <c r="T58" s="6">
        <v>125</v>
      </c>
      <c r="U58" s="2"/>
      <c r="V58" s="7">
        <f t="shared" si="41"/>
        <v>1.0162601626016261E-3</v>
      </c>
      <c r="W58" s="2"/>
      <c r="X58" s="6">
        <f t="shared" si="42"/>
        <v>-116.75</v>
      </c>
      <c r="Y58" s="2"/>
      <c r="Z58" s="7">
        <f t="shared" si="43"/>
        <v>-0.93400000000000005</v>
      </c>
    </row>
    <row r="59" spans="1:26" s="26" customFormat="1" outlineLevel="1" collapsed="1" x14ac:dyDescent="0.25">
      <c r="A59" s="25"/>
      <c r="B59" s="13" t="str">
        <f>CONCATENATE("     ","Equipment Rental                                  ")</f>
        <v xml:space="preserve">     Equipment Rental                                  </v>
      </c>
      <c r="C59" s="13"/>
      <c r="D59" s="1">
        <f>SUM(OSRRefD22_7x_0)</f>
        <v>453.29</v>
      </c>
      <c r="E59" s="1"/>
      <c r="F59" s="5">
        <f t="shared" si="36"/>
        <v>6.061499163633733E-3</v>
      </c>
      <c r="G59" s="1"/>
      <c r="H59" s="1">
        <f>SUM(OSRRefH22_7x_0)</f>
        <v>165</v>
      </c>
      <c r="I59" s="1"/>
      <c r="J59" s="5">
        <f t="shared" si="37"/>
        <v>2.0171149144254277E-3</v>
      </c>
      <c r="K59" s="1"/>
      <c r="L59" s="1">
        <f t="shared" si="38"/>
        <v>288.29000000000002</v>
      </c>
      <c r="M59" s="1"/>
      <c r="N59" s="5">
        <f t="shared" si="39"/>
        <v>1.7472121212121214</v>
      </c>
      <c r="O59" s="13"/>
      <c r="P59" s="1">
        <f>SUM(OSRRefP22_7x_0)</f>
        <v>453.29</v>
      </c>
      <c r="Q59" s="1"/>
      <c r="R59" s="5">
        <f t="shared" si="40"/>
        <v>3.9532672167582458E-3</v>
      </c>
      <c r="S59" s="1"/>
      <c r="T59" s="1">
        <f>SUM(OSRRefT22_7x_0)</f>
        <v>215</v>
      </c>
      <c r="U59" s="1"/>
      <c r="V59" s="5">
        <f t="shared" si="41"/>
        <v>1.7479674796747969E-3</v>
      </c>
      <c r="W59" s="1"/>
      <c r="X59" s="1">
        <f t="shared" si="42"/>
        <v>238.29000000000002</v>
      </c>
      <c r="Y59" s="1"/>
      <c r="Z59" s="5">
        <f t="shared" si="43"/>
        <v>1.108325581395349</v>
      </c>
    </row>
    <row r="60" spans="1:26" s="24" customFormat="1" hidden="1" outlineLevel="2" x14ac:dyDescent="0.25">
      <c r="A60" s="27"/>
      <c r="B60" s="11" t="str">
        <f>CONCATENATE("          ", "6351", " - ", "EQUIPMENT RENTAL")</f>
        <v xml:space="preserve">          6351 - EQUIPMENT RENTAL</v>
      </c>
      <c r="C60" s="11"/>
      <c r="D60" s="6">
        <v>453.29</v>
      </c>
      <c r="E60" s="2"/>
      <c r="F60" s="7">
        <f t="shared" si="36"/>
        <v>6.061499163633733E-3</v>
      </c>
      <c r="G60" s="2"/>
      <c r="H60" s="6">
        <v>165</v>
      </c>
      <c r="I60" s="2"/>
      <c r="J60" s="7">
        <f t="shared" si="37"/>
        <v>2.0171149144254277E-3</v>
      </c>
      <c r="K60" s="2"/>
      <c r="L60" s="6">
        <f t="shared" si="38"/>
        <v>288.29000000000002</v>
      </c>
      <c r="M60" s="2"/>
      <c r="N60" s="7">
        <f t="shared" si="39"/>
        <v>1.7472121212121214</v>
      </c>
      <c r="O60" s="11"/>
      <c r="P60" s="6">
        <v>453.29</v>
      </c>
      <c r="Q60" s="2"/>
      <c r="R60" s="7">
        <f t="shared" si="40"/>
        <v>3.9532672167582458E-3</v>
      </c>
      <c r="S60" s="2"/>
      <c r="T60" s="6">
        <v>215</v>
      </c>
      <c r="U60" s="2"/>
      <c r="V60" s="7">
        <f t="shared" si="41"/>
        <v>1.7479674796747969E-3</v>
      </c>
      <c r="W60" s="2"/>
      <c r="X60" s="6">
        <f t="shared" si="42"/>
        <v>238.29000000000002</v>
      </c>
      <c r="Y60" s="2"/>
      <c r="Z60" s="7">
        <f t="shared" si="43"/>
        <v>1.108325581395349</v>
      </c>
    </row>
    <row r="61" spans="1:26" s="26" customFormat="1" outlineLevel="1" collapsed="1" x14ac:dyDescent="0.25">
      <c r="A61" s="25"/>
      <c r="B61" s="13" t="str">
        <f>CONCATENATE("     ","General                                           ")</f>
        <v xml:space="preserve">     General                                           </v>
      </c>
      <c r="C61" s="13"/>
      <c r="D61" s="1">
        <f>SUM(OSRRefD22_8x_0)</f>
        <v>2600</v>
      </c>
      <c r="E61" s="1"/>
      <c r="F61" s="5">
        <f t="shared" si="36"/>
        <v>3.4767803890330046E-2</v>
      </c>
      <c r="G61" s="1"/>
      <c r="H61" s="1">
        <f>SUM(OSRRefH22_8x_0)</f>
        <v>350</v>
      </c>
      <c r="I61" s="1"/>
      <c r="J61" s="5">
        <f t="shared" si="37"/>
        <v>4.278728606356968E-3</v>
      </c>
      <c r="K61" s="1"/>
      <c r="L61" s="1">
        <f t="shared" si="38"/>
        <v>2250</v>
      </c>
      <c r="M61" s="1"/>
      <c r="N61" s="5">
        <f t="shared" si="39"/>
        <v>6.4285714285714288</v>
      </c>
      <c r="O61" s="13"/>
      <c r="P61" s="1">
        <f>SUM(OSRRefP22_8x_0)</f>
        <v>3839.55</v>
      </c>
      <c r="Q61" s="1"/>
      <c r="R61" s="5">
        <f t="shared" si="40"/>
        <v>3.3485775424351133E-2</v>
      </c>
      <c r="S61" s="1"/>
      <c r="T61" s="1">
        <f>SUM(OSRRefT22_8x_0)</f>
        <v>1500</v>
      </c>
      <c r="U61" s="1"/>
      <c r="V61" s="5">
        <f t="shared" si="41"/>
        <v>1.2195121951219513E-2</v>
      </c>
      <c r="W61" s="1"/>
      <c r="X61" s="1">
        <f t="shared" si="42"/>
        <v>2339.5500000000002</v>
      </c>
      <c r="Y61" s="1"/>
      <c r="Z61" s="5">
        <f t="shared" si="43"/>
        <v>1.5597000000000001</v>
      </c>
    </row>
    <row r="62" spans="1:26" s="24" customFormat="1" hidden="1" outlineLevel="2" x14ac:dyDescent="0.25">
      <c r="A62" s="27"/>
      <c r="B62" s="11" t="str">
        <f>CONCATENATE("          ", "6269", " - ", "ENTERTAINMENT")</f>
        <v xml:space="preserve">          6269 - ENTERTAINMENT</v>
      </c>
      <c r="C62" s="11"/>
      <c r="D62" s="6">
        <v>2600</v>
      </c>
      <c r="E62" s="2"/>
      <c r="F62" s="7">
        <f t="shared" si="36"/>
        <v>3.4767803890330046E-2</v>
      </c>
      <c r="G62" s="2"/>
      <c r="H62" s="6">
        <v>350</v>
      </c>
      <c r="I62" s="2"/>
      <c r="J62" s="7">
        <f t="shared" si="37"/>
        <v>4.278728606356968E-3</v>
      </c>
      <c r="K62" s="2"/>
      <c r="L62" s="6">
        <f t="shared" si="38"/>
        <v>2250</v>
      </c>
      <c r="M62" s="2"/>
      <c r="N62" s="7">
        <f t="shared" si="39"/>
        <v>6.4285714285714288</v>
      </c>
      <c r="O62" s="11"/>
      <c r="P62" s="6">
        <v>2600</v>
      </c>
      <c r="Q62" s="2"/>
      <c r="R62" s="7">
        <f t="shared" si="40"/>
        <v>2.267531770736491E-2</v>
      </c>
      <c r="S62" s="2"/>
      <c r="T62" s="6">
        <v>1500</v>
      </c>
      <c r="U62" s="2"/>
      <c r="V62" s="7">
        <f t="shared" si="41"/>
        <v>1.2195121951219513E-2</v>
      </c>
      <c r="W62" s="2"/>
      <c r="X62" s="6">
        <f t="shared" si="42"/>
        <v>1100</v>
      </c>
      <c r="Y62" s="2"/>
      <c r="Z62" s="7">
        <f t="shared" si="43"/>
        <v>0.73333333333333328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1239.55</v>
      </c>
      <c r="Q63" s="2"/>
      <c r="R63" s="7">
        <f t="shared" si="40"/>
        <v>1.0810457716986219E-2</v>
      </c>
      <c r="S63" s="2"/>
      <c r="T63" s="6"/>
      <c r="U63" s="2"/>
      <c r="V63" s="7">
        <f t="shared" si="41"/>
        <v>0</v>
      </c>
      <c r="W63" s="2"/>
      <c r="X63" s="6">
        <f t="shared" si="42"/>
        <v>1239.55</v>
      </c>
      <c r="Y63" s="2"/>
      <c r="Z63" s="7">
        <f t="shared" si="43"/>
        <v>0</v>
      </c>
    </row>
    <row r="64" spans="1:26" s="26" customFormat="1" outlineLevel="1" collapsed="1" x14ac:dyDescent="0.25">
      <c r="A64" s="25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SUM(OSRRefD22_9x_0)</f>
        <v>380</v>
      </c>
      <c r="E64" s="1"/>
      <c r="F64" s="5">
        <f t="shared" ref="F64:F69" si="44">IF(D$12=0,0,D64/D$12)</f>
        <v>5.0814482608943909E-3</v>
      </c>
      <c r="G64" s="1"/>
      <c r="H64" s="1">
        <f>SUM(OSRRefH22_9x_0)</f>
        <v>800</v>
      </c>
      <c r="I64" s="1"/>
      <c r="J64" s="5">
        <f t="shared" ref="J64:J69" si="45">IF(H$12=0,0,H64/H$12)</f>
        <v>9.7799511002444987E-3</v>
      </c>
      <c r="K64" s="1"/>
      <c r="L64" s="1">
        <f t="shared" ref="L64:L69" si="46">+D64-H64</f>
        <v>-420</v>
      </c>
      <c r="M64" s="1"/>
      <c r="N64" s="5">
        <f t="shared" ref="N64:N69" si="47">IF(H64=0,0,L64/H64)</f>
        <v>-0.52500000000000002</v>
      </c>
      <c r="O64" s="13"/>
      <c r="P64" s="1">
        <f>SUM(OSRRefP22_9x_0)</f>
        <v>3745.21</v>
      </c>
      <c r="Q64" s="1"/>
      <c r="R64" s="5">
        <f t="shared" ref="R64:R69" si="48">IF(P$12=0,0,P64/P$12)</f>
        <v>3.2663010242615434E-2</v>
      </c>
      <c r="S64" s="1"/>
      <c r="T64" s="1">
        <f>SUM(OSRRefT22_9x_0)</f>
        <v>1225</v>
      </c>
      <c r="U64" s="1"/>
      <c r="V64" s="5">
        <f t="shared" ref="V64:V69" si="49">IF(T$12=0,0,T64/T$12)</f>
        <v>9.9593495934959357E-3</v>
      </c>
      <c r="W64" s="1"/>
      <c r="X64" s="1">
        <f t="shared" ref="X64:X69" si="50">+P64-T64</f>
        <v>2520.21</v>
      </c>
      <c r="Y64" s="1"/>
      <c r="Z64" s="5">
        <f t="shared" ref="Z64:Z69" si="51">IF(T64=0,0,X64/T64)</f>
        <v>2.0573142857142859</v>
      </c>
    </row>
    <row r="65" spans="1:26" s="24" customFormat="1" hidden="1" outlineLevel="2" x14ac:dyDescent="0.25">
      <c r="A65" s="27"/>
      <c r="B65" s="11" t="str">
        <f>CONCATENATE("          ", "6375", " - ", "OUTSIDE REPAIRS &amp; MAINTENANCE")</f>
        <v xml:space="preserve">          6375 - OUTSIDE REPAIRS &amp; MAINTENANCE</v>
      </c>
      <c r="C65" s="11"/>
      <c r="D65" s="6">
        <v>380</v>
      </c>
      <c r="E65" s="2"/>
      <c r="F65" s="7">
        <f t="shared" si="44"/>
        <v>5.0814482608943909E-3</v>
      </c>
      <c r="G65" s="2"/>
      <c r="H65" s="6">
        <v>800</v>
      </c>
      <c r="I65" s="2"/>
      <c r="J65" s="7">
        <f t="shared" si="45"/>
        <v>9.7799511002444987E-3</v>
      </c>
      <c r="K65" s="2"/>
      <c r="L65" s="6">
        <f t="shared" si="46"/>
        <v>-420</v>
      </c>
      <c r="M65" s="2"/>
      <c r="N65" s="7">
        <f t="shared" si="47"/>
        <v>-0.52500000000000002</v>
      </c>
      <c r="O65" s="11"/>
      <c r="P65" s="6">
        <v>3745.21</v>
      </c>
      <c r="Q65" s="2"/>
      <c r="R65" s="7">
        <f t="shared" si="48"/>
        <v>3.2663010242615434E-2</v>
      </c>
      <c r="S65" s="2"/>
      <c r="T65" s="6">
        <v>1225</v>
      </c>
      <c r="U65" s="2"/>
      <c r="V65" s="7">
        <f t="shared" si="49"/>
        <v>9.9593495934959357E-3</v>
      </c>
      <c r="W65" s="2"/>
      <c r="X65" s="6">
        <f t="shared" si="50"/>
        <v>2520.21</v>
      </c>
      <c r="Y65" s="2"/>
      <c r="Z65" s="7">
        <f t="shared" si="51"/>
        <v>2.0573142857142859</v>
      </c>
    </row>
    <row r="66" spans="1:26" s="26" customFormat="1" outlineLevel="1" collapsed="1" x14ac:dyDescent="0.25">
      <c r="A66" s="25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SUM(OSRRefD22_10x_0)</f>
        <v>573.35</v>
      </c>
      <c r="E66" s="1"/>
      <c r="F66" s="5">
        <f t="shared" si="44"/>
        <v>7.66696936943105E-3</v>
      </c>
      <c r="G66" s="1"/>
      <c r="H66" s="1">
        <f>SUM(OSRRefH22_10x_0)</f>
        <v>476</v>
      </c>
      <c r="I66" s="1"/>
      <c r="J66" s="5">
        <f t="shared" si="45"/>
        <v>5.8190709046454766E-3</v>
      </c>
      <c r="K66" s="1"/>
      <c r="L66" s="1">
        <f t="shared" si="46"/>
        <v>97.350000000000023</v>
      </c>
      <c r="M66" s="1"/>
      <c r="N66" s="5">
        <f t="shared" si="47"/>
        <v>0.20451680672268913</v>
      </c>
      <c r="O66" s="13"/>
      <c r="P66" s="1">
        <f>SUM(OSRRefP22_10x_0)</f>
        <v>823</v>
      </c>
      <c r="Q66" s="1"/>
      <c r="R66" s="5">
        <f t="shared" si="48"/>
        <v>7.1776101819851232E-3</v>
      </c>
      <c r="S66" s="1"/>
      <c r="T66" s="1">
        <f>SUM(OSRRefT22_10x_0)</f>
        <v>954</v>
      </c>
      <c r="U66" s="1"/>
      <c r="V66" s="5">
        <f t="shared" si="49"/>
        <v>7.7560975609756097E-3</v>
      </c>
      <c r="W66" s="1"/>
      <c r="X66" s="1">
        <f t="shared" si="50"/>
        <v>-131</v>
      </c>
      <c r="Y66" s="1"/>
      <c r="Z66" s="5">
        <f t="shared" si="51"/>
        <v>-0.13731656184486374</v>
      </c>
    </row>
    <row r="67" spans="1:26" s="24" customFormat="1" hidden="1" outlineLevel="2" x14ac:dyDescent="0.25">
      <c r="A67" s="27"/>
      <c r="B67" s="11" t="str">
        <f>CONCATENATE("          ", "6283", " - ", "PLANT SERVICE")</f>
        <v xml:space="preserve">          6283 - PLANT SERVICE</v>
      </c>
      <c r="C67" s="11"/>
      <c r="D67" s="6">
        <v>39.75</v>
      </c>
      <c r="E67" s="2"/>
      <c r="F67" s="7">
        <f t="shared" si="44"/>
        <v>5.3154623255408432E-4</v>
      </c>
      <c r="G67" s="2"/>
      <c r="H67" s="6">
        <v>30</v>
      </c>
      <c r="I67" s="2"/>
      <c r="J67" s="7">
        <f t="shared" si="45"/>
        <v>3.6674816625916872E-4</v>
      </c>
      <c r="K67" s="2"/>
      <c r="L67" s="6">
        <f t="shared" si="46"/>
        <v>9.75</v>
      </c>
      <c r="M67" s="2"/>
      <c r="N67" s="7">
        <f t="shared" si="47"/>
        <v>0.32500000000000001</v>
      </c>
      <c r="O67" s="11"/>
      <c r="P67" s="6">
        <v>79.5</v>
      </c>
      <c r="Q67" s="2"/>
      <c r="R67" s="7">
        <f t="shared" si="48"/>
        <v>6.9334144528288857E-4</v>
      </c>
      <c r="S67" s="2"/>
      <c r="T67" s="6">
        <v>60</v>
      </c>
      <c r="U67" s="2"/>
      <c r="V67" s="7">
        <f t="shared" si="49"/>
        <v>4.8780487804878049E-4</v>
      </c>
      <c r="W67" s="2"/>
      <c r="X67" s="6">
        <f t="shared" si="50"/>
        <v>19.5</v>
      </c>
      <c r="Y67" s="2"/>
      <c r="Z67" s="7">
        <f t="shared" si="51"/>
        <v>0.32500000000000001</v>
      </c>
    </row>
    <row r="68" spans="1:26" s="24" customFormat="1" hidden="1" outlineLevel="2" x14ac:dyDescent="0.25">
      <c r="A68" s="27"/>
      <c r="B68" s="11" t="str">
        <f>CONCATENATE("          ", "6285", " - ", "JANITORIAL SERVICES")</f>
        <v xml:space="preserve">          6285 - JANITORIAL SERVICES</v>
      </c>
      <c r="C68" s="11"/>
      <c r="D68" s="6">
        <v>350</v>
      </c>
      <c r="E68" s="2"/>
      <c r="F68" s="7">
        <f t="shared" si="44"/>
        <v>4.6802812929290444E-3</v>
      </c>
      <c r="G68" s="2"/>
      <c r="H68" s="6">
        <v>288</v>
      </c>
      <c r="I68" s="2"/>
      <c r="J68" s="7">
        <f t="shared" si="45"/>
        <v>3.5207823960880197E-3</v>
      </c>
      <c r="K68" s="2"/>
      <c r="L68" s="6">
        <f t="shared" si="46"/>
        <v>62</v>
      </c>
      <c r="M68" s="2"/>
      <c r="N68" s="7">
        <f t="shared" si="47"/>
        <v>0.21527777777777779</v>
      </c>
      <c r="O68" s="11"/>
      <c r="P68" s="6">
        <v>350</v>
      </c>
      <c r="Q68" s="2"/>
      <c r="R68" s="7">
        <f t="shared" si="48"/>
        <v>3.0524466144529684E-3</v>
      </c>
      <c r="S68" s="2"/>
      <c r="T68" s="6">
        <v>648</v>
      </c>
      <c r="U68" s="2"/>
      <c r="V68" s="7">
        <f t="shared" si="49"/>
        <v>5.2682926829268296E-3</v>
      </c>
      <c r="W68" s="2"/>
      <c r="X68" s="6">
        <f t="shared" si="50"/>
        <v>-298</v>
      </c>
      <c r="Y68" s="2"/>
      <c r="Z68" s="7">
        <f t="shared" si="51"/>
        <v>-0.45987654320987653</v>
      </c>
    </row>
    <row r="69" spans="1:26" s="24" customFormat="1" hidden="1" outlineLevel="2" x14ac:dyDescent="0.25">
      <c r="A69" s="27"/>
      <c r="B69" s="11" t="str">
        <f>CONCATENATE("          ", "6286", " - ", "LAUNDRY EXPENSE")</f>
        <v xml:space="preserve">          6286 - LAUNDRY EXPENSE</v>
      </c>
      <c r="C69" s="11"/>
      <c r="D69" s="6">
        <v>183.6</v>
      </c>
      <c r="E69" s="2"/>
      <c r="F69" s="7">
        <f t="shared" si="44"/>
        <v>2.4551418439479216E-3</v>
      </c>
      <c r="G69" s="2"/>
      <c r="H69" s="6">
        <v>158</v>
      </c>
      <c r="I69" s="2"/>
      <c r="J69" s="7">
        <f t="shared" si="45"/>
        <v>1.9315403422982885E-3</v>
      </c>
      <c r="K69" s="2"/>
      <c r="L69" s="6">
        <f t="shared" si="46"/>
        <v>25.599999999999994</v>
      </c>
      <c r="M69" s="2"/>
      <c r="N69" s="7">
        <f t="shared" si="47"/>
        <v>0.16202531645569618</v>
      </c>
      <c r="O69" s="11"/>
      <c r="P69" s="6">
        <v>393.5</v>
      </c>
      <c r="Q69" s="2"/>
      <c r="R69" s="7">
        <f t="shared" si="48"/>
        <v>3.431822122249266E-3</v>
      </c>
      <c r="S69" s="2"/>
      <c r="T69" s="6">
        <v>246</v>
      </c>
      <c r="U69" s="2"/>
      <c r="V69" s="7">
        <f t="shared" si="49"/>
        <v>2E-3</v>
      </c>
      <c r="W69" s="2"/>
      <c r="X69" s="6">
        <f t="shared" si="50"/>
        <v>147.5</v>
      </c>
      <c r="Y69" s="2"/>
      <c r="Z69" s="7">
        <f t="shared" si="51"/>
        <v>0.59959349593495936</v>
      </c>
    </row>
    <row r="70" spans="1:26" s="26" customFormat="1" outlineLevel="1" collapsed="1" x14ac:dyDescent="0.25">
      <c r="A70" s="25"/>
      <c r="B70" s="13" t="str">
        <f>CONCATENATE("     ","Subscriptions &amp; Dues                              ")</f>
        <v xml:space="preserve">     Subscriptions &amp; Dues                              </v>
      </c>
      <c r="C70" s="13"/>
      <c r="D70" s="1">
        <f>SUM(OSRRefD22_11x_0)</f>
        <v>196.71</v>
      </c>
      <c r="E70" s="1"/>
      <c r="F70" s="5">
        <f t="shared" ref="F70:F77" si="52">IF(D$12=0,0,D70/D$12)</f>
        <v>2.630451808948778E-3</v>
      </c>
      <c r="G70" s="1"/>
      <c r="H70" s="1">
        <f>SUM(OSRRefH22_11x_0)</f>
        <v>194</v>
      </c>
      <c r="I70" s="1"/>
      <c r="J70" s="5">
        <f t="shared" ref="J70:J77" si="53">IF(H$12=0,0,H70/H$12)</f>
        <v>2.371638141809291E-3</v>
      </c>
      <c r="K70" s="1"/>
      <c r="L70" s="1">
        <f t="shared" ref="L70:L77" si="54">+D70-H70</f>
        <v>2.710000000000008</v>
      </c>
      <c r="M70" s="1"/>
      <c r="N70" s="5">
        <f t="shared" ref="N70:N77" si="55">IF(H70=0,0,L70/H70)</f>
        <v>1.3969072164948495E-2</v>
      </c>
      <c r="O70" s="13"/>
      <c r="P70" s="1">
        <f>SUM(OSRRefP22_11x_0)</f>
        <v>393.42</v>
      </c>
      <c r="Q70" s="1"/>
      <c r="R70" s="5">
        <f t="shared" ref="R70:R77" si="56">IF(P$12=0,0,P70/P$12)</f>
        <v>3.4311244201659626E-3</v>
      </c>
      <c r="S70" s="1"/>
      <c r="T70" s="1">
        <f>SUM(OSRRefT22_11x_0)</f>
        <v>388</v>
      </c>
      <c r="U70" s="1"/>
      <c r="V70" s="5">
        <f t="shared" ref="V70:V77" si="57">IF(T$12=0,0,T70/T$12)</f>
        <v>3.1544715447154471E-3</v>
      </c>
      <c r="W70" s="1"/>
      <c r="X70" s="1">
        <f t="shared" ref="X70:X77" si="58">+P70-T70</f>
        <v>5.4200000000000159</v>
      </c>
      <c r="Y70" s="1"/>
      <c r="Z70" s="5">
        <f t="shared" ref="Z70:Z77" si="59">IF(T70=0,0,X70/T70)</f>
        <v>1.3969072164948495E-2</v>
      </c>
    </row>
    <row r="71" spans="1:26" s="24" customFormat="1" hidden="1" outlineLevel="2" x14ac:dyDescent="0.25">
      <c r="A71" s="27"/>
      <c r="B71" s="11" t="str">
        <f>CONCATENATE("          ", "6275", " - ", "SUBSCRIPTIONS")</f>
        <v xml:space="preserve">          6275 - SUBSCRIPTIONS</v>
      </c>
      <c r="C71" s="11"/>
      <c r="D71" s="6">
        <v>196.71</v>
      </c>
      <c r="E71" s="2"/>
      <c r="F71" s="7">
        <f t="shared" si="52"/>
        <v>2.630451808948778E-3</v>
      </c>
      <c r="G71" s="2"/>
      <c r="H71" s="6">
        <v>194</v>
      </c>
      <c r="I71" s="2"/>
      <c r="J71" s="7">
        <f t="shared" si="53"/>
        <v>2.371638141809291E-3</v>
      </c>
      <c r="K71" s="2"/>
      <c r="L71" s="6">
        <f t="shared" si="54"/>
        <v>2.710000000000008</v>
      </c>
      <c r="M71" s="2"/>
      <c r="N71" s="7">
        <f t="shared" si="55"/>
        <v>1.3969072164948495E-2</v>
      </c>
      <c r="O71" s="11"/>
      <c r="P71" s="6">
        <v>393.42</v>
      </c>
      <c r="Q71" s="2"/>
      <c r="R71" s="7">
        <f t="shared" si="56"/>
        <v>3.4311244201659626E-3</v>
      </c>
      <c r="S71" s="2"/>
      <c r="T71" s="6">
        <v>388</v>
      </c>
      <c r="U71" s="2"/>
      <c r="V71" s="7">
        <f t="shared" si="57"/>
        <v>3.1544715447154471E-3</v>
      </c>
      <c r="W71" s="2"/>
      <c r="X71" s="6">
        <f t="shared" si="58"/>
        <v>5.4200000000000159</v>
      </c>
      <c r="Y71" s="2"/>
      <c r="Z71" s="7">
        <f t="shared" si="59"/>
        <v>1.3969072164948495E-2</v>
      </c>
    </row>
    <row r="72" spans="1:26" s="26" customFormat="1" outlineLevel="1" collapsed="1" x14ac:dyDescent="0.25">
      <c r="A72" s="25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2640.5600000000004</v>
      </c>
      <c r="E72" s="1"/>
      <c r="F72" s="5">
        <f t="shared" si="52"/>
        <v>3.5310181631019198E-2</v>
      </c>
      <c r="G72" s="1"/>
      <c r="H72" s="1">
        <f>SUM(OSRRefH22_12x_0)</f>
        <v>1875</v>
      </c>
      <c r="I72" s="1"/>
      <c r="J72" s="5">
        <f t="shared" si="53"/>
        <v>2.2921760391198046E-2</v>
      </c>
      <c r="K72" s="1"/>
      <c r="L72" s="1">
        <f t="shared" si="54"/>
        <v>765.5600000000004</v>
      </c>
      <c r="M72" s="1"/>
      <c r="N72" s="5">
        <f t="shared" si="55"/>
        <v>0.40829866666666687</v>
      </c>
      <c r="O72" s="13"/>
      <c r="P72" s="1">
        <f>SUM(OSRRefP22_12x_0)</f>
        <v>3257.4399999999996</v>
      </c>
      <c r="Q72" s="1"/>
      <c r="R72" s="5">
        <f t="shared" si="56"/>
        <v>2.840903342795336E-2</v>
      </c>
      <c r="S72" s="1"/>
      <c r="T72" s="1">
        <f>SUM(OSRRefT22_12x_0)</f>
        <v>5150</v>
      </c>
      <c r="U72" s="1"/>
      <c r="V72" s="5">
        <f t="shared" si="57"/>
        <v>4.1869918699186992E-2</v>
      </c>
      <c r="W72" s="1"/>
      <c r="X72" s="1">
        <f t="shared" si="58"/>
        <v>-1892.5600000000004</v>
      </c>
      <c r="Y72" s="1"/>
      <c r="Z72" s="5">
        <f t="shared" si="59"/>
        <v>-0.3674873786407768</v>
      </c>
    </row>
    <row r="73" spans="1:26" s="24" customFormat="1" hidden="1" outlineLevel="2" x14ac:dyDescent="0.25">
      <c r="A73" s="27"/>
      <c r="B73" s="11" t="str">
        <f>CONCATENATE("          ", "6237", " - ", "JANITORIAL SUPPLIES")</f>
        <v xml:space="preserve">          6237 - JANITORIAL SUPPLIES</v>
      </c>
      <c r="C73" s="11"/>
      <c r="D73" s="6"/>
      <c r="E73" s="2"/>
      <c r="F73" s="7">
        <f t="shared" si="52"/>
        <v>0</v>
      </c>
      <c r="G73" s="2"/>
      <c r="H73" s="6"/>
      <c r="I73" s="2"/>
      <c r="J73" s="7">
        <f t="shared" si="53"/>
        <v>0</v>
      </c>
      <c r="K73" s="2"/>
      <c r="L73" s="6">
        <f t="shared" si="54"/>
        <v>0</v>
      </c>
      <c r="M73" s="2"/>
      <c r="N73" s="7">
        <f t="shared" si="55"/>
        <v>0</v>
      </c>
      <c r="O73" s="11"/>
      <c r="P73" s="6"/>
      <c r="Q73" s="2"/>
      <c r="R73" s="7">
        <f t="shared" si="56"/>
        <v>0</v>
      </c>
      <c r="S73" s="2"/>
      <c r="T73" s="6">
        <v>1850</v>
      </c>
      <c r="U73" s="2"/>
      <c r="V73" s="7">
        <f t="shared" si="57"/>
        <v>1.5040650406504066E-2</v>
      </c>
      <c r="W73" s="2"/>
      <c r="X73" s="6">
        <f t="shared" si="58"/>
        <v>-1850</v>
      </c>
      <c r="Y73" s="2"/>
      <c r="Z73" s="7">
        <f t="shared" si="59"/>
        <v>-1</v>
      </c>
    </row>
    <row r="74" spans="1:26" s="24" customFormat="1" hidden="1" outlineLevel="2" x14ac:dyDescent="0.25">
      <c r="A74" s="27"/>
      <c r="B74" s="11" t="str">
        <f>CONCATENATE("          ", "6241", " - ", "OFFICE EXPENSE")</f>
        <v xml:space="preserve">          6241 - OFFICE EXPENSE</v>
      </c>
      <c r="C74" s="11"/>
      <c r="D74" s="6">
        <v>1065.17</v>
      </c>
      <c r="E74" s="2"/>
      <c r="F74" s="7">
        <f t="shared" si="52"/>
        <v>1.4243700642254943E-2</v>
      </c>
      <c r="G74" s="2"/>
      <c r="H74" s="6">
        <v>200</v>
      </c>
      <c r="I74" s="2"/>
      <c r="J74" s="7">
        <f t="shared" si="53"/>
        <v>2.4449877750611247E-3</v>
      </c>
      <c r="K74" s="2"/>
      <c r="L74" s="6">
        <f t="shared" si="54"/>
        <v>865.17000000000007</v>
      </c>
      <c r="M74" s="2"/>
      <c r="N74" s="7">
        <f t="shared" si="55"/>
        <v>4.32585</v>
      </c>
      <c r="O74" s="11"/>
      <c r="P74" s="6">
        <v>1403.59</v>
      </c>
      <c r="Q74" s="2"/>
      <c r="R74" s="7">
        <f t="shared" si="56"/>
        <v>1.224109583880012E-2</v>
      </c>
      <c r="S74" s="2"/>
      <c r="T74" s="6">
        <v>375</v>
      </c>
      <c r="U74" s="2"/>
      <c r="V74" s="7">
        <f t="shared" si="57"/>
        <v>3.0487804878048782E-3</v>
      </c>
      <c r="W74" s="2"/>
      <c r="X74" s="6">
        <f t="shared" si="58"/>
        <v>1028.5899999999999</v>
      </c>
      <c r="Y74" s="2"/>
      <c r="Z74" s="7">
        <f t="shared" si="59"/>
        <v>2.7429066666666664</v>
      </c>
    </row>
    <row r="75" spans="1:26" s="24" customFormat="1" hidden="1" outlineLevel="2" x14ac:dyDescent="0.25">
      <c r="A75" s="27"/>
      <c r="B75" s="11" t="str">
        <f>CONCATENATE("          ", "6243", " - ", "PAPER SUPPLIES")</f>
        <v xml:space="preserve">          6243 - PAPER SUPPLIES</v>
      </c>
      <c r="C75" s="11"/>
      <c r="D75" s="6">
        <v>281.95</v>
      </c>
      <c r="E75" s="2"/>
      <c r="F75" s="7">
        <f t="shared" si="52"/>
        <v>3.7703008872609829E-3</v>
      </c>
      <c r="G75" s="2"/>
      <c r="H75" s="6">
        <v>675</v>
      </c>
      <c r="I75" s="2"/>
      <c r="J75" s="7">
        <f t="shared" si="53"/>
        <v>8.2518337408312957E-3</v>
      </c>
      <c r="K75" s="2"/>
      <c r="L75" s="6">
        <f t="shared" si="54"/>
        <v>-393.05</v>
      </c>
      <c r="M75" s="2"/>
      <c r="N75" s="7">
        <f t="shared" si="55"/>
        <v>-0.58229629629629631</v>
      </c>
      <c r="O75" s="11"/>
      <c r="P75" s="6">
        <v>560.41</v>
      </c>
      <c r="Q75" s="2"/>
      <c r="R75" s="7">
        <f t="shared" si="56"/>
        <v>4.8874903063016797E-3</v>
      </c>
      <c r="S75" s="2"/>
      <c r="T75" s="6">
        <v>1125</v>
      </c>
      <c r="U75" s="2"/>
      <c r="V75" s="7">
        <f t="shared" si="57"/>
        <v>9.1463414634146336E-3</v>
      </c>
      <c r="W75" s="2"/>
      <c r="X75" s="6">
        <f t="shared" si="58"/>
        <v>-564.59</v>
      </c>
      <c r="Y75" s="2"/>
      <c r="Z75" s="7">
        <f t="shared" si="59"/>
        <v>-0.50185777777777785</v>
      </c>
    </row>
    <row r="76" spans="1:26" s="24" customFormat="1" hidden="1" outlineLevel="2" x14ac:dyDescent="0.25">
      <c r="A76" s="27"/>
      <c r="B76" s="11" t="str">
        <f>CONCATENATE("          ", "6247", " - ", "STORE SUPPLIES")</f>
        <v xml:space="preserve">          6247 - STORE SUPPLIES</v>
      </c>
      <c r="C76" s="11"/>
      <c r="D76" s="6">
        <v>513.20000000000005</v>
      </c>
      <c r="E76" s="2"/>
      <c r="F76" s="7">
        <f t="shared" si="52"/>
        <v>6.8626295986605303E-3</v>
      </c>
      <c r="G76" s="2"/>
      <c r="H76" s="6">
        <v>1000</v>
      </c>
      <c r="I76" s="2"/>
      <c r="J76" s="7">
        <f t="shared" si="53"/>
        <v>1.2224938875305624E-2</v>
      </c>
      <c r="K76" s="2"/>
      <c r="L76" s="6">
        <f t="shared" si="54"/>
        <v>-486.79999999999995</v>
      </c>
      <c r="M76" s="2"/>
      <c r="N76" s="7">
        <f t="shared" si="55"/>
        <v>-0.48679999999999995</v>
      </c>
      <c r="O76" s="11"/>
      <c r="P76" s="6">
        <v>513.20000000000005</v>
      </c>
      <c r="Q76" s="2"/>
      <c r="R76" s="7">
        <f t="shared" si="56"/>
        <v>4.4757588643921818E-3</v>
      </c>
      <c r="S76" s="2"/>
      <c r="T76" s="6">
        <v>1000</v>
      </c>
      <c r="U76" s="2"/>
      <c r="V76" s="7">
        <f t="shared" si="57"/>
        <v>8.130081300813009E-3</v>
      </c>
      <c r="W76" s="2"/>
      <c r="X76" s="6">
        <f t="shared" si="58"/>
        <v>-486.79999999999995</v>
      </c>
      <c r="Y76" s="2"/>
      <c r="Z76" s="7">
        <f t="shared" si="59"/>
        <v>-0.48679999999999995</v>
      </c>
    </row>
    <row r="77" spans="1:26" s="24" customFormat="1" hidden="1" outlineLevel="2" x14ac:dyDescent="0.25">
      <c r="A77" s="27"/>
      <c r="B77" s="11" t="str">
        <f>CONCATENATE("          ", "6248", " - ", "UNIFORMS")</f>
        <v xml:space="preserve">          6248 - UNIFORMS</v>
      </c>
      <c r="C77" s="11"/>
      <c r="D77" s="6">
        <v>780.24</v>
      </c>
      <c r="E77" s="2"/>
      <c r="F77" s="7">
        <f t="shared" si="52"/>
        <v>1.0433550502842736E-2</v>
      </c>
      <c r="G77" s="2"/>
      <c r="H77" s="6"/>
      <c r="I77" s="2"/>
      <c r="J77" s="7">
        <f t="shared" si="53"/>
        <v>0</v>
      </c>
      <c r="K77" s="2"/>
      <c r="L77" s="6">
        <f t="shared" si="54"/>
        <v>780.24</v>
      </c>
      <c r="M77" s="2"/>
      <c r="N77" s="7">
        <f t="shared" si="55"/>
        <v>0</v>
      </c>
      <c r="O77" s="11"/>
      <c r="P77" s="6">
        <v>780.24</v>
      </c>
      <c r="Q77" s="2"/>
      <c r="R77" s="7">
        <f t="shared" si="56"/>
        <v>6.8046884184593832E-3</v>
      </c>
      <c r="S77" s="2"/>
      <c r="T77" s="6">
        <v>800</v>
      </c>
      <c r="U77" s="2"/>
      <c r="V77" s="7">
        <f t="shared" si="57"/>
        <v>6.5040650406504065E-3</v>
      </c>
      <c r="W77" s="2"/>
      <c r="X77" s="6">
        <f t="shared" si="58"/>
        <v>-19.759999999999991</v>
      </c>
      <c r="Y77" s="2"/>
      <c r="Z77" s="7">
        <f t="shared" si="59"/>
        <v>-2.4699999999999989E-2</v>
      </c>
    </row>
    <row r="78" spans="1:26" s="26" customFormat="1" outlineLevel="1" collapsed="1" x14ac:dyDescent="0.25">
      <c r="A78" s="25"/>
      <c r="B78" s="13" t="str">
        <f>CONCATENATE("     ","Telephone/Data Lines                              ")</f>
        <v xml:space="preserve">     Telephone/Data Lines                              </v>
      </c>
      <c r="C78" s="13"/>
      <c r="D78" s="1">
        <f>SUM(OSRRefD22_13x_0)</f>
        <v>108.7</v>
      </c>
      <c r="E78" s="1"/>
      <c r="F78" s="5">
        <f t="shared" ref="F78:F83" si="60">IF(D$12=0,0,D78/D$12)</f>
        <v>1.4535616472611062E-3</v>
      </c>
      <c r="G78" s="1"/>
      <c r="H78" s="1">
        <f>SUM(OSRRefH22_13x_0)</f>
        <v>160</v>
      </c>
      <c r="I78" s="1"/>
      <c r="J78" s="5">
        <f t="shared" ref="J78:J83" si="61">IF(H$12=0,0,H78/H$12)</f>
        <v>1.9559902200488996E-3</v>
      </c>
      <c r="K78" s="1"/>
      <c r="L78" s="1">
        <f t="shared" ref="L78:L83" si="62">+D78-H78</f>
        <v>-51.3</v>
      </c>
      <c r="M78" s="1"/>
      <c r="N78" s="5">
        <f t="shared" ref="N78:N83" si="63">IF(H78=0,0,L78/H78)</f>
        <v>-0.32062499999999999</v>
      </c>
      <c r="O78" s="13"/>
      <c r="P78" s="1">
        <f>SUM(OSRRefP22_13x_0)</f>
        <v>221.9</v>
      </c>
      <c r="Q78" s="1"/>
      <c r="R78" s="5">
        <f t="shared" ref="R78:R83" si="64">IF(P$12=0,0,P78/P$12)</f>
        <v>1.9352511535631822E-3</v>
      </c>
      <c r="S78" s="1"/>
      <c r="T78" s="1">
        <f>SUM(OSRRefT22_13x_0)</f>
        <v>320</v>
      </c>
      <c r="U78" s="1"/>
      <c r="V78" s="5">
        <f t="shared" ref="V78:V83" si="65">IF(T$12=0,0,T78/T$12)</f>
        <v>2.6016260162601626E-3</v>
      </c>
      <c r="W78" s="1"/>
      <c r="X78" s="1">
        <f t="shared" ref="X78:X83" si="66">+P78-T78</f>
        <v>-98.1</v>
      </c>
      <c r="Y78" s="1"/>
      <c r="Z78" s="5">
        <f t="shared" ref="Z78:Z83" si="67">IF(T78=0,0,X78/T78)</f>
        <v>-0.30656249999999996</v>
      </c>
    </row>
    <row r="79" spans="1:26" s="24" customFormat="1" hidden="1" outlineLevel="2" x14ac:dyDescent="0.25">
      <c r="A79" s="27"/>
      <c r="B79" s="11" t="str">
        <f>CONCATENATE("          ", "6309", " - ", "TELEPHONE")</f>
        <v xml:space="preserve">          6309 - TELEPHONE</v>
      </c>
      <c r="C79" s="11"/>
      <c r="D79" s="6">
        <v>108.7</v>
      </c>
      <c r="E79" s="2"/>
      <c r="F79" s="7">
        <f t="shared" si="60"/>
        <v>1.4535616472611062E-3</v>
      </c>
      <c r="G79" s="2"/>
      <c r="H79" s="6">
        <v>160</v>
      </c>
      <c r="I79" s="2"/>
      <c r="J79" s="7">
        <f t="shared" si="61"/>
        <v>1.9559902200488996E-3</v>
      </c>
      <c r="K79" s="2"/>
      <c r="L79" s="6">
        <f t="shared" si="62"/>
        <v>-51.3</v>
      </c>
      <c r="M79" s="2"/>
      <c r="N79" s="7">
        <f t="shared" si="63"/>
        <v>-0.32062499999999999</v>
      </c>
      <c r="O79" s="11"/>
      <c r="P79" s="6">
        <v>221.9</v>
      </c>
      <c r="Q79" s="2"/>
      <c r="R79" s="7">
        <f t="shared" si="64"/>
        <v>1.9352511535631822E-3</v>
      </c>
      <c r="S79" s="2"/>
      <c r="T79" s="6">
        <v>320</v>
      </c>
      <c r="U79" s="2"/>
      <c r="V79" s="7">
        <f t="shared" si="65"/>
        <v>2.6016260162601626E-3</v>
      </c>
      <c r="W79" s="2"/>
      <c r="X79" s="6">
        <f t="shared" si="66"/>
        <v>-98.1</v>
      </c>
      <c r="Y79" s="2"/>
      <c r="Z79" s="7">
        <f t="shared" si="67"/>
        <v>-0.30656249999999996</v>
      </c>
    </row>
    <row r="80" spans="1:26" s="26" customFormat="1" outlineLevel="1" collapsed="1" x14ac:dyDescent="0.25">
      <c r="A80" s="25"/>
      <c r="B80" s="13" t="str">
        <f>CONCATENATE("     ","Training                                          ")</f>
        <v xml:space="preserve">     Training                                          </v>
      </c>
      <c r="C80" s="13"/>
      <c r="D80" s="1">
        <f>SUM(OSRRefD22_14x_0)</f>
        <v>0</v>
      </c>
      <c r="E80" s="1"/>
      <c r="F80" s="5">
        <f t="shared" si="60"/>
        <v>0</v>
      </c>
      <c r="G80" s="1"/>
      <c r="H80" s="1">
        <f>SUM(OSRRefH22_14x_0)</f>
        <v>0</v>
      </c>
      <c r="I80" s="1"/>
      <c r="J80" s="5">
        <f t="shared" si="61"/>
        <v>0</v>
      </c>
      <c r="K80" s="1"/>
      <c r="L80" s="1">
        <f t="shared" si="62"/>
        <v>0</v>
      </c>
      <c r="M80" s="1"/>
      <c r="N80" s="5">
        <f t="shared" si="63"/>
        <v>0</v>
      </c>
      <c r="O80" s="13"/>
      <c r="P80" s="1">
        <f>SUM(OSRRefP22_14x_0)</f>
        <v>85</v>
      </c>
      <c r="Q80" s="1"/>
      <c r="R80" s="5">
        <f t="shared" si="64"/>
        <v>7.4130846351000662E-4</v>
      </c>
      <c r="S80" s="1"/>
      <c r="T80" s="1">
        <f>SUM(OSRRefT22_14x_0)</f>
        <v>0</v>
      </c>
      <c r="U80" s="1"/>
      <c r="V80" s="5">
        <f t="shared" si="65"/>
        <v>0</v>
      </c>
      <c r="W80" s="1"/>
      <c r="X80" s="1">
        <f t="shared" si="66"/>
        <v>85</v>
      </c>
      <c r="Y80" s="1"/>
      <c r="Z80" s="5">
        <f t="shared" si="67"/>
        <v>0</v>
      </c>
    </row>
    <row r="81" spans="1:26" s="24" customFormat="1" hidden="1" outlineLevel="2" x14ac:dyDescent="0.25">
      <c r="A81" s="27"/>
      <c r="B81" s="11" t="str">
        <f>CONCATENATE("          ", "6376", " - ", "TRAINING")</f>
        <v xml:space="preserve">          6376 - TRAINING</v>
      </c>
      <c r="C81" s="11"/>
      <c r="D81" s="6"/>
      <c r="E81" s="2"/>
      <c r="F81" s="7">
        <f t="shared" si="60"/>
        <v>0</v>
      </c>
      <c r="G81" s="2"/>
      <c r="H81" s="6"/>
      <c r="I81" s="2"/>
      <c r="J81" s="7">
        <f t="shared" si="61"/>
        <v>0</v>
      </c>
      <c r="K81" s="2"/>
      <c r="L81" s="6">
        <f t="shared" si="62"/>
        <v>0</v>
      </c>
      <c r="M81" s="2"/>
      <c r="N81" s="7">
        <f t="shared" si="63"/>
        <v>0</v>
      </c>
      <c r="O81" s="11"/>
      <c r="P81" s="6">
        <v>85</v>
      </c>
      <c r="Q81" s="2"/>
      <c r="R81" s="7">
        <f t="shared" si="64"/>
        <v>7.4130846351000662E-4</v>
      </c>
      <c r="S81" s="2"/>
      <c r="T81" s="6"/>
      <c r="U81" s="2"/>
      <c r="V81" s="7">
        <f t="shared" si="65"/>
        <v>0</v>
      </c>
      <c r="W81" s="2"/>
      <c r="X81" s="6">
        <f t="shared" si="66"/>
        <v>85</v>
      </c>
      <c r="Y81" s="2"/>
      <c r="Z81" s="7">
        <f t="shared" si="67"/>
        <v>0</v>
      </c>
    </row>
    <row r="82" spans="1:26" s="26" customFormat="1" outlineLevel="1" collapsed="1" x14ac:dyDescent="0.25">
      <c r="A82" s="25"/>
      <c r="B82" s="13" t="str">
        <f>CONCATENATE("     ","Travel                                            ")</f>
        <v xml:space="preserve">     Travel                                            </v>
      </c>
      <c r="C82" s="13"/>
      <c r="D82" s="1">
        <f>SUM(OSRRefD22_15x_0)</f>
        <v>0</v>
      </c>
      <c r="E82" s="1"/>
      <c r="F82" s="5">
        <f t="shared" si="60"/>
        <v>0</v>
      </c>
      <c r="G82" s="1"/>
      <c r="H82" s="1">
        <f>SUM(OSRRefH22_15x_0)</f>
        <v>0</v>
      </c>
      <c r="I82" s="1"/>
      <c r="J82" s="5">
        <f t="shared" si="61"/>
        <v>0</v>
      </c>
      <c r="K82" s="1"/>
      <c r="L82" s="1">
        <f t="shared" si="62"/>
        <v>0</v>
      </c>
      <c r="M82" s="1"/>
      <c r="N82" s="5">
        <f t="shared" si="63"/>
        <v>0</v>
      </c>
      <c r="O82" s="13"/>
      <c r="P82" s="1">
        <f>SUM(OSRRefP22_15x_0)</f>
        <v>0</v>
      </c>
      <c r="Q82" s="1"/>
      <c r="R82" s="5">
        <f t="shared" si="64"/>
        <v>0</v>
      </c>
      <c r="S82" s="1"/>
      <c r="T82" s="1">
        <f>SUM(OSRRefT22_15x_0)</f>
        <v>2000</v>
      </c>
      <c r="U82" s="1"/>
      <c r="V82" s="5">
        <f t="shared" si="65"/>
        <v>1.6260162601626018E-2</v>
      </c>
      <c r="W82" s="1"/>
      <c r="X82" s="1">
        <f t="shared" si="66"/>
        <v>-2000</v>
      </c>
      <c r="Y82" s="1"/>
      <c r="Z82" s="5">
        <f t="shared" si="67"/>
        <v>-1</v>
      </c>
    </row>
    <row r="83" spans="1:26" s="24" customFormat="1" hidden="1" outlineLevel="2" x14ac:dyDescent="0.25">
      <c r="A83" s="27"/>
      <c r="B83" s="11" t="str">
        <f>CONCATENATE("          ", "6292", " - ", "TRAVEL/CONFERENCE")</f>
        <v xml:space="preserve">          6292 - TRAVEL/CONFERENCE</v>
      </c>
      <c r="C83" s="11"/>
      <c r="D83" s="6"/>
      <c r="E83" s="2"/>
      <c r="F83" s="7">
        <f t="shared" si="60"/>
        <v>0</v>
      </c>
      <c r="G83" s="2"/>
      <c r="H83" s="6"/>
      <c r="I83" s="2"/>
      <c r="J83" s="7">
        <f t="shared" si="61"/>
        <v>0</v>
      </c>
      <c r="K83" s="2"/>
      <c r="L83" s="6">
        <f t="shared" si="62"/>
        <v>0</v>
      </c>
      <c r="M83" s="2"/>
      <c r="N83" s="7">
        <f t="shared" si="63"/>
        <v>0</v>
      </c>
      <c r="O83" s="11"/>
      <c r="P83" s="6"/>
      <c r="Q83" s="2"/>
      <c r="R83" s="7">
        <f t="shared" si="64"/>
        <v>0</v>
      </c>
      <c r="S83" s="2"/>
      <c r="T83" s="6">
        <v>2000</v>
      </c>
      <c r="U83" s="2"/>
      <c r="V83" s="7">
        <f t="shared" si="65"/>
        <v>1.6260162601626018E-2</v>
      </c>
      <c r="W83" s="2"/>
      <c r="X83" s="6">
        <f t="shared" si="66"/>
        <v>-2000</v>
      </c>
      <c r="Y83" s="2"/>
      <c r="Z83" s="7">
        <f t="shared" si="67"/>
        <v>-1</v>
      </c>
    </row>
    <row r="84" spans="1:26" s="63" customFormat="1" x14ac:dyDescent="0.25">
      <c r="A84" s="36"/>
      <c r="B84" s="36"/>
      <c r="C84" s="36"/>
      <c r="D84" s="1"/>
      <c r="E84" s="1"/>
      <c r="F84" s="5"/>
      <c r="G84" s="1"/>
      <c r="H84" s="1"/>
      <c r="I84" s="1"/>
      <c r="J84" s="5"/>
      <c r="K84" s="1"/>
      <c r="L84" s="1"/>
      <c r="M84" s="1"/>
      <c r="N84" s="5"/>
      <c r="O84" s="36"/>
      <c r="P84" s="1"/>
      <c r="Q84" s="1"/>
      <c r="R84" s="5"/>
      <c r="S84" s="1"/>
      <c r="T84" s="1"/>
      <c r="U84" s="1"/>
      <c r="V84" s="5"/>
      <c r="W84" s="1"/>
      <c r="X84" s="1"/>
      <c r="Y84" s="1"/>
      <c r="Z84" s="5"/>
    </row>
    <row r="85" spans="1:26" s="23" customFormat="1" x14ac:dyDescent="0.25">
      <c r="A85" s="10"/>
      <c r="B85" s="28" t="s">
        <v>0</v>
      </c>
      <c r="C85" s="10"/>
      <c r="D85" s="4">
        <f>SUM(0)</f>
        <v>0</v>
      </c>
      <c r="E85" s="4"/>
      <c r="F85" s="12">
        <f>IF(D$12=0,0,D85/D$12)</f>
        <v>0</v>
      </c>
      <c r="G85" s="4"/>
      <c r="H85" s="4">
        <f>SUM(0)</f>
        <v>0</v>
      </c>
      <c r="I85" s="4"/>
      <c r="J85" s="12">
        <f>IF(H$12=0,0,H85/H$12)</f>
        <v>0</v>
      </c>
      <c r="K85" s="4"/>
      <c r="L85" s="4">
        <f>+D85-H85</f>
        <v>0</v>
      </c>
      <c r="M85" s="4"/>
      <c r="N85" s="12">
        <f>IF(H85=0,0,L85/H85)</f>
        <v>0</v>
      </c>
      <c r="O85" s="10"/>
      <c r="P85" s="4">
        <f>SUM(0)</f>
        <v>0</v>
      </c>
      <c r="Q85" s="4"/>
      <c r="R85" s="12">
        <f>IF(P$12=0,0,P85/P$12)</f>
        <v>0</v>
      </c>
      <c r="S85" s="4"/>
      <c r="T85" s="4">
        <f>SUM(0)</f>
        <v>0</v>
      </c>
      <c r="U85" s="4"/>
      <c r="V85" s="12">
        <f>IF(T$12=0,0,T85/T$12)</f>
        <v>0</v>
      </c>
      <c r="W85" s="4"/>
      <c r="X85" s="4">
        <f>+P85-T85</f>
        <v>0</v>
      </c>
      <c r="Y85" s="4"/>
      <c r="Z85" s="12">
        <f>IF(T85=0,0,X85/T85)</f>
        <v>0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9" t="s">
        <v>3</v>
      </c>
      <c r="C87" s="29"/>
      <c r="D87" s="22">
        <f>+D23-D25+D85</f>
        <v>6623.9000000000087</v>
      </c>
      <c r="E87" s="14"/>
      <c r="F87" s="20">
        <f>IF(D$12=0,0,D87/D$12)</f>
        <v>8.8576329303522106E-2</v>
      </c>
      <c r="G87" s="14"/>
      <c r="H87" s="22">
        <f>+H23-H25+H85</f>
        <v>6252.423181076927</v>
      </c>
      <c r="I87" s="14"/>
      <c r="J87" s="20">
        <f>IF(H$12=0,0,H87/H$12)</f>
        <v>7.6435491211209378E-2</v>
      </c>
      <c r="K87" s="15"/>
      <c r="L87" s="22">
        <f>+D87-H87</f>
        <v>371.47681892308174</v>
      </c>
      <c r="M87" s="15"/>
      <c r="N87" s="20">
        <f>IF(H87=0,0,L87/H87)</f>
        <v>5.9413255975277413E-2</v>
      </c>
      <c r="O87" s="28"/>
      <c r="P87" s="22">
        <f>+P23-P25+P85</f>
        <v>-6275.1900000000023</v>
      </c>
      <c r="Q87" s="14"/>
      <c r="R87" s="20">
        <f>IF(P$12=0,0,P87/P$12)</f>
        <v>-5.4727664201568944E-2</v>
      </c>
      <c r="S87" s="14"/>
      <c r="T87" s="22">
        <f>+T23-T25+T85</f>
        <v>-9377.7811361538916</v>
      </c>
      <c r="U87" s="14"/>
      <c r="V87" s="20">
        <f>IF(T$12=0,0,T87/T$12)</f>
        <v>-7.624212305816172E-2</v>
      </c>
      <c r="W87" s="15"/>
      <c r="X87" s="22">
        <f>+P87-T87</f>
        <v>3102.5911361538892</v>
      </c>
      <c r="Y87" s="15"/>
      <c r="Z87" s="20">
        <f>IF(T87=0,0,X87/T87)</f>
        <v>-0.33084490788471893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2"/>
      <c r="B89" s="10" t="s">
        <v>14</v>
      </c>
      <c r="C89" s="10"/>
      <c r="D89" s="4">
        <v>6003.98</v>
      </c>
      <c r="E89" s="4"/>
      <c r="F89" s="12">
        <f>IF(D$12=0,0,D89/D$12)</f>
        <v>8.0286615077486065E-2</v>
      </c>
      <c r="G89" s="4"/>
      <c r="H89" s="4">
        <v>9935</v>
      </c>
      <c r="I89" s="4"/>
      <c r="J89" s="12">
        <f>IF(H$12=0,0,H89/H$12)</f>
        <v>0.12145476772616137</v>
      </c>
      <c r="K89" s="4"/>
      <c r="L89" s="4">
        <f>+D89-H89</f>
        <v>-3931.0200000000004</v>
      </c>
      <c r="M89" s="4"/>
      <c r="N89" s="12">
        <f>IF(H89=0,0,L89/H89)</f>
        <v>-0.3956738802214394</v>
      </c>
      <c r="O89" s="10"/>
      <c r="P89" s="4">
        <v>14296.27</v>
      </c>
      <c r="Q89" s="4"/>
      <c r="R89" s="12">
        <f>IF(P$12=0,0,P89/P$12)</f>
        <v>0.12468171703087298</v>
      </c>
      <c r="S89" s="4"/>
      <c r="T89" s="4">
        <v>19976</v>
      </c>
      <c r="U89" s="4"/>
      <c r="V89" s="12">
        <f>IF(T$12=0,0,T89/T$12)</f>
        <v>0.16240650406504065</v>
      </c>
      <c r="W89" s="4"/>
      <c r="X89" s="4">
        <f>+P89-T89</f>
        <v>-5679.73</v>
      </c>
      <c r="Y89" s="4"/>
      <c r="Z89" s="12">
        <f>IF(T89=0,0,X89/T89)</f>
        <v>-0.28432769323187823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9" t="s">
        <v>4</v>
      </c>
      <c r="C91" s="29"/>
      <c r="D91" s="31">
        <f>+D87-D89</f>
        <v>619.92000000000917</v>
      </c>
      <c r="E91" s="14"/>
      <c r="F91" s="32">
        <f>IF(D$12=0,0,D91/D$12)</f>
        <v>8.2897142260360459E-3</v>
      </c>
      <c r="G91" s="14"/>
      <c r="H91" s="31">
        <f>+H87-H89</f>
        <v>-3682.576818923073</v>
      </c>
      <c r="I91" s="14"/>
      <c r="J91" s="32">
        <f>IF(H$12=0,0,H91/H$12)</f>
        <v>-4.5019276514951995E-2</v>
      </c>
      <c r="K91" s="15"/>
      <c r="L91" s="31">
        <f>D91-H91</f>
        <v>4302.4968189230822</v>
      </c>
      <c r="M91" s="15"/>
      <c r="N91" s="32">
        <f>IF(H91=0,0,L91/H91)</f>
        <v>-1.1683386472250965</v>
      </c>
      <c r="O91" s="28"/>
      <c r="P91" s="31">
        <f>+P87-P89</f>
        <v>-20571.460000000003</v>
      </c>
      <c r="Q91" s="14"/>
      <c r="R91" s="32">
        <f>IF(P$12=0,0,P91/P$12)</f>
        <v>-0.17940938123244193</v>
      </c>
      <c r="S91" s="14"/>
      <c r="T91" s="31">
        <f>+T87-T89</f>
        <v>-29353.781136153892</v>
      </c>
      <c r="U91" s="14"/>
      <c r="V91" s="32">
        <f>IF(T$12=0,0,T91/T$12)</f>
        <v>-0.23864862712320237</v>
      </c>
      <c r="W91" s="15"/>
      <c r="X91" s="31">
        <f>P91-T91</f>
        <v>8782.3211361538888</v>
      </c>
      <c r="Y91" s="15"/>
      <c r="Z91" s="32">
        <f>IF(T91=0,0,X91/T91)</f>
        <v>-0.29918875171202564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5</v>
      </c>
      <c r="C94" s="29"/>
      <c r="D94" s="33">
        <f>SUM(D91:D93)</f>
        <v>619.92000000000917</v>
      </c>
      <c r="E94" s="14"/>
      <c r="F94" s="35">
        <f>IF(D$12=0,0,D94/D$12)</f>
        <v>8.2897142260360459E-3</v>
      </c>
      <c r="G94" s="14"/>
      <c r="H94" s="33">
        <f>SUM(H91:H93)</f>
        <v>-3682.576818923073</v>
      </c>
      <c r="I94" s="14"/>
      <c r="J94" s="35">
        <f>IF(H$12=0,0,H94/H$12)</f>
        <v>-4.5019276514951995E-2</v>
      </c>
      <c r="K94" s="15"/>
      <c r="L94" s="33">
        <f>+D94-H94</f>
        <v>4302.4968189230822</v>
      </c>
      <c r="M94" s="15"/>
      <c r="N94" s="35">
        <f>IF(H94=0,0,L94/H94)</f>
        <v>-1.1683386472250965</v>
      </c>
      <c r="O94" s="28"/>
      <c r="P94" s="33">
        <f>SUM(P91:P93)</f>
        <v>-20571.460000000003</v>
      </c>
      <c r="Q94" s="14"/>
      <c r="R94" s="35">
        <f>IF(P$12=0,0,P94/P$12)</f>
        <v>-0.17940938123244193</v>
      </c>
      <c r="S94" s="14"/>
      <c r="T94" s="33">
        <f>SUM(T91:T93)</f>
        <v>-29353.781136153892</v>
      </c>
      <c r="U94" s="14"/>
      <c r="V94" s="35">
        <f>IF(T$12=0,0,T94/T$12)</f>
        <v>-0.23864862712320237</v>
      </c>
      <c r="W94" s="15"/>
      <c r="X94" s="33">
        <f>+P94-T94</f>
        <v>8782.3211361538888</v>
      </c>
      <c r="Y94" s="15"/>
      <c r="Z94" s="35">
        <f>IF(T94=0,0,X94/T94)</f>
        <v>-0.29918875171202564</v>
      </c>
    </row>
    <row r="95" spans="1:26" ht="15.75" thickTop="1" x14ac:dyDescent="0.25">
      <c r="A95" s="9"/>
      <c r="C95" s="9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25">
      <c r="A96" s="9"/>
      <c r="B96" s="61">
        <v>43732.706430787039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25">
      <c r="A97" s="9"/>
      <c r="B97" s="62" t="s">
        <v>314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58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","420", " - ", "Catering")</f>
        <v>Department 420 - Catering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SUM(0)</f>
        <v>0</v>
      </c>
      <c r="E18" s="19"/>
      <c r="F18" s="34">
        <f>IF(D$12=0,0,D18/D$12)</f>
        <v>0</v>
      </c>
      <c r="G18" s="19"/>
      <c r="H18" s="19">
        <f>SUM(0)</f>
        <v>0</v>
      </c>
      <c r="I18" s="19"/>
      <c r="J18" s="34">
        <f>IF(H$12=0,0,H18/H$12)</f>
        <v>0</v>
      </c>
      <c r="K18" s="4"/>
      <c r="L18" s="19">
        <f>+D18-H18</f>
        <v>0</v>
      </c>
      <c r="M18" s="4"/>
      <c r="N18" s="34">
        <f>IF(H18=0,0,L18/H18)</f>
        <v>0</v>
      </c>
      <c r="O18" s="10"/>
      <c r="P18" s="19">
        <f>SUM(0)</f>
        <v>0</v>
      </c>
      <c r="Q18" s="19"/>
      <c r="R18" s="34">
        <f>IF(P$12=0,0,P18/P$12)</f>
        <v>0</v>
      </c>
      <c r="S18" s="19"/>
      <c r="T18" s="19">
        <f>SUM(0)</f>
        <v>0</v>
      </c>
      <c r="U18" s="19"/>
      <c r="V18" s="34">
        <f>IF(T$12=0,0,T18/T$12)</f>
        <v>0</v>
      </c>
      <c r="W18" s="4"/>
      <c r="X18" s="19">
        <f>+P18-T18</f>
        <v>0</v>
      </c>
      <c r="Y18" s="4"/>
      <c r="Z18" s="34">
        <f>IF(T18=0,0,X18/T18)</f>
        <v>0</v>
      </c>
    </row>
    <row r="19" spans="1:26" s="6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5"/>
      <c r="L26" s="31">
        <f>D26-H26</f>
        <v>0</v>
      </c>
      <c r="M26" s="15"/>
      <c r="N26" s="32">
        <f>IF(H26=0,0,L26/H26)</f>
        <v>0</v>
      </c>
      <c r="O26" s="28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5"/>
      <c r="X26" s="31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3">
        <f>SUM(D26:D28)</f>
        <v>0</v>
      </c>
      <c r="E29" s="14"/>
      <c r="F29" s="35">
        <f>IF(D$12=0,0,D29/D$12)</f>
        <v>0</v>
      </c>
      <c r="G29" s="14"/>
      <c r="H29" s="33">
        <f>SUM(H26:H28)</f>
        <v>0</v>
      </c>
      <c r="I29" s="14"/>
      <c r="J29" s="35">
        <f>IF(H$12=0,0,H29/H$12)</f>
        <v>0</v>
      </c>
      <c r="K29" s="15"/>
      <c r="L29" s="33">
        <f>+D29-H29</f>
        <v>0</v>
      </c>
      <c r="M29" s="15"/>
      <c r="N29" s="35">
        <f>IF(H29=0,0,L29/H29)</f>
        <v>0</v>
      </c>
      <c r="O29" s="28"/>
      <c r="P29" s="33">
        <f>SUM(P26:P28)</f>
        <v>0</v>
      </c>
      <c r="Q29" s="14"/>
      <c r="R29" s="35">
        <f>IF(P$12=0,0,P29/P$12)</f>
        <v>0</v>
      </c>
      <c r="S29" s="14"/>
      <c r="T29" s="33">
        <f>SUM(T26:T28)</f>
        <v>0</v>
      </c>
      <c r="U29" s="14"/>
      <c r="V29" s="35">
        <f>IF(T$12=0,0,T29/T$12)</f>
        <v>0</v>
      </c>
      <c r="W29" s="15"/>
      <c r="X29" s="33">
        <f>+P29-T29</f>
        <v>0</v>
      </c>
      <c r="Y29" s="15"/>
      <c r="Z29" s="35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2"/>
      <c r="K30" s="17"/>
      <c r="L30" s="17"/>
      <c r="M30" s="17"/>
      <c r="P30" s="17"/>
      <c r="Q30" s="17"/>
      <c r="R30" s="42"/>
      <c r="S30" s="17"/>
      <c r="T30" s="17"/>
      <c r="U30" s="17"/>
      <c r="V30" s="42"/>
      <c r="W30" s="17"/>
      <c r="X30" s="17"/>
    </row>
    <row r="31" spans="1:26" x14ac:dyDescent="0.25">
      <c r="A31" s="9"/>
      <c r="B31" s="61">
        <v>43732.706447719909</v>
      </c>
      <c r="D31" s="17"/>
      <c r="E31" s="17"/>
      <c r="G31" s="17"/>
      <c r="H31" s="17"/>
      <c r="I31" s="17"/>
      <c r="J31" s="42"/>
      <c r="K31" s="17"/>
      <c r="L31" s="17"/>
      <c r="M31" s="17"/>
      <c r="P31" s="17"/>
      <c r="Q31" s="17"/>
      <c r="R31" s="42"/>
      <c r="S31" s="17"/>
      <c r="T31" s="17"/>
      <c r="U31" s="17"/>
      <c r="V31" s="42"/>
      <c r="W31" s="17"/>
      <c r="X31" s="17"/>
    </row>
    <row r="32" spans="1:26" x14ac:dyDescent="0.25">
      <c r="A32" s="9"/>
      <c r="B32" s="62" t="s">
        <v>314</v>
      </c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8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","423", " - ", "Contract Revenue")</f>
        <v>Department 423 - Contract Revenue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8" t="s">
        <v>8</v>
      </c>
      <c r="C14" s="10"/>
      <c r="D14" s="4">
        <f>SUM(OSRRefD16x_0)</f>
        <v>-805.48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-805.48</v>
      </c>
      <c r="M14" s="4"/>
      <c r="N14" s="12">
        <f t="shared" ref="N14:N15" si="3">IF(H14=0,0,L14/H14)</f>
        <v>0</v>
      </c>
      <c r="O14" s="10"/>
      <c r="P14" s="4">
        <f>SUM(OSRRefP16x_0)</f>
        <v>-805.48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-805.48</v>
      </c>
      <c r="Y14" s="4"/>
      <c r="Z14" s="12">
        <f t="shared" ref="Z14:Z15" si="7">IF(T14=0,0,X14/T14)</f>
        <v>0</v>
      </c>
    </row>
    <row r="15" spans="1:26" s="24" customFormat="1" hidden="1" outlineLevel="1" x14ac:dyDescent="0.25">
      <c r="A15" s="46"/>
      <c r="B15" s="11" t="str">
        <f>CONCATENATE("          ", "5053", " - ", "PURCHASES @ COST-FOOD")</f>
        <v xml:space="preserve">          5053 - PURCHASES @ COST-FOOD</v>
      </c>
      <c r="C15" s="11"/>
      <c r="D15" s="2">
        <v>-805.48</v>
      </c>
      <c r="E15" s="2"/>
      <c r="F15" s="21">
        <f t="shared" si="0"/>
        <v>0</v>
      </c>
      <c r="G15" s="2"/>
      <c r="H15" s="2"/>
      <c r="I15" s="2"/>
      <c r="J15" s="21">
        <f t="shared" si="1"/>
        <v>0</v>
      </c>
      <c r="K15" s="2"/>
      <c r="L15" s="2">
        <f t="shared" si="2"/>
        <v>-805.48</v>
      </c>
      <c r="M15" s="2"/>
      <c r="N15" s="21">
        <f t="shared" si="3"/>
        <v>0</v>
      </c>
      <c r="O15" s="11"/>
      <c r="P15" s="2">
        <v>-805.48</v>
      </c>
      <c r="Q15" s="2"/>
      <c r="R15" s="21">
        <f t="shared" si="4"/>
        <v>0</v>
      </c>
      <c r="S15" s="2"/>
      <c r="T15" s="2"/>
      <c r="U15" s="2"/>
      <c r="V15" s="21">
        <f t="shared" si="5"/>
        <v>0</v>
      </c>
      <c r="W15" s="2"/>
      <c r="X15" s="2">
        <f t="shared" si="6"/>
        <v>-805.48</v>
      </c>
      <c r="Y15" s="2"/>
      <c r="Z15" s="21">
        <f t="shared" si="7"/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D12-D14</f>
        <v>805.48</v>
      </c>
      <c r="E17" s="14"/>
      <c r="F17" s="20">
        <f>IF(D$12=0,0,D17/D$12)</f>
        <v>0</v>
      </c>
      <c r="G17" s="14"/>
      <c r="H17" s="22">
        <f>H12-H14</f>
        <v>0</v>
      </c>
      <c r="I17" s="14"/>
      <c r="J17" s="20">
        <f>IF(H$12=0,0,H17/H$12)</f>
        <v>0</v>
      </c>
      <c r="K17" s="15"/>
      <c r="L17" s="22">
        <f>+D17-H17</f>
        <v>805.48</v>
      </c>
      <c r="M17" s="15"/>
      <c r="N17" s="20">
        <f>IF(H17=0,0,L17/H17)</f>
        <v>0</v>
      </c>
      <c r="O17" s="28"/>
      <c r="P17" s="22">
        <f>P12-P14</f>
        <v>805.48</v>
      </c>
      <c r="Q17" s="14"/>
      <c r="R17" s="20">
        <f>IF(P$12=0,0,P17/P$12)</f>
        <v>0</v>
      </c>
      <c r="S17" s="14"/>
      <c r="T17" s="22">
        <f>T12-T14</f>
        <v>0</v>
      </c>
      <c r="U17" s="14"/>
      <c r="V17" s="20">
        <f>IF(T$12=0,0,T17/T$12)</f>
        <v>0</v>
      </c>
      <c r="W17" s="15"/>
      <c r="X17" s="22">
        <f>+P17-T17</f>
        <v>805.48</v>
      </c>
      <c r="Y17" s="15"/>
      <c r="Z17" s="20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19">
        <f>SUM(OSRRefD22x_0)</f>
        <v>4202.49</v>
      </c>
      <c r="E19" s="19"/>
      <c r="F19" s="34">
        <f t="shared" ref="F19:F29" si="8">IF(D$12=0,0,D19/D$12)</f>
        <v>0</v>
      </c>
      <c r="G19" s="19"/>
      <c r="H19" s="19">
        <f>SUM(OSRRefH22x_0)</f>
        <v>6331.7953308384567</v>
      </c>
      <c r="I19" s="19"/>
      <c r="J19" s="34">
        <f t="shared" ref="J19:J29" si="9">IF(H$12=0,0,H19/H$12)</f>
        <v>0</v>
      </c>
      <c r="K19" s="4"/>
      <c r="L19" s="19">
        <f t="shared" ref="L19:L29" si="10">+D19-H19</f>
        <v>-2129.3053308384569</v>
      </c>
      <c r="M19" s="4"/>
      <c r="N19" s="34">
        <f t="shared" ref="N19:N29" si="11">IF(H19=0,0,L19/H19)</f>
        <v>-0.33628776983170333</v>
      </c>
      <c r="O19" s="10"/>
      <c r="P19" s="19">
        <f>SUM(OSRRefP22x_0)</f>
        <v>26589.519999999997</v>
      </c>
      <c r="Q19" s="19"/>
      <c r="R19" s="34">
        <f t="shared" ref="R19:R29" si="12">IF(P$12=0,0,P19/P$12)</f>
        <v>0</v>
      </c>
      <c r="S19" s="19"/>
      <c r="T19" s="19">
        <f>SUM(OSRRefT22x_0)</f>
        <v>17784.664494386532</v>
      </c>
      <c r="U19" s="19"/>
      <c r="V19" s="34">
        <f t="shared" ref="V19:V29" si="13">IF(T$12=0,0,T19/T$12)</f>
        <v>0</v>
      </c>
      <c r="W19" s="4"/>
      <c r="X19" s="19">
        <f t="shared" ref="X19:X29" si="14">+P19-T19</f>
        <v>8804.8555056134646</v>
      </c>
      <c r="Y19" s="4"/>
      <c r="Z19" s="34">
        <f t="shared" ref="Z19:Z29" si="15">IF(T19=0,0,X19/T19)</f>
        <v>0.49508133866638798</v>
      </c>
    </row>
    <row r="20" spans="1:26" s="26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2796.26</v>
      </c>
      <c r="E20" s="1"/>
      <c r="F20" s="5">
        <f t="shared" si="8"/>
        <v>0</v>
      </c>
      <c r="G20" s="1"/>
      <c r="H20" s="1">
        <f>SUM(OSRRefH22_0x_0)</f>
        <v>2140.130946223077</v>
      </c>
      <c r="I20" s="1"/>
      <c r="J20" s="5">
        <f t="shared" si="9"/>
        <v>0</v>
      </c>
      <c r="K20" s="1"/>
      <c r="L20" s="1">
        <f t="shared" si="10"/>
        <v>656.12905377692323</v>
      </c>
      <c r="M20" s="1"/>
      <c r="N20" s="5">
        <f t="shared" si="11"/>
        <v>0.30658360178140776</v>
      </c>
      <c r="O20" s="13"/>
      <c r="P20" s="1">
        <f>SUM(OSRRefP22_0x_0)</f>
        <v>7414.0499999999993</v>
      </c>
      <c r="Q20" s="1"/>
      <c r="R20" s="5">
        <f t="shared" si="12"/>
        <v>0</v>
      </c>
      <c r="S20" s="1"/>
      <c r="T20" s="1">
        <f>SUM(OSRRefT22_0x_0)</f>
        <v>4605.1696290019227</v>
      </c>
      <c r="U20" s="1"/>
      <c r="V20" s="5">
        <f t="shared" si="13"/>
        <v>0</v>
      </c>
      <c r="W20" s="1"/>
      <c r="X20" s="1">
        <f t="shared" si="14"/>
        <v>2808.8803709980766</v>
      </c>
      <c r="Y20" s="1"/>
      <c r="Z20" s="5">
        <f t="shared" si="15"/>
        <v>0.60994069649652505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349.92</v>
      </c>
      <c r="E21" s="2"/>
      <c r="F21" s="7">
        <f t="shared" si="8"/>
        <v>0</v>
      </c>
      <c r="G21" s="2"/>
      <c r="H21" s="6">
        <v>350.05369483846198</v>
      </c>
      <c r="I21" s="2"/>
      <c r="J21" s="7">
        <f t="shared" si="9"/>
        <v>0</v>
      </c>
      <c r="K21" s="2"/>
      <c r="L21" s="6">
        <f t="shared" si="10"/>
        <v>-0.13369483846196317</v>
      </c>
      <c r="M21" s="2"/>
      <c r="N21" s="7">
        <f t="shared" si="11"/>
        <v>-3.8192665991901287E-4</v>
      </c>
      <c r="O21" s="11"/>
      <c r="P21" s="6">
        <v>699.84</v>
      </c>
      <c r="Q21" s="2"/>
      <c r="R21" s="7">
        <f t="shared" si="12"/>
        <v>0</v>
      </c>
      <c r="S21" s="2"/>
      <c r="T21" s="6">
        <v>787.620813386539</v>
      </c>
      <c r="U21" s="2"/>
      <c r="V21" s="7">
        <f t="shared" si="13"/>
        <v>0</v>
      </c>
      <c r="W21" s="2"/>
      <c r="X21" s="6">
        <f t="shared" si="14"/>
        <v>-87.780813386538966</v>
      </c>
      <c r="Y21" s="2"/>
      <c r="Z21" s="7">
        <f t="shared" si="15"/>
        <v>-0.11145060147548305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177.47</v>
      </c>
      <c r="E22" s="2"/>
      <c r="F22" s="7">
        <f t="shared" si="8"/>
        <v>0</v>
      </c>
      <c r="G22" s="2"/>
      <c r="H22" s="6">
        <v>86.907359230769202</v>
      </c>
      <c r="I22" s="2"/>
      <c r="J22" s="7">
        <f t="shared" si="9"/>
        <v>0</v>
      </c>
      <c r="K22" s="2"/>
      <c r="L22" s="6">
        <f t="shared" si="10"/>
        <v>90.562640769230796</v>
      </c>
      <c r="M22" s="2"/>
      <c r="N22" s="7">
        <f t="shared" si="11"/>
        <v>1.04205951683281</v>
      </c>
      <c r="O22" s="11"/>
      <c r="P22" s="6">
        <v>354.94</v>
      </c>
      <c r="Q22" s="2"/>
      <c r="R22" s="7">
        <f t="shared" si="12"/>
        <v>0</v>
      </c>
      <c r="S22" s="2"/>
      <c r="T22" s="6">
        <v>195.54155826923122</v>
      </c>
      <c r="U22" s="2"/>
      <c r="V22" s="7">
        <f t="shared" si="13"/>
        <v>0</v>
      </c>
      <c r="W22" s="2"/>
      <c r="X22" s="6">
        <f t="shared" si="14"/>
        <v>159.39844173076878</v>
      </c>
      <c r="Y22" s="2"/>
      <c r="Z22" s="7">
        <f t="shared" si="15"/>
        <v>0.81516401496249291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1011.43</v>
      </c>
      <c r="E23" s="2"/>
      <c r="F23" s="7">
        <f t="shared" si="8"/>
        <v>0</v>
      </c>
      <c r="G23" s="2"/>
      <c r="H23" s="6">
        <v>690.5</v>
      </c>
      <c r="I23" s="2"/>
      <c r="J23" s="7">
        <f t="shared" si="9"/>
        <v>0</v>
      </c>
      <c r="K23" s="2"/>
      <c r="L23" s="6">
        <f t="shared" si="10"/>
        <v>320.92999999999995</v>
      </c>
      <c r="M23" s="2"/>
      <c r="N23" s="7">
        <f t="shared" si="11"/>
        <v>0.46477914554670524</v>
      </c>
      <c r="O23" s="11"/>
      <c r="P23" s="6">
        <v>2022.86</v>
      </c>
      <c r="Q23" s="2"/>
      <c r="R23" s="7">
        <f t="shared" si="12"/>
        <v>0</v>
      </c>
      <c r="S23" s="2"/>
      <c r="T23" s="6">
        <v>1381</v>
      </c>
      <c r="U23" s="2"/>
      <c r="V23" s="7">
        <f t="shared" si="13"/>
        <v>0</v>
      </c>
      <c r="W23" s="2"/>
      <c r="X23" s="6">
        <f t="shared" si="14"/>
        <v>641.8599999999999</v>
      </c>
      <c r="Y23" s="2"/>
      <c r="Z23" s="7">
        <f t="shared" si="15"/>
        <v>0.46477914554670524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11.89</v>
      </c>
      <c r="E24" s="2"/>
      <c r="F24" s="7">
        <f t="shared" si="8"/>
        <v>0</v>
      </c>
      <c r="G24" s="2"/>
      <c r="H24" s="6">
        <v>11.892586</v>
      </c>
      <c r="I24" s="2"/>
      <c r="J24" s="7">
        <f t="shared" si="9"/>
        <v>0</v>
      </c>
      <c r="K24" s="2"/>
      <c r="L24" s="6">
        <f t="shared" si="10"/>
        <v>-2.585999999999089E-3</v>
      </c>
      <c r="M24" s="2"/>
      <c r="N24" s="7">
        <f t="shared" si="11"/>
        <v>-2.1744639895806422E-4</v>
      </c>
      <c r="O24" s="11"/>
      <c r="P24" s="6">
        <v>23.78</v>
      </c>
      <c r="Q24" s="2"/>
      <c r="R24" s="7">
        <f t="shared" si="12"/>
        <v>0</v>
      </c>
      <c r="S24" s="2"/>
      <c r="T24" s="6">
        <v>26.758318500000001</v>
      </c>
      <c r="U24" s="2"/>
      <c r="V24" s="7">
        <f t="shared" si="13"/>
        <v>0</v>
      </c>
      <c r="W24" s="2"/>
      <c r="X24" s="6">
        <f t="shared" si="14"/>
        <v>-2.9783185000000003</v>
      </c>
      <c r="Y24" s="2"/>
      <c r="Z24" s="7">
        <f t="shared" si="15"/>
        <v>-0.1113043967990739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467.52</v>
      </c>
      <c r="E25" s="2"/>
      <c r="F25" s="7">
        <f t="shared" si="8"/>
        <v>0</v>
      </c>
      <c r="G25" s="2"/>
      <c r="H25" s="6">
        <v>393.37015230769197</v>
      </c>
      <c r="I25" s="2"/>
      <c r="J25" s="7">
        <f t="shared" si="9"/>
        <v>0</v>
      </c>
      <c r="K25" s="2"/>
      <c r="L25" s="6">
        <f t="shared" si="10"/>
        <v>74.149847692308015</v>
      </c>
      <c r="M25" s="2"/>
      <c r="N25" s="7">
        <f t="shared" si="11"/>
        <v>0.18849891700554955</v>
      </c>
      <c r="O25" s="11"/>
      <c r="P25" s="6">
        <v>935.04</v>
      </c>
      <c r="Q25" s="2"/>
      <c r="R25" s="7">
        <f t="shared" si="12"/>
        <v>0</v>
      </c>
      <c r="S25" s="2"/>
      <c r="T25" s="6">
        <v>885.08284269230705</v>
      </c>
      <c r="U25" s="2"/>
      <c r="V25" s="7">
        <f t="shared" si="13"/>
        <v>0</v>
      </c>
      <c r="W25" s="2"/>
      <c r="X25" s="6">
        <f t="shared" si="14"/>
        <v>49.95715730769291</v>
      </c>
      <c r="Y25" s="2"/>
      <c r="Z25" s="7">
        <f t="shared" si="15"/>
        <v>5.644348178271056E-2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>
        <v>0</v>
      </c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0</v>
      </c>
      <c r="U26" s="2"/>
      <c r="V26" s="7">
        <f t="shared" si="13"/>
        <v>0</v>
      </c>
      <c r="W26" s="2"/>
      <c r="X26" s="6">
        <f t="shared" si="14"/>
        <v>0</v>
      </c>
      <c r="Y26" s="2"/>
      <c r="Z26" s="7">
        <f t="shared" si="15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422.53</v>
      </c>
      <c r="E27" s="2"/>
      <c r="F27" s="7">
        <f t="shared" si="8"/>
        <v>0</v>
      </c>
      <c r="G27" s="2"/>
      <c r="H27" s="6">
        <v>457.40715384615396</v>
      </c>
      <c r="I27" s="2"/>
      <c r="J27" s="7">
        <f t="shared" si="9"/>
        <v>0</v>
      </c>
      <c r="K27" s="2"/>
      <c r="L27" s="6">
        <f t="shared" si="10"/>
        <v>-34.877153846153988</v>
      </c>
      <c r="M27" s="2"/>
      <c r="N27" s="7">
        <f t="shared" si="11"/>
        <v>-7.6249690353301078E-2</v>
      </c>
      <c r="O27" s="11"/>
      <c r="P27" s="6">
        <v>1178.25</v>
      </c>
      <c r="Q27" s="2"/>
      <c r="R27" s="7">
        <f t="shared" si="12"/>
        <v>0</v>
      </c>
      <c r="S27" s="2"/>
      <c r="T27" s="6">
        <v>1029.166096153846</v>
      </c>
      <c r="U27" s="2"/>
      <c r="V27" s="7">
        <f t="shared" si="13"/>
        <v>0</v>
      </c>
      <c r="W27" s="2"/>
      <c r="X27" s="6">
        <f t="shared" si="14"/>
        <v>149.08390384615404</v>
      </c>
      <c r="Y27" s="2"/>
      <c r="Z27" s="7">
        <f t="shared" si="15"/>
        <v>0.14485893424132784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210.98</v>
      </c>
      <c r="E28" s="2"/>
      <c r="F28" s="7">
        <f t="shared" si="8"/>
        <v>0</v>
      </c>
      <c r="G28" s="2"/>
      <c r="H28" s="6">
        <v>0</v>
      </c>
      <c r="I28" s="2"/>
      <c r="J28" s="7">
        <f t="shared" si="9"/>
        <v>0</v>
      </c>
      <c r="K28" s="2"/>
      <c r="L28" s="6">
        <f t="shared" si="10"/>
        <v>210.98</v>
      </c>
      <c r="M28" s="2"/>
      <c r="N28" s="7">
        <f t="shared" si="11"/>
        <v>0</v>
      </c>
      <c r="O28" s="11"/>
      <c r="P28" s="6">
        <v>1913.32</v>
      </c>
      <c r="Q28" s="2"/>
      <c r="R28" s="7">
        <f t="shared" si="12"/>
        <v>0</v>
      </c>
      <c r="S28" s="2"/>
      <c r="T28" s="6">
        <v>0</v>
      </c>
      <c r="U28" s="2"/>
      <c r="V28" s="7">
        <f t="shared" si="13"/>
        <v>0</v>
      </c>
      <c r="W28" s="2"/>
      <c r="X28" s="6">
        <f t="shared" si="14"/>
        <v>1913.32</v>
      </c>
      <c r="Y28" s="2"/>
      <c r="Z28" s="7">
        <f t="shared" si="15"/>
        <v>0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144.52000000000001</v>
      </c>
      <c r="E29" s="2"/>
      <c r="F29" s="7">
        <f t="shared" si="8"/>
        <v>0</v>
      </c>
      <c r="G29" s="2"/>
      <c r="H29" s="6">
        <v>150</v>
      </c>
      <c r="I29" s="2"/>
      <c r="J29" s="7">
        <f t="shared" si="9"/>
        <v>0</v>
      </c>
      <c r="K29" s="2"/>
      <c r="L29" s="6">
        <f t="shared" si="10"/>
        <v>-5.4799999999999898</v>
      </c>
      <c r="M29" s="2"/>
      <c r="N29" s="7">
        <f t="shared" si="11"/>
        <v>-3.6533333333333265E-2</v>
      </c>
      <c r="O29" s="11"/>
      <c r="P29" s="6">
        <v>286.02</v>
      </c>
      <c r="Q29" s="2"/>
      <c r="R29" s="7">
        <f t="shared" si="12"/>
        <v>0</v>
      </c>
      <c r="S29" s="2"/>
      <c r="T29" s="6">
        <v>300</v>
      </c>
      <c r="U29" s="2"/>
      <c r="V29" s="7">
        <f t="shared" si="13"/>
        <v>0</v>
      </c>
      <c r="W29" s="2"/>
      <c r="X29" s="6">
        <f t="shared" si="14"/>
        <v>-13.980000000000018</v>
      </c>
      <c r="Y29" s="2"/>
      <c r="Z29" s="7">
        <f t="shared" si="15"/>
        <v>-4.6600000000000058E-2</v>
      </c>
    </row>
    <row r="30" spans="1:26" s="26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3430.58</v>
      </c>
      <c r="E30" s="1"/>
      <c r="F30" s="5">
        <f t="shared" ref="F30:F40" si="16">IF(D$12=0,0,D30/D$12)</f>
        <v>0</v>
      </c>
      <c r="G30" s="1"/>
      <c r="H30" s="1">
        <f>SUM(OSRRefH22_1x_0)</f>
        <v>4116.6643846153802</v>
      </c>
      <c r="I30" s="1"/>
      <c r="J30" s="5">
        <f t="shared" ref="J30:J40" si="17">IF(H$12=0,0,H30/H$12)</f>
        <v>0</v>
      </c>
      <c r="K30" s="1"/>
      <c r="L30" s="1">
        <f t="shared" ref="L30:L40" si="18">+D30-H30</f>
        <v>-686.08438461538026</v>
      </c>
      <c r="M30" s="1"/>
      <c r="N30" s="5">
        <f t="shared" ref="N30:N40" si="19">IF(H30=0,0,L30/H30)</f>
        <v>-0.16666026678768983</v>
      </c>
      <c r="O30" s="13"/>
      <c r="P30" s="1">
        <f>SUM(OSRRefP22_1x_0)</f>
        <v>9147.68</v>
      </c>
      <c r="Q30" s="1"/>
      <c r="R30" s="5">
        <f t="shared" ref="R30:R40" si="20">IF(P$12=0,0,P30/P$12)</f>
        <v>0</v>
      </c>
      <c r="S30" s="1"/>
      <c r="T30" s="1">
        <f>SUM(OSRRefT22_1x_0)</f>
        <v>9262.4948653846095</v>
      </c>
      <c r="U30" s="1"/>
      <c r="V30" s="5">
        <f t="shared" ref="V30:V40" si="21">IF(T$12=0,0,T30/T$12)</f>
        <v>0</v>
      </c>
      <c r="W30" s="1"/>
      <c r="X30" s="1">
        <f t="shared" ref="X30:X40" si="22">+P30-T30</f>
        <v>-114.81486538460922</v>
      </c>
      <c r="Y30" s="1"/>
      <c r="Z30" s="5">
        <f t="shared" ref="Z30:Z40" si="23">IF(T30=0,0,X30/T30)</f>
        <v>-1.2395673849568361E-2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3430.58</v>
      </c>
      <c r="E31" s="2"/>
      <c r="F31" s="7">
        <f t="shared" si="16"/>
        <v>0</v>
      </c>
      <c r="G31" s="2"/>
      <c r="H31" s="6">
        <v>4116.6643846153802</v>
      </c>
      <c r="I31" s="2"/>
      <c r="J31" s="7">
        <f t="shared" si="17"/>
        <v>0</v>
      </c>
      <c r="K31" s="2"/>
      <c r="L31" s="6">
        <f t="shared" si="18"/>
        <v>-686.08438461538026</v>
      </c>
      <c r="M31" s="2"/>
      <c r="N31" s="7">
        <f t="shared" si="19"/>
        <v>-0.16666026678768983</v>
      </c>
      <c r="O31" s="11"/>
      <c r="P31" s="6">
        <v>9147.68</v>
      </c>
      <c r="Q31" s="2"/>
      <c r="R31" s="7">
        <f t="shared" si="20"/>
        <v>0</v>
      </c>
      <c r="S31" s="2"/>
      <c r="T31" s="6">
        <v>9262.4948653846095</v>
      </c>
      <c r="U31" s="2"/>
      <c r="V31" s="7">
        <f t="shared" si="21"/>
        <v>0</v>
      </c>
      <c r="W31" s="2"/>
      <c r="X31" s="6">
        <f t="shared" si="22"/>
        <v>-114.81486538460922</v>
      </c>
      <c r="Y31" s="2"/>
      <c r="Z31" s="7">
        <f t="shared" si="23"/>
        <v>-1.2395673849568361E-2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16"/>
        <v>0</v>
      </c>
      <c r="G32" s="2"/>
      <c r="H32" s="6">
        <v>0</v>
      </c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0</v>
      </c>
      <c r="U32" s="2"/>
      <c r="V32" s="7">
        <f t="shared" si="21"/>
        <v>0</v>
      </c>
      <c r="W32" s="2"/>
      <c r="X32" s="6">
        <f t="shared" si="22"/>
        <v>0</v>
      </c>
      <c r="Y32" s="2"/>
      <c r="Z32" s="7">
        <f t="shared" si="23"/>
        <v>0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6"/>
        <v>0</v>
      </c>
      <c r="G33" s="2"/>
      <c r="H33" s="6">
        <v>0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0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6"/>
        <v>0</v>
      </c>
      <c r="G34" s="2"/>
      <c r="H34" s="6">
        <v>0</v>
      </c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0</v>
      </c>
      <c r="U34" s="2"/>
      <c r="V34" s="7">
        <f t="shared" si="21"/>
        <v>0</v>
      </c>
      <c r="W34" s="2"/>
      <c r="X34" s="6">
        <f t="shared" si="22"/>
        <v>0</v>
      </c>
      <c r="Y34" s="2"/>
      <c r="Z34" s="7">
        <f t="shared" si="23"/>
        <v>0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6"/>
        <v>0</v>
      </c>
      <c r="G35" s="2"/>
      <c r="H35" s="6">
        <v>0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/>
      <c r="Q35" s="2"/>
      <c r="R35" s="7">
        <f t="shared" si="20"/>
        <v>0</v>
      </c>
      <c r="S35" s="2"/>
      <c r="T35" s="6">
        <v>0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6"/>
        <v>0</v>
      </c>
      <c r="G36" s="2"/>
      <c r="H36" s="6">
        <v>0</v>
      </c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/>
      <c r="Q36" s="2"/>
      <c r="R36" s="7">
        <f t="shared" si="20"/>
        <v>0</v>
      </c>
      <c r="S36" s="2"/>
      <c r="T36" s="6">
        <v>0</v>
      </c>
      <c r="U36" s="2"/>
      <c r="V36" s="7">
        <f t="shared" si="21"/>
        <v>0</v>
      </c>
      <c r="W36" s="2"/>
      <c r="X36" s="6">
        <f t="shared" si="22"/>
        <v>0</v>
      </c>
      <c r="Y36" s="2"/>
      <c r="Z36" s="7">
        <f t="shared" si="23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6"/>
        <v>0</v>
      </c>
      <c r="G37" s="2"/>
      <c r="H37" s="6">
        <v>0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0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6"/>
        <v>0</v>
      </c>
      <c r="G38" s="2"/>
      <c r="H38" s="6">
        <v>0</v>
      </c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0</v>
      </c>
      <c r="U38" s="2"/>
      <c r="V38" s="7">
        <f t="shared" si="21"/>
        <v>0</v>
      </c>
      <c r="W38" s="2"/>
      <c r="X38" s="6">
        <f t="shared" si="22"/>
        <v>0</v>
      </c>
      <c r="Y38" s="2"/>
      <c r="Z38" s="7">
        <f t="shared" si="23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6"/>
        <v>0</v>
      </c>
      <c r="G39" s="2"/>
      <c r="H39" s="6">
        <v>0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/>
      <c r="Q39" s="2"/>
      <c r="R39" s="7">
        <f t="shared" si="20"/>
        <v>0</v>
      </c>
      <c r="S39" s="2"/>
      <c r="T39" s="6">
        <v>0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6"/>
        <v>0</v>
      </c>
      <c r="G40" s="2"/>
      <c r="H40" s="6">
        <v>0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0</v>
      </c>
      <c r="U40" s="2"/>
      <c r="V40" s="7">
        <f t="shared" si="21"/>
        <v>0</v>
      </c>
      <c r="W40" s="2"/>
      <c r="X40" s="6">
        <f t="shared" si="22"/>
        <v>0</v>
      </c>
      <c r="Y40" s="2"/>
      <c r="Z40" s="7">
        <f t="shared" si="23"/>
        <v>0</v>
      </c>
    </row>
    <row r="41" spans="1:26" s="26" customFormat="1" outlineLevel="1" collapsed="1" x14ac:dyDescent="0.25">
      <c r="A41" s="25"/>
      <c r="B41" s="13" t="str">
        <f>CONCATENATE("     ","General                                           ")</f>
        <v xml:space="preserve">     General                                           </v>
      </c>
      <c r="C41" s="13"/>
      <c r="D41" s="1">
        <f>SUM(OSRRefD22_2x_0)</f>
        <v>0</v>
      </c>
      <c r="E41" s="1"/>
      <c r="F41" s="5">
        <f t="shared" ref="F41:F48" si="24">IF(D$12=0,0,D41/D$12)</f>
        <v>0</v>
      </c>
      <c r="G41" s="1"/>
      <c r="H41" s="1">
        <f>SUM(OSRRefH22_2x_0)</f>
        <v>0</v>
      </c>
      <c r="I41" s="1"/>
      <c r="J41" s="5">
        <f t="shared" ref="J41:J48" si="25">IF(H$12=0,0,H41/H$12)</f>
        <v>0</v>
      </c>
      <c r="K41" s="1"/>
      <c r="L41" s="1">
        <f t="shared" ref="L41:L48" si="26">+D41-H41</f>
        <v>0</v>
      </c>
      <c r="M41" s="1"/>
      <c r="N41" s="5">
        <f t="shared" ref="N41:N48" si="27">IF(H41=0,0,L41/H41)</f>
        <v>0</v>
      </c>
      <c r="O41" s="13"/>
      <c r="P41" s="1">
        <f>SUM(OSRRefP22_2x_0)</f>
        <v>2443.65</v>
      </c>
      <c r="Q41" s="1"/>
      <c r="R41" s="5">
        <f t="shared" ref="R41:R48" si="28">IF(P$12=0,0,P41/P$12)</f>
        <v>0</v>
      </c>
      <c r="S41" s="1"/>
      <c r="T41" s="1">
        <f>SUM(OSRRefT22_2x_0)</f>
        <v>2500</v>
      </c>
      <c r="U41" s="1"/>
      <c r="V41" s="5">
        <f t="shared" ref="V41:V48" si="29">IF(T$12=0,0,T41/T$12)</f>
        <v>0</v>
      </c>
      <c r="W41" s="1"/>
      <c r="X41" s="1">
        <f t="shared" ref="X41:X48" si="30">+P41-T41</f>
        <v>-56.349999999999909</v>
      </c>
      <c r="Y41" s="1"/>
      <c r="Z41" s="5">
        <f t="shared" ref="Z41:Z48" si="31">IF(T41=0,0,X41/T41)</f>
        <v>-2.2539999999999963E-2</v>
      </c>
    </row>
    <row r="42" spans="1:26" s="24" customFormat="1" hidden="1" outlineLevel="2" x14ac:dyDescent="0.25">
      <c r="A42" s="27"/>
      <c r="B42" s="11" t="str">
        <f>CONCATENATE("          ", "6279", " - ", "GENERAL EXPENSE")</f>
        <v xml:space="preserve">          6279 - GENERAL EXPENSE</v>
      </c>
      <c r="C42" s="11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>
        <v>2443.65</v>
      </c>
      <c r="Q42" s="2"/>
      <c r="R42" s="7">
        <f t="shared" si="28"/>
        <v>0</v>
      </c>
      <c r="S42" s="2"/>
      <c r="T42" s="6">
        <v>2500</v>
      </c>
      <c r="U42" s="2"/>
      <c r="V42" s="7">
        <f t="shared" si="29"/>
        <v>0</v>
      </c>
      <c r="W42" s="2"/>
      <c r="X42" s="6">
        <f t="shared" si="30"/>
        <v>-56.349999999999909</v>
      </c>
      <c r="Y42" s="2"/>
      <c r="Z42" s="7">
        <f t="shared" si="31"/>
        <v>-2.2539999999999963E-2</v>
      </c>
    </row>
    <row r="43" spans="1:26" s="26" customFormat="1" outlineLevel="1" collapsed="1" x14ac:dyDescent="0.25">
      <c r="A43" s="25"/>
      <c r="B43" s="13" t="str">
        <f>CONCATENATE("     ","Royalty &amp; Commissions                             ")</f>
        <v xml:space="preserve">     Royalty &amp; Commissions                             </v>
      </c>
      <c r="C43" s="13"/>
      <c r="D43" s="1">
        <f>SUM(OSRRefD22_3x_0)</f>
        <v>0</v>
      </c>
      <c r="E43" s="1"/>
      <c r="F43" s="5">
        <f t="shared" si="24"/>
        <v>0</v>
      </c>
      <c r="G43" s="1"/>
      <c r="H43" s="1">
        <f>SUM(OSRRefH22_3x_0)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3"/>
      <c r="P43" s="1">
        <f>SUM(OSRRefP22_3x_0)</f>
        <v>7344.9</v>
      </c>
      <c r="Q43" s="1"/>
      <c r="R43" s="5">
        <f t="shared" si="28"/>
        <v>0</v>
      </c>
      <c r="S43" s="1"/>
      <c r="T43" s="1">
        <f>SUM(OSRRefT22_3x_0)</f>
        <v>1117</v>
      </c>
      <c r="U43" s="1"/>
      <c r="V43" s="5">
        <f t="shared" si="29"/>
        <v>0</v>
      </c>
      <c r="W43" s="1"/>
      <c r="X43" s="1">
        <f t="shared" si="30"/>
        <v>6227.9</v>
      </c>
      <c r="Y43" s="1"/>
      <c r="Z43" s="5">
        <f t="shared" si="31"/>
        <v>5.575559534467323</v>
      </c>
    </row>
    <row r="44" spans="1:26" s="24" customFormat="1" hidden="1" outlineLevel="2" x14ac:dyDescent="0.25">
      <c r="A44" s="27"/>
      <c r="B44" s="11" t="str">
        <f>CONCATENATE("          ", "6254", " - ", "ROYALTY &amp; COMMISSIONS")</f>
        <v xml:space="preserve">          6254 - ROYALTY &amp; COMMISSIONS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>
        <v>7344.9</v>
      </c>
      <c r="Q44" s="2"/>
      <c r="R44" s="7">
        <f t="shared" si="28"/>
        <v>0</v>
      </c>
      <c r="S44" s="2"/>
      <c r="T44" s="6">
        <v>1117</v>
      </c>
      <c r="U44" s="2"/>
      <c r="V44" s="7">
        <f t="shared" si="29"/>
        <v>0</v>
      </c>
      <c r="W44" s="2"/>
      <c r="X44" s="6">
        <f t="shared" si="30"/>
        <v>6227.9</v>
      </c>
      <c r="Y44" s="2"/>
      <c r="Z44" s="7">
        <f t="shared" si="31"/>
        <v>5.575559534467323</v>
      </c>
    </row>
    <row r="45" spans="1:26" s="26" customFormat="1" outlineLevel="1" collapsed="1" x14ac:dyDescent="0.25">
      <c r="A45" s="25"/>
      <c r="B45" s="13" t="str">
        <f>CONCATENATE("     ","Supplies                                          ")</f>
        <v xml:space="preserve">     Supplies                                          </v>
      </c>
      <c r="C45" s="13"/>
      <c r="D45" s="1">
        <f>SUM(OSRRefD22_4x_0)</f>
        <v>-2111.3000000000002</v>
      </c>
      <c r="E45" s="1"/>
      <c r="F45" s="5">
        <f t="shared" si="24"/>
        <v>0</v>
      </c>
      <c r="G45" s="1"/>
      <c r="H45" s="1">
        <f>SUM(OSRRefH22_4x_0)</f>
        <v>0</v>
      </c>
      <c r="I45" s="1"/>
      <c r="J45" s="5">
        <f t="shared" si="25"/>
        <v>0</v>
      </c>
      <c r="K45" s="1"/>
      <c r="L45" s="1">
        <f t="shared" si="26"/>
        <v>-2111.3000000000002</v>
      </c>
      <c r="M45" s="1"/>
      <c r="N45" s="5">
        <f t="shared" si="27"/>
        <v>0</v>
      </c>
      <c r="O45" s="13"/>
      <c r="P45" s="1">
        <f>SUM(OSRRefP22_4x_0)</f>
        <v>22.94</v>
      </c>
      <c r="Q45" s="1"/>
      <c r="R45" s="5">
        <f t="shared" si="28"/>
        <v>0</v>
      </c>
      <c r="S45" s="1"/>
      <c r="T45" s="1">
        <f>SUM(OSRRefT22_4x_0)</f>
        <v>0</v>
      </c>
      <c r="U45" s="1"/>
      <c r="V45" s="5">
        <f t="shared" si="29"/>
        <v>0</v>
      </c>
      <c r="W45" s="1"/>
      <c r="X45" s="1">
        <f t="shared" si="30"/>
        <v>22.94</v>
      </c>
      <c r="Y45" s="1"/>
      <c r="Z45" s="5">
        <f t="shared" si="31"/>
        <v>0</v>
      </c>
    </row>
    <row r="46" spans="1:26" s="24" customFormat="1" hidden="1" outlineLevel="2" x14ac:dyDescent="0.25">
      <c r="A46" s="27"/>
      <c r="B46" s="11" t="str">
        <f>CONCATENATE("          ", "6241", " - ", "OFFICE EXPENSE")</f>
        <v xml:space="preserve">          6241 - OFFICE EXPENSE</v>
      </c>
      <c r="C46" s="11"/>
      <c r="D46" s="6">
        <v>-2111.3000000000002</v>
      </c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-2111.3000000000002</v>
      </c>
      <c r="M46" s="2"/>
      <c r="N46" s="7">
        <f t="shared" si="27"/>
        <v>0</v>
      </c>
      <c r="O46" s="11"/>
      <c r="P46" s="6">
        <v>22.94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22.94</v>
      </c>
      <c r="Y46" s="2"/>
      <c r="Z46" s="7">
        <f t="shared" si="31"/>
        <v>0</v>
      </c>
    </row>
    <row r="47" spans="1:26" s="26" customFormat="1" outlineLevel="1" collapsed="1" x14ac:dyDescent="0.25">
      <c r="A47" s="25"/>
      <c r="B47" s="13" t="str">
        <f>CONCATENATE("     ","Telephone/Data Lines                              ")</f>
        <v xml:space="preserve">     Telephone/Data Lines                              </v>
      </c>
      <c r="C47" s="13"/>
      <c r="D47" s="1">
        <f>SUM(OSRRefD22_5x_0)</f>
        <v>86.95</v>
      </c>
      <c r="E47" s="1"/>
      <c r="F47" s="5">
        <f t="shared" si="24"/>
        <v>0</v>
      </c>
      <c r="G47" s="1"/>
      <c r="H47" s="1">
        <f>SUM(OSRRefH22_5x_0)</f>
        <v>75</v>
      </c>
      <c r="I47" s="1"/>
      <c r="J47" s="5">
        <f t="shared" si="25"/>
        <v>0</v>
      </c>
      <c r="K47" s="1"/>
      <c r="L47" s="1">
        <f t="shared" si="26"/>
        <v>11.950000000000003</v>
      </c>
      <c r="M47" s="1"/>
      <c r="N47" s="5">
        <f t="shared" si="27"/>
        <v>0.15933333333333338</v>
      </c>
      <c r="O47" s="13"/>
      <c r="P47" s="1">
        <f>SUM(OSRRefP22_5x_0)</f>
        <v>216.3</v>
      </c>
      <c r="Q47" s="1"/>
      <c r="R47" s="5">
        <f t="shared" si="28"/>
        <v>0</v>
      </c>
      <c r="S47" s="1"/>
      <c r="T47" s="1">
        <f>SUM(OSRRefT22_5x_0)</f>
        <v>300</v>
      </c>
      <c r="U47" s="1"/>
      <c r="V47" s="5">
        <f t="shared" si="29"/>
        <v>0</v>
      </c>
      <c r="W47" s="1"/>
      <c r="X47" s="1">
        <f t="shared" si="30"/>
        <v>-83.699999999999989</v>
      </c>
      <c r="Y47" s="1"/>
      <c r="Z47" s="5">
        <f t="shared" si="31"/>
        <v>-0.27899999999999997</v>
      </c>
    </row>
    <row r="48" spans="1:26" s="24" customFormat="1" hidden="1" outlineLevel="2" x14ac:dyDescent="0.25">
      <c r="A48" s="27"/>
      <c r="B48" s="11" t="str">
        <f>CONCATENATE("          ", "6309", " - ", "TELEPHONE")</f>
        <v xml:space="preserve">          6309 - TELEPHONE</v>
      </c>
      <c r="C48" s="11"/>
      <c r="D48" s="6">
        <v>86.95</v>
      </c>
      <c r="E48" s="2"/>
      <c r="F48" s="7">
        <f t="shared" si="24"/>
        <v>0</v>
      </c>
      <c r="G48" s="2"/>
      <c r="H48" s="6">
        <v>75</v>
      </c>
      <c r="I48" s="2"/>
      <c r="J48" s="7">
        <f t="shared" si="25"/>
        <v>0</v>
      </c>
      <c r="K48" s="2"/>
      <c r="L48" s="6">
        <f t="shared" si="26"/>
        <v>11.950000000000003</v>
      </c>
      <c r="M48" s="2"/>
      <c r="N48" s="7">
        <f t="shared" si="27"/>
        <v>0.15933333333333338</v>
      </c>
      <c r="O48" s="11"/>
      <c r="P48" s="6">
        <v>216.3</v>
      </c>
      <c r="Q48" s="2"/>
      <c r="R48" s="7">
        <f t="shared" si="28"/>
        <v>0</v>
      </c>
      <c r="S48" s="2"/>
      <c r="T48" s="6">
        <v>300</v>
      </c>
      <c r="U48" s="2"/>
      <c r="V48" s="7">
        <f t="shared" si="29"/>
        <v>0</v>
      </c>
      <c r="W48" s="2"/>
      <c r="X48" s="6">
        <f t="shared" si="30"/>
        <v>-83.699999999999989</v>
      </c>
      <c r="Y48" s="2"/>
      <c r="Z48" s="7">
        <f t="shared" si="31"/>
        <v>-0.27899999999999997</v>
      </c>
    </row>
    <row r="49" spans="1:26" s="63" customFormat="1" x14ac:dyDescent="0.25">
      <c r="A49" s="36"/>
      <c r="B49" s="36"/>
      <c r="C49" s="36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collapsed="1" x14ac:dyDescent="0.25">
      <c r="A50" s="10"/>
      <c r="B50" s="28" t="s">
        <v>0</v>
      </c>
      <c r="C50" s="10"/>
      <c r="D50" s="4">
        <f>SUM(OSRRefD25x_0)</f>
        <v>6093.41</v>
      </c>
      <c r="E50" s="4"/>
      <c r="F50" s="12">
        <f t="shared" ref="F50:F51" si="32">IF(D$12=0,0,D50/D$12)</f>
        <v>0</v>
      </c>
      <c r="G50" s="4"/>
      <c r="H50" s="4">
        <f>SUM(OSRRefH25x_0)</f>
        <v>6069</v>
      </c>
      <c r="I50" s="4"/>
      <c r="J50" s="12">
        <f t="shared" ref="J50:J51" si="33">IF(H$12=0,0,H50/H$12)</f>
        <v>0</v>
      </c>
      <c r="K50" s="4"/>
      <c r="L50" s="4">
        <f t="shared" ref="L50:L51" si="34">+D50-H50</f>
        <v>24.409999999999854</v>
      </c>
      <c r="M50" s="4"/>
      <c r="N50" s="12">
        <f t="shared" ref="N50:N51" si="35">IF(H50=0,0,L50/H50)</f>
        <v>4.0220794200032713E-3</v>
      </c>
      <c r="O50" s="10"/>
      <c r="P50" s="4">
        <f>SUM(OSRRefP25x_0)</f>
        <v>16124.06</v>
      </c>
      <c r="Q50" s="4"/>
      <c r="R50" s="12">
        <f t="shared" ref="R50:R51" si="36">IF(P$12=0,0,P50/P$12)</f>
        <v>0</v>
      </c>
      <c r="S50" s="4"/>
      <c r="T50" s="4">
        <f>SUM(OSRRefT25x_0)</f>
        <v>10191</v>
      </c>
      <c r="U50" s="4"/>
      <c r="V50" s="12">
        <f t="shared" ref="V50:V51" si="37">IF(T$12=0,0,T50/T$12)</f>
        <v>0</v>
      </c>
      <c r="W50" s="4"/>
      <c r="X50" s="4">
        <f t="shared" ref="X50:X51" si="38">+P50-T50</f>
        <v>5933.0599999999995</v>
      </c>
      <c r="Y50" s="4"/>
      <c r="Z50" s="12">
        <f t="shared" ref="Z50:Z51" si="39">IF(T50=0,0,X50/T50)</f>
        <v>0.58218624276322239</v>
      </c>
    </row>
    <row r="51" spans="1:26" s="24" customFormat="1" hidden="1" outlineLevel="1" x14ac:dyDescent="0.25">
      <c r="A51" s="46"/>
      <c r="B51" s="11" t="str">
        <f>CONCATENATE("          ", "9150", " - ", "MISC. INCOME")</f>
        <v xml:space="preserve">          9150 - MISC. INCOME</v>
      </c>
      <c r="C51" s="11"/>
      <c r="D51" s="2">
        <f>--6093.41</f>
        <v>6093.41</v>
      </c>
      <c r="E51" s="2"/>
      <c r="F51" s="21">
        <f t="shared" si="32"/>
        <v>0</v>
      </c>
      <c r="G51" s="2"/>
      <c r="H51" s="2">
        <v>6069</v>
      </c>
      <c r="I51" s="2"/>
      <c r="J51" s="21">
        <f t="shared" si="33"/>
        <v>0</v>
      </c>
      <c r="K51" s="2"/>
      <c r="L51" s="2">
        <f t="shared" si="34"/>
        <v>24.409999999999854</v>
      </c>
      <c r="M51" s="2"/>
      <c r="N51" s="21">
        <f t="shared" si="35"/>
        <v>4.0220794200032713E-3</v>
      </c>
      <c r="O51" s="11"/>
      <c r="P51" s="2">
        <f>--16124.06</f>
        <v>16124.06</v>
      </c>
      <c r="Q51" s="2"/>
      <c r="R51" s="21">
        <f t="shared" si="36"/>
        <v>0</v>
      </c>
      <c r="S51" s="2"/>
      <c r="T51" s="2">
        <v>10191</v>
      </c>
      <c r="U51" s="2"/>
      <c r="V51" s="21">
        <f t="shared" si="37"/>
        <v>0</v>
      </c>
      <c r="W51" s="2"/>
      <c r="X51" s="2">
        <f t="shared" si="38"/>
        <v>5933.0599999999995</v>
      </c>
      <c r="Y51" s="2"/>
      <c r="Z51" s="21">
        <f t="shared" si="39"/>
        <v>0.58218624276322239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9" t="s">
        <v>3</v>
      </c>
      <c r="C53" s="29"/>
      <c r="D53" s="22">
        <f>+D17-D19+D50</f>
        <v>2696.4</v>
      </c>
      <c r="E53" s="14"/>
      <c r="F53" s="20">
        <f>IF(D$12=0,0,D53/D$12)</f>
        <v>0</v>
      </c>
      <c r="G53" s="14"/>
      <c r="H53" s="22">
        <f>+H17-H19+H50</f>
        <v>-262.79533083845672</v>
      </c>
      <c r="I53" s="14"/>
      <c r="J53" s="20">
        <f>IF(H$12=0,0,H53/H$12)</f>
        <v>0</v>
      </c>
      <c r="K53" s="15"/>
      <c r="L53" s="22">
        <f>+D53-H53</f>
        <v>2959.1953308384568</v>
      </c>
      <c r="M53" s="15"/>
      <c r="N53" s="20">
        <f>IF(H53=0,0,L53/H53)</f>
        <v>-11.260456269892815</v>
      </c>
      <c r="O53" s="28"/>
      <c r="P53" s="22">
        <f>+P17-P19+P50</f>
        <v>-9659.9799999999977</v>
      </c>
      <c r="Q53" s="14"/>
      <c r="R53" s="20">
        <f>IF(P$12=0,0,P53/P$12)</f>
        <v>0</v>
      </c>
      <c r="S53" s="14"/>
      <c r="T53" s="22">
        <f>+T17-T19+T50</f>
        <v>-7593.6644943865322</v>
      </c>
      <c r="U53" s="14"/>
      <c r="V53" s="20">
        <f>IF(T$12=0,0,T53/T$12)</f>
        <v>0</v>
      </c>
      <c r="W53" s="15"/>
      <c r="X53" s="22">
        <f>+P53-T53</f>
        <v>-2066.3155056134656</v>
      </c>
      <c r="Y53" s="15"/>
      <c r="Z53" s="20">
        <f>IF(T53=0,0,X53/T53)</f>
        <v>0.27211045564904124</v>
      </c>
    </row>
    <row r="54" spans="1:26" x14ac:dyDescent="0.25">
      <c r="A54" s="9"/>
      <c r="B54" s="10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52"/>
      <c r="B55" s="10" t="s">
        <v>14</v>
      </c>
      <c r="C55" s="10"/>
      <c r="D55" s="4"/>
      <c r="E55" s="4"/>
      <c r="F55" s="12">
        <f>IF(D$12=0,0,D55/D$12)</f>
        <v>0</v>
      </c>
      <c r="G55" s="4"/>
      <c r="H55" s="4"/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/>
      <c r="Q55" s="4"/>
      <c r="R55" s="12">
        <f>IF(P$12=0,0,P55/P$12)</f>
        <v>0</v>
      </c>
      <c r="S55" s="4"/>
      <c r="T55" s="4"/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ht="15.75" thickBot="1" x14ac:dyDescent="0.3">
      <c r="A57" s="10"/>
      <c r="B57" s="29" t="s">
        <v>4</v>
      </c>
      <c r="C57" s="29"/>
      <c r="D57" s="31">
        <f>+D53-D55</f>
        <v>2696.4</v>
      </c>
      <c r="E57" s="14"/>
      <c r="F57" s="32">
        <f>IF(D$12=0,0,D57/D$12)</f>
        <v>0</v>
      </c>
      <c r="G57" s="14"/>
      <c r="H57" s="31">
        <f>+H53-H55</f>
        <v>-262.79533083845672</v>
      </c>
      <c r="I57" s="14"/>
      <c r="J57" s="32">
        <f>IF(H$12=0,0,H57/H$12)</f>
        <v>0</v>
      </c>
      <c r="K57" s="15"/>
      <c r="L57" s="31">
        <f>D57-H57</f>
        <v>2959.1953308384568</v>
      </c>
      <c r="M57" s="15"/>
      <c r="N57" s="32">
        <f>IF(H57=0,0,L57/H57)</f>
        <v>-11.260456269892815</v>
      </c>
      <c r="O57" s="28"/>
      <c r="P57" s="31">
        <f>+P53-P55</f>
        <v>-9659.9799999999977</v>
      </c>
      <c r="Q57" s="14"/>
      <c r="R57" s="32">
        <f>IF(P$12=0,0,P57/P$12)</f>
        <v>0</v>
      </c>
      <c r="S57" s="14"/>
      <c r="T57" s="31">
        <f>+T53-T55</f>
        <v>-7593.6644943865322</v>
      </c>
      <c r="U57" s="14"/>
      <c r="V57" s="32">
        <f>IF(T$12=0,0,T57/T$12)</f>
        <v>0</v>
      </c>
      <c r="W57" s="15"/>
      <c r="X57" s="31">
        <f>P57-T57</f>
        <v>-2066.3155056134656</v>
      </c>
      <c r="Y57" s="15"/>
      <c r="Z57" s="32">
        <f>IF(T57=0,0,X57/T57)</f>
        <v>0.27211045564904124</v>
      </c>
    </row>
    <row r="58" spans="1:26" ht="15.75" thickTop="1" x14ac:dyDescent="0.25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9" t="s">
        <v>5</v>
      </c>
      <c r="C60" s="29"/>
      <c r="D60" s="33">
        <f>SUM(D57:D59)</f>
        <v>2696.4</v>
      </c>
      <c r="E60" s="14"/>
      <c r="F60" s="35">
        <f>IF(D$12=0,0,D60/D$12)</f>
        <v>0</v>
      </c>
      <c r="G60" s="14"/>
      <c r="H60" s="33">
        <f>SUM(H57:H59)</f>
        <v>-262.79533083845672</v>
      </c>
      <c r="I60" s="14"/>
      <c r="J60" s="35">
        <f>IF(H$12=0,0,H60/H$12)</f>
        <v>0</v>
      </c>
      <c r="K60" s="15"/>
      <c r="L60" s="33">
        <f>+D60-H60</f>
        <v>2959.1953308384568</v>
      </c>
      <c r="M60" s="15"/>
      <c r="N60" s="35">
        <f>IF(H60=0,0,L60/H60)</f>
        <v>-11.260456269892815</v>
      </c>
      <c r="O60" s="28"/>
      <c r="P60" s="33">
        <f>SUM(P57:P59)</f>
        <v>-9659.9799999999977</v>
      </c>
      <c r="Q60" s="14"/>
      <c r="R60" s="35">
        <f>IF(P$12=0,0,P60/P$12)</f>
        <v>0</v>
      </c>
      <c r="S60" s="14"/>
      <c r="T60" s="33">
        <f>SUM(T57:T59)</f>
        <v>-7593.6644943865322</v>
      </c>
      <c r="U60" s="14"/>
      <c r="V60" s="35">
        <f>IF(T$12=0,0,T60/T$12)</f>
        <v>0</v>
      </c>
      <c r="W60" s="15"/>
      <c r="X60" s="33">
        <f>+P60-T60</f>
        <v>-2066.3155056134656</v>
      </c>
      <c r="Y60" s="15"/>
      <c r="Z60" s="35">
        <f>IF(T60=0,0,X60/T60)</f>
        <v>0.27211045564904124</v>
      </c>
    </row>
    <row r="61" spans="1:26" ht="15.75" thickTop="1" x14ac:dyDescent="0.25">
      <c r="A61" s="9"/>
      <c r="C61" s="9"/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25">
      <c r="A62" s="9"/>
      <c r="B62" s="61">
        <v>43732.706463043978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25">
      <c r="A63" s="9"/>
      <c r="B63" s="62" t="s">
        <v>314</v>
      </c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25">
      <c r="A64" s="9"/>
      <c r="B64" s="58"/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  <row r="65" spans="4:24" x14ac:dyDescent="0.25">
      <c r="D65" s="17"/>
      <c r="E65" s="17"/>
      <c r="G65" s="17"/>
      <c r="H65" s="17"/>
      <c r="I65" s="17"/>
      <c r="J65" s="42"/>
      <c r="K65" s="17"/>
      <c r="L65" s="17"/>
      <c r="M65" s="17"/>
      <c r="P65" s="17"/>
      <c r="Q65" s="17"/>
      <c r="R65" s="42"/>
      <c r="S65" s="17"/>
      <c r="T65" s="17"/>
      <c r="U65" s="17"/>
      <c r="V65" s="42"/>
      <c r="W65" s="17"/>
      <c r="X65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","424", " - ", "Blair Field")</f>
        <v>Department 424 - Blair Field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19242.8</v>
      </c>
      <c r="E12" s="4"/>
      <c r="F12" s="12"/>
      <c r="G12" s="4"/>
      <c r="H12" s="4">
        <f>SUM(OSRRefH13x_0)</f>
        <v>20000</v>
      </c>
      <c r="I12" s="4"/>
      <c r="J12" s="12"/>
      <c r="K12" s="4"/>
      <c r="L12" s="4">
        <f t="shared" ref="L12:L15" si="0">+D12-H12</f>
        <v>-757.20000000000073</v>
      </c>
      <c r="M12" s="4"/>
      <c r="N12" s="12">
        <f t="shared" ref="N12:N15" si="1">IF(H12=0,0,L12/H12)</f>
        <v>-3.7860000000000039E-2</v>
      </c>
      <c r="O12" s="10"/>
      <c r="P12" s="4">
        <f>SUM(OSRRefP13x_0)</f>
        <v>19851.87</v>
      </c>
      <c r="Q12" s="4"/>
      <c r="R12" s="12"/>
      <c r="S12" s="4"/>
      <c r="T12" s="4">
        <f>SUM(OSRRefT13x_0)</f>
        <v>20000</v>
      </c>
      <c r="U12" s="4"/>
      <c r="V12" s="12"/>
      <c r="W12" s="4"/>
      <c r="X12" s="4">
        <f t="shared" ref="X12:X15" si="2">+P12-T12</f>
        <v>-148.13000000000102</v>
      </c>
      <c r="Y12" s="4"/>
      <c r="Z12" s="12">
        <f t="shared" ref="Z12:Z15" si="3">IF(T12=0,0,X12/T12)</f>
        <v>-7.4065000000000511E-3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5000</v>
      </c>
      <c r="I13" s="2"/>
      <c r="J13" s="21"/>
      <c r="K13" s="2"/>
      <c r="L13" s="2">
        <f t="shared" si="0"/>
        <v>-5000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5000</v>
      </c>
      <c r="U13" s="2"/>
      <c r="V13" s="21"/>
      <c r="W13" s="2"/>
      <c r="X13" s="2">
        <f t="shared" si="2"/>
        <v>-5000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"4053", " - ", "TAXABLE SALES-FOOD")</f>
        <v xml:space="preserve">          4053 - TAXABLE SALES-FOOD</v>
      </c>
      <c r="C14" s="11"/>
      <c r="D14" s="2">
        <f>--19242.8</f>
        <v>19242.8</v>
      </c>
      <c r="E14" s="2"/>
      <c r="F14" s="21"/>
      <c r="G14" s="2"/>
      <c r="H14" s="2"/>
      <c r="I14" s="2"/>
      <c r="J14" s="21"/>
      <c r="K14" s="2"/>
      <c r="L14" s="2">
        <f t="shared" si="0"/>
        <v>19242.8</v>
      </c>
      <c r="M14" s="2"/>
      <c r="N14" s="21">
        <f t="shared" si="1"/>
        <v>0</v>
      </c>
      <c r="O14" s="11"/>
      <c r="P14" s="2">
        <f>--19851.87</f>
        <v>19851.87</v>
      </c>
      <c r="Q14" s="2"/>
      <c r="R14" s="21"/>
      <c r="S14" s="2"/>
      <c r="T14" s="2"/>
      <c r="U14" s="2"/>
      <c r="V14" s="21"/>
      <c r="W14" s="2"/>
      <c r="X14" s="2">
        <f t="shared" si="2"/>
        <v>19851.87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1"/>
      <c r="G15" s="2"/>
      <c r="H15" s="2">
        <v>15000</v>
      </c>
      <c r="I15" s="2"/>
      <c r="J15" s="21"/>
      <c r="K15" s="2"/>
      <c r="L15" s="2">
        <f t="shared" si="0"/>
        <v>-15000</v>
      </c>
      <c r="M15" s="2"/>
      <c r="N15" s="21">
        <f t="shared" si="1"/>
        <v>-1</v>
      </c>
      <c r="O15" s="11"/>
      <c r="P15" s="2">
        <f>0</f>
        <v>0</v>
      </c>
      <c r="Q15" s="2"/>
      <c r="R15" s="21"/>
      <c r="S15" s="2"/>
      <c r="T15" s="2">
        <v>15000</v>
      </c>
      <c r="U15" s="2"/>
      <c r="V15" s="21"/>
      <c r="W15" s="2"/>
      <c r="X15" s="2">
        <f t="shared" si="2"/>
        <v>-15000</v>
      </c>
      <c r="Y15" s="2"/>
      <c r="Z15" s="21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4810.8900000000003</v>
      </c>
      <c r="E17" s="4"/>
      <c r="F17" s="12">
        <f t="shared" ref="F17:F20" si="4">IF(D$12=0,0,D17/D$12)</f>
        <v>0.25000987382293638</v>
      </c>
      <c r="G17" s="4"/>
      <c r="H17" s="4">
        <f>SUM(OSRRefH16x_0)</f>
        <v>5000</v>
      </c>
      <c r="I17" s="4"/>
      <c r="J17" s="12">
        <f t="shared" ref="J17:J20" si="5">IF(H$12=0,0,H17/H$12)</f>
        <v>0.25</v>
      </c>
      <c r="K17" s="4"/>
      <c r="L17" s="4">
        <f t="shared" ref="L17:L20" si="6">+D17-H17</f>
        <v>-189.10999999999967</v>
      </c>
      <c r="M17" s="4"/>
      <c r="N17" s="12">
        <f t="shared" ref="N17:N20" si="7">IF(H17=0,0,L17/H17)</f>
        <v>-3.7821999999999932E-2</v>
      </c>
      <c r="O17" s="10"/>
      <c r="P17" s="4">
        <f>SUM(OSRRefP16x_0)</f>
        <v>4810.79</v>
      </c>
      <c r="Q17" s="4"/>
      <c r="R17" s="12">
        <f t="shared" ref="R17:R20" si="8">IF(P$12=0,0,P17/P$12)</f>
        <v>0.24233434935852391</v>
      </c>
      <c r="S17" s="4"/>
      <c r="T17" s="4">
        <f>SUM(OSRRefT16x_0)</f>
        <v>5000</v>
      </c>
      <c r="U17" s="4"/>
      <c r="V17" s="12">
        <f t="shared" ref="V17:V20" si="9">IF(T$12=0,0,T17/T$12)</f>
        <v>0.25</v>
      </c>
      <c r="W17" s="4"/>
      <c r="X17" s="4">
        <f t="shared" ref="X17:X20" si="10">+P17-T17</f>
        <v>-189.21000000000004</v>
      </c>
      <c r="Y17" s="4"/>
      <c r="Z17" s="12">
        <f t="shared" ref="Z17:Z20" si="11">IF(T17=0,0,X17/T17)</f>
        <v>-3.7842000000000008E-2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1">
        <f t="shared" si="4"/>
        <v>0</v>
      </c>
      <c r="G18" s="2"/>
      <c r="H18" s="2">
        <v>5000</v>
      </c>
      <c r="I18" s="2"/>
      <c r="J18" s="21">
        <f t="shared" si="5"/>
        <v>0.25</v>
      </c>
      <c r="K18" s="2"/>
      <c r="L18" s="2">
        <f t="shared" si="6"/>
        <v>-5000</v>
      </c>
      <c r="M18" s="2"/>
      <c r="N18" s="21">
        <f t="shared" si="7"/>
        <v>-1</v>
      </c>
      <c r="O18" s="11"/>
      <c r="P18" s="2"/>
      <c r="Q18" s="2"/>
      <c r="R18" s="21">
        <f t="shared" si="8"/>
        <v>0</v>
      </c>
      <c r="S18" s="2"/>
      <c r="T18" s="2">
        <v>5000</v>
      </c>
      <c r="U18" s="2"/>
      <c r="V18" s="21">
        <f t="shared" si="9"/>
        <v>0.25</v>
      </c>
      <c r="W18" s="2"/>
      <c r="X18" s="2">
        <f t="shared" si="10"/>
        <v>-5000</v>
      </c>
      <c r="Y18" s="2"/>
      <c r="Z18" s="21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513.89</v>
      </c>
      <c r="E19" s="2"/>
      <c r="F19" s="21">
        <f t="shared" si="4"/>
        <v>2.6705572993535244E-2</v>
      </c>
      <c r="G19" s="2"/>
      <c r="H19" s="2"/>
      <c r="I19" s="2"/>
      <c r="J19" s="21">
        <f t="shared" si="5"/>
        <v>0</v>
      </c>
      <c r="K19" s="2"/>
      <c r="L19" s="2">
        <f t="shared" si="6"/>
        <v>513.89</v>
      </c>
      <c r="M19" s="2"/>
      <c r="N19" s="21">
        <f t="shared" si="7"/>
        <v>0</v>
      </c>
      <c r="O19" s="11"/>
      <c r="P19" s="2">
        <v>6367.79</v>
      </c>
      <c r="Q19" s="2"/>
      <c r="R19" s="21">
        <f t="shared" si="8"/>
        <v>0.32076524780788912</v>
      </c>
      <c r="S19" s="2"/>
      <c r="T19" s="2"/>
      <c r="U19" s="2"/>
      <c r="V19" s="21">
        <f t="shared" si="9"/>
        <v>0</v>
      </c>
      <c r="W19" s="2"/>
      <c r="X19" s="2">
        <f t="shared" si="10"/>
        <v>6367.79</v>
      </c>
      <c r="Y19" s="2"/>
      <c r="Z19" s="21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4297</v>
      </c>
      <c r="E20" s="2"/>
      <c r="F20" s="21">
        <f t="shared" si="4"/>
        <v>0.22330430082940114</v>
      </c>
      <c r="G20" s="2"/>
      <c r="H20" s="2"/>
      <c r="I20" s="2"/>
      <c r="J20" s="21">
        <f t="shared" si="5"/>
        <v>0</v>
      </c>
      <c r="K20" s="2"/>
      <c r="L20" s="2">
        <f t="shared" si="6"/>
        <v>4297</v>
      </c>
      <c r="M20" s="2"/>
      <c r="N20" s="21">
        <f t="shared" si="7"/>
        <v>0</v>
      </c>
      <c r="O20" s="11"/>
      <c r="P20" s="2">
        <v>-1557</v>
      </c>
      <c r="Q20" s="2"/>
      <c r="R20" s="21">
        <f t="shared" si="8"/>
        <v>-7.8430898449365224E-2</v>
      </c>
      <c r="S20" s="2"/>
      <c r="T20" s="2"/>
      <c r="U20" s="2"/>
      <c r="V20" s="21">
        <f t="shared" si="9"/>
        <v>0</v>
      </c>
      <c r="W20" s="2"/>
      <c r="X20" s="2">
        <f t="shared" si="10"/>
        <v>-1557</v>
      </c>
      <c r="Y20" s="2"/>
      <c r="Z20" s="21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14431.91</v>
      </c>
      <c r="E22" s="14"/>
      <c r="F22" s="20">
        <f>IF(D$12=0,0,D22/D$12)</f>
        <v>0.74999012617706362</v>
      </c>
      <c r="G22" s="14"/>
      <c r="H22" s="22">
        <f>H12-H17</f>
        <v>15000</v>
      </c>
      <c r="I22" s="14"/>
      <c r="J22" s="20">
        <f>IF(H$12=0,0,H22/H$12)</f>
        <v>0.75</v>
      </c>
      <c r="K22" s="15"/>
      <c r="L22" s="22">
        <f>+D22-H22</f>
        <v>-568.09000000000015</v>
      </c>
      <c r="M22" s="15"/>
      <c r="N22" s="20">
        <f>IF(H22=0,0,L22/H22)</f>
        <v>-3.7872666666666679E-2</v>
      </c>
      <c r="O22" s="28"/>
      <c r="P22" s="22">
        <f>P12-P17</f>
        <v>15041.079999999998</v>
      </c>
      <c r="Q22" s="14"/>
      <c r="R22" s="20">
        <f>IF(P$12=0,0,P22/P$12)</f>
        <v>0.75766565064147606</v>
      </c>
      <c r="S22" s="14"/>
      <c r="T22" s="22">
        <f>T12-T17</f>
        <v>15000</v>
      </c>
      <c r="U22" s="14"/>
      <c r="V22" s="20">
        <f>IF(T$12=0,0,T22/T$12)</f>
        <v>0.75</v>
      </c>
      <c r="W22" s="15"/>
      <c r="X22" s="22">
        <f>+P22-T22</f>
        <v>41.079999999998108</v>
      </c>
      <c r="Y22" s="15"/>
      <c r="Z22" s="20">
        <f>IF(T22=0,0,X22/T22)</f>
        <v>2.7386666666665404E-3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19">
        <f>SUM(OSRRefD22x_0)</f>
        <v>9191.7200000000012</v>
      </c>
      <c r="E24" s="19"/>
      <c r="F24" s="34">
        <f t="shared" ref="F24:F33" si="12">IF(D$12=0,0,D24/D$12)</f>
        <v>0.47767060926684274</v>
      </c>
      <c r="G24" s="19"/>
      <c r="H24" s="19">
        <f>SUM(OSRRefH22x_0)</f>
        <v>8965.5895999999993</v>
      </c>
      <c r="I24" s="19"/>
      <c r="J24" s="34">
        <f t="shared" ref="J24:J33" si="13">IF(H$12=0,0,H24/H$12)</f>
        <v>0.44827947999999995</v>
      </c>
      <c r="K24" s="4"/>
      <c r="L24" s="19">
        <f t="shared" ref="L24:L33" si="14">+D24-H24</f>
        <v>226.13040000000183</v>
      </c>
      <c r="M24" s="4"/>
      <c r="N24" s="34">
        <f t="shared" ref="N24:N33" si="15">IF(H24=0,0,L24/H24)</f>
        <v>2.5222033361866333E-2</v>
      </c>
      <c r="O24" s="10"/>
      <c r="P24" s="19">
        <f>SUM(OSRRefP22x_0)</f>
        <v>11917.560000000001</v>
      </c>
      <c r="Q24" s="19"/>
      <c r="R24" s="34">
        <f t="shared" ref="R24:R33" si="16">IF(P$12=0,0,P24/P$12)</f>
        <v>0.60032430194233599</v>
      </c>
      <c r="S24" s="19"/>
      <c r="T24" s="19">
        <f>SUM(OSRRefT22x_0)</f>
        <v>14777.6736</v>
      </c>
      <c r="U24" s="19"/>
      <c r="V24" s="34">
        <f t="shared" ref="V24:V33" si="17">IF(T$12=0,0,T24/T$12)</f>
        <v>0.73888368000000004</v>
      </c>
      <c r="W24" s="4"/>
      <c r="X24" s="19">
        <f t="shared" ref="X24:X33" si="18">+P24-T24</f>
        <v>-2860.1135999999988</v>
      </c>
      <c r="Y24" s="4"/>
      <c r="Z24" s="34">
        <f t="shared" ref="Z24:Z33" si="19">IF(T24=0,0,X24/T24)</f>
        <v>-0.19354288620909849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323.69</v>
      </c>
      <c r="E25" s="1"/>
      <c r="F25" s="5">
        <f t="shared" si="12"/>
        <v>1.6821356559336479E-2</v>
      </c>
      <c r="G25" s="1"/>
      <c r="H25" s="1">
        <f>SUM(OSRRefH22_0x_0)</f>
        <v>71.58959999999999</v>
      </c>
      <c r="I25" s="1"/>
      <c r="J25" s="5">
        <f t="shared" si="13"/>
        <v>3.5794799999999995E-3</v>
      </c>
      <c r="K25" s="1"/>
      <c r="L25" s="1">
        <f t="shared" si="14"/>
        <v>252.10040000000001</v>
      </c>
      <c r="M25" s="1"/>
      <c r="N25" s="5">
        <f t="shared" si="15"/>
        <v>3.5214668052342804</v>
      </c>
      <c r="O25" s="13"/>
      <c r="P25" s="1">
        <f>SUM(OSRRefP22_0x_0)</f>
        <v>323.69</v>
      </c>
      <c r="Q25" s="1"/>
      <c r="R25" s="5">
        <f t="shared" si="16"/>
        <v>1.6305264944813765E-2</v>
      </c>
      <c r="S25" s="1"/>
      <c r="T25" s="1">
        <f>SUM(OSRRefT22_0x_0)</f>
        <v>245.67360000000002</v>
      </c>
      <c r="U25" s="1"/>
      <c r="V25" s="5">
        <f t="shared" si="17"/>
        <v>1.2283680000000002E-2</v>
      </c>
      <c r="W25" s="1"/>
      <c r="X25" s="1">
        <f t="shared" si="18"/>
        <v>78.016399999999976</v>
      </c>
      <c r="Y25" s="1"/>
      <c r="Z25" s="5">
        <f t="shared" si="19"/>
        <v>0.31756118687559415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323.69</v>
      </c>
      <c r="E26" s="2"/>
      <c r="F26" s="7">
        <f t="shared" si="12"/>
        <v>1.6821356559336479E-2</v>
      </c>
      <c r="G26" s="2"/>
      <c r="H26" s="6">
        <v>0</v>
      </c>
      <c r="I26" s="2"/>
      <c r="J26" s="7">
        <f t="shared" si="13"/>
        <v>0</v>
      </c>
      <c r="K26" s="2"/>
      <c r="L26" s="6">
        <f t="shared" si="14"/>
        <v>323.69</v>
      </c>
      <c r="M26" s="2"/>
      <c r="N26" s="7">
        <f t="shared" si="15"/>
        <v>0</v>
      </c>
      <c r="O26" s="11"/>
      <c r="P26" s="6">
        <v>323.69</v>
      </c>
      <c r="Q26" s="2"/>
      <c r="R26" s="7">
        <f t="shared" si="16"/>
        <v>1.6305264944813765E-2</v>
      </c>
      <c r="S26" s="2"/>
      <c r="T26" s="6">
        <v>0</v>
      </c>
      <c r="U26" s="2"/>
      <c r="V26" s="7">
        <f t="shared" si="17"/>
        <v>0</v>
      </c>
      <c r="W26" s="2"/>
      <c r="X26" s="6">
        <f t="shared" si="18"/>
        <v>323.69</v>
      </c>
      <c r="Y26" s="2"/>
      <c r="Z26" s="7">
        <f t="shared" si="19"/>
        <v>0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/>
      <c r="E29" s="2"/>
      <c r="F29" s="7">
        <f t="shared" si="12"/>
        <v>0</v>
      </c>
      <c r="G29" s="2"/>
      <c r="H29" s="6">
        <v>5.7096</v>
      </c>
      <c r="I29" s="2"/>
      <c r="J29" s="7">
        <f t="shared" si="13"/>
        <v>2.8548000000000001E-4</v>
      </c>
      <c r="K29" s="2"/>
      <c r="L29" s="6">
        <f t="shared" si="14"/>
        <v>-5.7096</v>
      </c>
      <c r="M29" s="2"/>
      <c r="N29" s="7">
        <f t="shared" si="15"/>
        <v>-1</v>
      </c>
      <c r="O29" s="11"/>
      <c r="P29" s="6"/>
      <c r="Q29" s="2"/>
      <c r="R29" s="7">
        <f t="shared" si="16"/>
        <v>0</v>
      </c>
      <c r="S29" s="2"/>
      <c r="T29" s="6">
        <v>19.593599999999999</v>
      </c>
      <c r="U29" s="2"/>
      <c r="V29" s="7">
        <f t="shared" si="17"/>
        <v>9.7967999999999992E-4</v>
      </c>
      <c r="W29" s="2"/>
      <c r="X29" s="6">
        <f t="shared" si="18"/>
        <v>-19.593599999999999</v>
      </c>
      <c r="Y29" s="2"/>
      <c r="Z29" s="7">
        <f t="shared" si="19"/>
        <v>-1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2"/>
        <v>0</v>
      </c>
      <c r="G33" s="2"/>
      <c r="H33" s="6">
        <v>65.88</v>
      </c>
      <c r="I33" s="2"/>
      <c r="J33" s="7">
        <f t="shared" si="13"/>
        <v>3.2939999999999996E-3</v>
      </c>
      <c r="K33" s="2"/>
      <c r="L33" s="6">
        <f t="shared" si="14"/>
        <v>-65.88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226.08</v>
      </c>
      <c r="U33" s="2"/>
      <c r="V33" s="7">
        <f t="shared" si="17"/>
        <v>1.1304E-2</v>
      </c>
      <c r="W33" s="2"/>
      <c r="X33" s="6">
        <f t="shared" si="18"/>
        <v>-226.08</v>
      </c>
      <c r="Y33" s="2"/>
      <c r="Z33" s="7">
        <f t="shared" si="19"/>
        <v>-1</v>
      </c>
    </row>
    <row r="34" spans="1:26" s="26" customFormat="1" outlineLevel="1" collapsed="1" x14ac:dyDescent="0.25">
      <c r="A34" s="25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3977.18</v>
      </c>
      <c r="E34" s="1"/>
      <c r="F34" s="5">
        <f t="shared" ref="F34:F44" si="20">IF(D$12=0,0,D34/D$12)</f>
        <v>0.20668405845303178</v>
      </c>
      <c r="G34" s="1"/>
      <c r="H34" s="1">
        <f>SUM(OSRRefH22_1x_0)</f>
        <v>2196</v>
      </c>
      <c r="I34" s="1"/>
      <c r="J34" s="5">
        <f t="shared" ref="J34:J44" si="21">IF(H$12=0,0,H34/H$12)</f>
        <v>0.10979999999999999</v>
      </c>
      <c r="K34" s="1"/>
      <c r="L34" s="1">
        <f t="shared" ref="L34:L44" si="22">+D34-H34</f>
        <v>1781.1799999999998</v>
      </c>
      <c r="M34" s="1"/>
      <c r="N34" s="5">
        <f t="shared" ref="N34:N44" si="23">IF(H34=0,0,L34/H34)</f>
        <v>0.81110200364298712</v>
      </c>
      <c r="O34" s="13"/>
      <c r="P34" s="1">
        <f>SUM(OSRRefP22_1x_0)</f>
        <v>4864.18</v>
      </c>
      <c r="Q34" s="1"/>
      <c r="R34" s="5">
        <f t="shared" ref="R34:R44" si="24">IF(P$12=0,0,P34/P$12)</f>
        <v>0.24502376854170416</v>
      </c>
      <c r="S34" s="1"/>
      <c r="T34" s="1">
        <f>SUM(OSRRefT22_1x_0)</f>
        <v>7536</v>
      </c>
      <c r="U34" s="1"/>
      <c r="V34" s="5">
        <f t="shared" ref="V34:V44" si="25">IF(T$12=0,0,T34/T$12)</f>
        <v>0.37680000000000002</v>
      </c>
      <c r="W34" s="1"/>
      <c r="X34" s="1">
        <f t="shared" ref="X34:X44" si="26">+P34-T34</f>
        <v>-2671.8199999999997</v>
      </c>
      <c r="Y34" s="1"/>
      <c r="Z34" s="5">
        <f t="shared" ref="Z34:Z44" si="27">IF(T34=0,0,X34/T34)</f>
        <v>-0.35454087048832267</v>
      </c>
    </row>
    <row r="35" spans="1:26" s="24" customFormat="1" hidden="1" outlineLevel="2" x14ac:dyDescent="0.25">
      <c r="A35" s="27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"6005", " - ", "TEMPORARY WAGES-HOURLY")</f>
        <v xml:space="preserve">          6005 - TEMPORARY WAGES-HOURLY</v>
      </c>
      <c r="C39" s="11"/>
      <c r="D39" s="6">
        <v>1896.99</v>
      </c>
      <c r="E39" s="2"/>
      <c r="F39" s="7">
        <f t="shared" si="20"/>
        <v>9.8581807221402293E-2</v>
      </c>
      <c r="G39" s="2"/>
      <c r="H39" s="6">
        <v>2196</v>
      </c>
      <c r="I39" s="2"/>
      <c r="J39" s="7">
        <f t="shared" si="21"/>
        <v>0.10979999999999999</v>
      </c>
      <c r="K39" s="2"/>
      <c r="L39" s="6">
        <f t="shared" si="22"/>
        <v>-299.01</v>
      </c>
      <c r="M39" s="2"/>
      <c r="N39" s="7">
        <f t="shared" si="23"/>
        <v>-0.13616120218579233</v>
      </c>
      <c r="O39" s="11"/>
      <c r="P39" s="6">
        <v>1896.99</v>
      </c>
      <c r="Q39" s="2"/>
      <c r="R39" s="7">
        <f t="shared" si="24"/>
        <v>9.5557244733115831E-2</v>
      </c>
      <c r="S39" s="2"/>
      <c r="T39" s="6">
        <v>3696</v>
      </c>
      <c r="U39" s="2"/>
      <c r="V39" s="7">
        <f t="shared" si="25"/>
        <v>0.18479999999999999</v>
      </c>
      <c r="W39" s="2"/>
      <c r="X39" s="6">
        <f t="shared" si="26"/>
        <v>-1799.01</v>
      </c>
      <c r="Y39" s="2"/>
      <c r="Z39" s="7">
        <f t="shared" si="27"/>
        <v>-0.48674512987012986</v>
      </c>
    </row>
    <row r="40" spans="1:26" s="24" customFormat="1" hidden="1" outlineLevel="2" x14ac:dyDescent="0.25">
      <c r="A40" s="27"/>
      <c r="B40" s="11" t="str">
        <f>CONCATENATE("          ", "6006", " - ", "TEMPORARY PART TIME")</f>
        <v xml:space="preserve">          6006 - TEMPORARY PART TIME</v>
      </c>
      <c r="C40" s="11"/>
      <c r="D40" s="6">
        <v>247.5</v>
      </c>
      <c r="E40" s="2"/>
      <c r="F40" s="7">
        <f t="shared" si="20"/>
        <v>1.2861953561851706E-2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247.5</v>
      </c>
      <c r="M40" s="2"/>
      <c r="N40" s="7">
        <f t="shared" si="23"/>
        <v>0</v>
      </c>
      <c r="O40" s="11"/>
      <c r="P40" s="6">
        <v>247.5</v>
      </c>
      <c r="Q40" s="2"/>
      <c r="R40" s="7">
        <f t="shared" si="24"/>
        <v>1.2467339348887536E-2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247.5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"6007", " - ", "STUDENT HOURLY")</f>
        <v xml:space="preserve">          6007 - STUDENT HOURLY</v>
      </c>
      <c r="C41" s="11"/>
      <c r="D41" s="6">
        <v>1199.69</v>
      </c>
      <c r="E41" s="2"/>
      <c r="F41" s="7">
        <f t="shared" si="20"/>
        <v>6.2344877044920706E-2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1199.69</v>
      </c>
      <c r="M41" s="2"/>
      <c r="N41" s="7">
        <f t="shared" si="23"/>
        <v>0</v>
      </c>
      <c r="O41" s="11"/>
      <c r="P41" s="6">
        <v>2086.69</v>
      </c>
      <c r="Q41" s="2"/>
      <c r="R41" s="7">
        <f t="shared" si="24"/>
        <v>0.10511301957951569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2086.69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6">
        <v>633</v>
      </c>
      <c r="E42" s="2"/>
      <c r="F42" s="7">
        <f t="shared" si="20"/>
        <v>3.2895420624857091E-2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633</v>
      </c>
      <c r="M42" s="2"/>
      <c r="N42" s="7">
        <f t="shared" si="23"/>
        <v>0</v>
      </c>
      <c r="O42" s="11"/>
      <c r="P42" s="6">
        <v>633</v>
      </c>
      <c r="Q42" s="2"/>
      <c r="R42" s="7">
        <f t="shared" si="24"/>
        <v>3.1886164880185093E-2</v>
      </c>
      <c r="S42" s="2"/>
      <c r="T42" s="6">
        <v>3840</v>
      </c>
      <c r="U42" s="2"/>
      <c r="V42" s="7">
        <f t="shared" si="25"/>
        <v>0.192</v>
      </c>
      <c r="W42" s="2"/>
      <c r="X42" s="6">
        <f t="shared" si="26"/>
        <v>-3207</v>
      </c>
      <c r="Y42" s="2"/>
      <c r="Z42" s="7">
        <f t="shared" si="27"/>
        <v>-0.83515625000000004</v>
      </c>
    </row>
    <row r="43" spans="1:26" s="24" customFormat="1" hidden="1" outlineLevel="2" x14ac:dyDescent="0.25">
      <c r="A43" s="27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6" customFormat="1" outlineLevel="1" collapsed="1" x14ac:dyDescent="0.25">
      <c r="A45" s="25"/>
      <c r="B45" s="13" t="str">
        <f>CONCATENATE("     ","Advertising/Promo                                 ")</f>
        <v xml:space="preserve">     Advertising/Promo                                 </v>
      </c>
      <c r="C45" s="13"/>
      <c r="D45" s="1">
        <f>SUM(OSRRefD22_2x_0)</f>
        <v>103.95</v>
      </c>
      <c r="E45" s="1"/>
      <c r="F45" s="5">
        <f t="shared" ref="F45:F59" si="28">IF(D$12=0,0,D45/D$12)</f>
        <v>5.4020204959777168E-3</v>
      </c>
      <c r="G45" s="1"/>
      <c r="H45" s="1">
        <f>SUM(OSRRefH22_2x_0)</f>
        <v>100</v>
      </c>
      <c r="I45" s="1"/>
      <c r="J45" s="5">
        <f t="shared" ref="J45:J59" si="29">IF(H$12=0,0,H45/H$12)</f>
        <v>5.0000000000000001E-3</v>
      </c>
      <c r="K45" s="1"/>
      <c r="L45" s="1">
        <f t="shared" ref="L45:L59" si="30">+D45-H45</f>
        <v>3.9500000000000028</v>
      </c>
      <c r="M45" s="1"/>
      <c r="N45" s="5">
        <f t="shared" ref="N45:N59" si="31">IF(H45=0,0,L45/H45)</f>
        <v>3.9500000000000028E-2</v>
      </c>
      <c r="O45" s="13"/>
      <c r="P45" s="1">
        <f>SUM(OSRRefP22_2x_0)</f>
        <v>103.95</v>
      </c>
      <c r="Q45" s="1"/>
      <c r="R45" s="5">
        <f t="shared" ref="R45:R59" si="32">IF(P$12=0,0,P45/P$12)</f>
        <v>5.2362825265327654E-3</v>
      </c>
      <c r="S45" s="1"/>
      <c r="T45" s="1">
        <f>SUM(OSRRefT22_2x_0)</f>
        <v>100</v>
      </c>
      <c r="U45" s="1"/>
      <c r="V45" s="5">
        <f t="shared" ref="V45:V59" si="33">IF(T$12=0,0,T45/T$12)</f>
        <v>5.0000000000000001E-3</v>
      </c>
      <c r="W45" s="1"/>
      <c r="X45" s="1">
        <f t="shared" ref="X45:X59" si="34">+P45-T45</f>
        <v>3.9500000000000028</v>
      </c>
      <c r="Y45" s="1"/>
      <c r="Z45" s="5">
        <f t="shared" ref="Z45:Z59" si="35">IF(T45=0,0,X45/T45)</f>
        <v>3.9500000000000028E-2</v>
      </c>
    </row>
    <row r="46" spans="1:26" s="24" customFormat="1" hidden="1" outlineLevel="2" x14ac:dyDescent="0.25">
      <c r="A46" s="27"/>
      <c r="B46" s="11" t="str">
        <f>CONCATENATE("          ", "6362", " - ", "ADVERTISING EXPENSE")</f>
        <v xml:space="preserve">          6362 - ADVERTISING EXPENSE</v>
      </c>
      <c r="C46" s="11"/>
      <c r="D46" s="6">
        <v>103.95</v>
      </c>
      <c r="E46" s="2"/>
      <c r="F46" s="7">
        <f t="shared" si="28"/>
        <v>5.4020204959777168E-3</v>
      </c>
      <c r="G46" s="2"/>
      <c r="H46" s="6">
        <v>100</v>
      </c>
      <c r="I46" s="2"/>
      <c r="J46" s="7">
        <f t="shared" si="29"/>
        <v>5.0000000000000001E-3</v>
      </c>
      <c r="K46" s="2"/>
      <c r="L46" s="6">
        <f t="shared" si="30"/>
        <v>3.9500000000000028</v>
      </c>
      <c r="M46" s="2"/>
      <c r="N46" s="7">
        <f t="shared" si="31"/>
        <v>3.9500000000000028E-2</v>
      </c>
      <c r="O46" s="11"/>
      <c r="P46" s="6">
        <v>103.95</v>
      </c>
      <c r="Q46" s="2"/>
      <c r="R46" s="7">
        <f t="shared" si="32"/>
        <v>5.2362825265327654E-3</v>
      </c>
      <c r="S46" s="2"/>
      <c r="T46" s="6">
        <v>100</v>
      </c>
      <c r="U46" s="2"/>
      <c r="V46" s="7">
        <f t="shared" si="33"/>
        <v>5.0000000000000001E-3</v>
      </c>
      <c r="W46" s="2"/>
      <c r="X46" s="6">
        <f t="shared" si="34"/>
        <v>3.9500000000000028</v>
      </c>
      <c r="Y46" s="2"/>
      <c r="Z46" s="7">
        <f t="shared" si="35"/>
        <v>3.9500000000000028E-2</v>
      </c>
    </row>
    <row r="47" spans="1:26" s="26" customFormat="1" outlineLevel="1" collapsed="1" x14ac:dyDescent="0.25">
      <c r="A47" s="25"/>
      <c r="B47" s="13" t="str">
        <f>CONCATENATE("     ","Bad Debts/Over/Short                              ")</f>
        <v xml:space="preserve">     Bad Debts/Over/Short                              </v>
      </c>
      <c r="C47" s="13"/>
      <c r="D47" s="1">
        <f>SUM(OSRRefD22_3x_0)</f>
        <v>2.85</v>
      </c>
      <c r="E47" s="1"/>
      <c r="F47" s="5">
        <f t="shared" si="28"/>
        <v>1.4810734404556509E-4</v>
      </c>
      <c r="G47" s="1"/>
      <c r="H47" s="1">
        <f>SUM(OSRRefH22_3x_0)</f>
        <v>25</v>
      </c>
      <c r="I47" s="1"/>
      <c r="J47" s="5">
        <f t="shared" si="29"/>
        <v>1.25E-3</v>
      </c>
      <c r="K47" s="1"/>
      <c r="L47" s="1">
        <f t="shared" si="30"/>
        <v>-22.15</v>
      </c>
      <c r="M47" s="1"/>
      <c r="N47" s="5">
        <f t="shared" si="31"/>
        <v>-0.8859999999999999</v>
      </c>
      <c r="O47" s="13"/>
      <c r="P47" s="1">
        <f>SUM(OSRRefP22_3x_0)</f>
        <v>1.85</v>
      </c>
      <c r="Q47" s="1"/>
      <c r="R47" s="5">
        <f t="shared" si="32"/>
        <v>9.3190213314916939E-5</v>
      </c>
      <c r="S47" s="1"/>
      <c r="T47" s="1">
        <f>SUM(OSRRefT22_3x_0)</f>
        <v>25</v>
      </c>
      <c r="U47" s="1"/>
      <c r="V47" s="5">
        <f t="shared" si="33"/>
        <v>1.25E-3</v>
      </c>
      <c r="W47" s="1"/>
      <c r="X47" s="1">
        <f t="shared" si="34"/>
        <v>-23.15</v>
      </c>
      <c r="Y47" s="1"/>
      <c r="Z47" s="5">
        <f t="shared" si="35"/>
        <v>-0.92599999999999993</v>
      </c>
    </row>
    <row r="48" spans="1:26" s="24" customFormat="1" hidden="1" outlineLevel="2" x14ac:dyDescent="0.25">
      <c r="A48" s="27"/>
      <c r="B48" s="11" t="str">
        <f>CONCATENATE("          ", "6272", " - ", "CASH (OVER/SHORT)")</f>
        <v xml:space="preserve">          6272 - CASH (OVER/SHORT)</v>
      </c>
      <c r="C48" s="11"/>
      <c r="D48" s="6">
        <v>2.85</v>
      </c>
      <c r="E48" s="2"/>
      <c r="F48" s="7">
        <f t="shared" si="28"/>
        <v>1.4810734404556509E-4</v>
      </c>
      <c r="G48" s="2"/>
      <c r="H48" s="6">
        <v>25</v>
      </c>
      <c r="I48" s="2"/>
      <c r="J48" s="7">
        <f t="shared" si="29"/>
        <v>1.25E-3</v>
      </c>
      <c r="K48" s="2"/>
      <c r="L48" s="6">
        <f t="shared" si="30"/>
        <v>-22.15</v>
      </c>
      <c r="M48" s="2"/>
      <c r="N48" s="7">
        <f t="shared" si="31"/>
        <v>-0.8859999999999999</v>
      </c>
      <c r="O48" s="11"/>
      <c r="P48" s="6">
        <v>1.85</v>
      </c>
      <c r="Q48" s="2"/>
      <c r="R48" s="7">
        <f t="shared" si="32"/>
        <v>9.3190213314916939E-5</v>
      </c>
      <c r="S48" s="2"/>
      <c r="T48" s="6">
        <v>25</v>
      </c>
      <c r="U48" s="2"/>
      <c r="V48" s="7">
        <f t="shared" si="33"/>
        <v>1.25E-3</v>
      </c>
      <c r="W48" s="2"/>
      <c r="X48" s="6">
        <f t="shared" si="34"/>
        <v>-23.15</v>
      </c>
      <c r="Y48" s="2"/>
      <c r="Z48" s="7">
        <f t="shared" si="35"/>
        <v>-0.92599999999999993</v>
      </c>
    </row>
    <row r="49" spans="1:26" s="26" customFormat="1" outlineLevel="1" collapsed="1" x14ac:dyDescent="0.25">
      <c r="A49" s="25"/>
      <c r="B49" s="13" t="str">
        <f>CONCATENATE("     ","Bank/card Fees                                    ")</f>
        <v xml:space="preserve">     Bank/card Fees                                    </v>
      </c>
      <c r="C49" s="13"/>
      <c r="D49" s="1">
        <f>SUM(OSRRefD22_4x_0)</f>
        <v>333.47</v>
      </c>
      <c r="E49" s="1"/>
      <c r="F49" s="5">
        <f t="shared" si="28"/>
        <v>1.7329598603113894E-2</v>
      </c>
      <c r="G49" s="1"/>
      <c r="H49" s="1">
        <f>SUM(OSRRefH22_4x_0)</f>
        <v>150</v>
      </c>
      <c r="I49" s="1"/>
      <c r="J49" s="5">
        <f t="shared" si="29"/>
        <v>7.4999999999999997E-3</v>
      </c>
      <c r="K49" s="1"/>
      <c r="L49" s="1">
        <f t="shared" si="30"/>
        <v>183.47000000000003</v>
      </c>
      <c r="M49" s="1"/>
      <c r="N49" s="5">
        <f t="shared" si="31"/>
        <v>1.2231333333333334</v>
      </c>
      <c r="O49" s="13"/>
      <c r="P49" s="1">
        <f>SUM(OSRRefP22_4x_0)</f>
        <v>333.47</v>
      </c>
      <c r="Q49" s="1"/>
      <c r="R49" s="5">
        <f t="shared" si="32"/>
        <v>1.6797913748175866E-2</v>
      </c>
      <c r="S49" s="1"/>
      <c r="T49" s="1">
        <f>SUM(OSRRefT22_4x_0)</f>
        <v>150</v>
      </c>
      <c r="U49" s="1"/>
      <c r="V49" s="5">
        <f t="shared" si="33"/>
        <v>7.4999999999999997E-3</v>
      </c>
      <c r="W49" s="1"/>
      <c r="X49" s="1">
        <f t="shared" si="34"/>
        <v>183.47000000000003</v>
      </c>
      <c r="Y49" s="1"/>
      <c r="Z49" s="5">
        <f t="shared" si="35"/>
        <v>1.2231333333333334</v>
      </c>
    </row>
    <row r="50" spans="1:26" s="24" customFormat="1" hidden="1" outlineLevel="2" x14ac:dyDescent="0.25">
      <c r="A50" s="27"/>
      <c r="B50" s="11" t="str">
        <f>CONCATENATE("          ", "6381", " - ", "BANK/CREDIT CARD FEES")</f>
        <v xml:space="preserve">          6381 - BANK/CREDIT CARD FEES</v>
      </c>
      <c r="C50" s="11"/>
      <c r="D50" s="6">
        <v>333.47</v>
      </c>
      <c r="E50" s="2"/>
      <c r="F50" s="7">
        <f t="shared" si="28"/>
        <v>1.7329598603113894E-2</v>
      </c>
      <c r="G50" s="2"/>
      <c r="H50" s="6">
        <v>150</v>
      </c>
      <c r="I50" s="2"/>
      <c r="J50" s="7">
        <f t="shared" si="29"/>
        <v>7.4999999999999997E-3</v>
      </c>
      <c r="K50" s="2"/>
      <c r="L50" s="6">
        <f t="shared" si="30"/>
        <v>183.47000000000003</v>
      </c>
      <c r="M50" s="2"/>
      <c r="N50" s="7">
        <f t="shared" si="31"/>
        <v>1.2231333333333334</v>
      </c>
      <c r="O50" s="11"/>
      <c r="P50" s="6">
        <v>333.47</v>
      </c>
      <c r="Q50" s="2"/>
      <c r="R50" s="7">
        <f t="shared" si="32"/>
        <v>1.6797913748175866E-2</v>
      </c>
      <c r="S50" s="2"/>
      <c r="T50" s="6">
        <v>150</v>
      </c>
      <c r="U50" s="2"/>
      <c r="V50" s="7">
        <f t="shared" si="33"/>
        <v>7.4999999999999997E-3</v>
      </c>
      <c r="W50" s="2"/>
      <c r="X50" s="6">
        <f t="shared" si="34"/>
        <v>183.47000000000003</v>
      </c>
      <c r="Y50" s="2"/>
      <c r="Z50" s="7">
        <f t="shared" si="35"/>
        <v>1.2231333333333334</v>
      </c>
    </row>
    <row r="51" spans="1:26" s="26" customFormat="1" outlineLevel="1" collapsed="1" x14ac:dyDescent="0.25">
      <c r="A51" s="25"/>
      <c r="B51" s="13" t="str">
        <f>CONCATENATE("     ","Employees' Appreciation                           ")</f>
        <v xml:space="preserve">     Employees' Appreciation                           </v>
      </c>
      <c r="C51" s="13"/>
      <c r="D51" s="1">
        <f>SUM(OSRRefD22_5x_0)</f>
        <v>66.09</v>
      </c>
      <c r="E51" s="1"/>
      <c r="F51" s="5">
        <f t="shared" si="28"/>
        <v>3.4345313571829466E-3</v>
      </c>
      <c r="G51" s="1"/>
      <c r="H51" s="1">
        <f>SUM(OSRRefH22_5x_0)</f>
        <v>100</v>
      </c>
      <c r="I51" s="1"/>
      <c r="J51" s="5">
        <f t="shared" si="29"/>
        <v>5.0000000000000001E-3</v>
      </c>
      <c r="K51" s="1"/>
      <c r="L51" s="1">
        <f t="shared" si="30"/>
        <v>-33.909999999999997</v>
      </c>
      <c r="M51" s="1"/>
      <c r="N51" s="5">
        <f t="shared" si="31"/>
        <v>-0.33909999999999996</v>
      </c>
      <c r="O51" s="13"/>
      <c r="P51" s="1">
        <f>SUM(OSRRefP22_5x_0)</f>
        <v>114.64</v>
      </c>
      <c r="Q51" s="1"/>
      <c r="R51" s="5">
        <f t="shared" si="32"/>
        <v>5.7747708402281503E-3</v>
      </c>
      <c r="S51" s="1"/>
      <c r="T51" s="1">
        <f>SUM(OSRRefT22_5x_0)</f>
        <v>100</v>
      </c>
      <c r="U51" s="1"/>
      <c r="V51" s="5">
        <f t="shared" si="33"/>
        <v>5.0000000000000001E-3</v>
      </c>
      <c r="W51" s="1"/>
      <c r="X51" s="1">
        <f t="shared" si="34"/>
        <v>14.64</v>
      </c>
      <c r="Y51" s="1"/>
      <c r="Z51" s="5">
        <f t="shared" si="35"/>
        <v>0.1464</v>
      </c>
    </row>
    <row r="52" spans="1:26" s="24" customFormat="1" hidden="1" outlineLevel="2" x14ac:dyDescent="0.25">
      <c r="A52" s="27"/>
      <c r="B52" s="11" t="str">
        <f>CONCATENATE("          ", "6277", " - ", "EMPLOYEE APPRECIATION")</f>
        <v xml:space="preserve">          6277 - EMPLOYEE APPRECIATION</v>
      </c>
      <c r="C52" s="11"/>
      <c r="D52" s="6">
        <v>66.09</v>
      </c>
      <c r="E52" s="2"/>
      <c r="F52" s="7">
        <f t="shared" si="28"/>
        <v>3.4345313571829466E-3</v>
      </c>
      <c r="G52" s="2"/>
      <c r="H52" s="6">
        <v>100</v>
      </c>
      <c r="I52" s="2"/>
      <c r="J52" s="7">
        <f t="shared" si="29"/>
        <v>5.0000000000000001E-3</v>
      </c>
      <c r="K52" s="2"/>
      <c r="L52" s="6">
        <f t="shared" si="30"/>
        <v>-33.909999999999997</v>
      </c>
      <c r="M52" s="2"/>
      <c r="N52" s="7">
        <f t="shared" si="31"/>
        <v>-0.33909999999999996</v>
      </c>
      <c r="O52" s="11"/>
      <c r="P52" s="6">
        <v>114.64</v>
      </c>
      <c r="Q52" s="2"/>
      <c r="R52" s="7">
        <f t="shared" si="32"/>
        <v>5.7747708402281503E-3</v>
      </c>
      <c r="S52" s="2"/>
      <c r="T52" s="6">
        <v>100</v>
      </c>
      <c r="U52" s="2"/>
      <c r="V52" s="7">
        <f t="shared" si="33"/>
        <v>5.0000000000000001E-3</v>
      </c>
      <c r="W52" s="2"/>
      <c r="X52" s="6">
        <f t="shared" si="34"/>
        <v>14.64</v>
      </c>
      <c r="Y52" s="2"/>
      <c r="Z52" s="7">
        <f t="shared" si="35"/>
        <v>0.1464</v>
      </c>
    </row>
    <row r="53" spans="1:26" s="26" customFormat="1" outlineLevel="1" collapsed="1" x14ac:dyDescent="0.25">
      <c r="A53" s="25"/>
      <c r="B53" s="13" t="str">
        <f>CONCATENATE("     ","General                                           ")</f>
        <v xml:space="preserve">     General                                           </v>
      </c>
      <c r="C53" s="13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3"/>
      <c r="P53" s="1">
        <f>SUM(OSRRefP22_6x_0)</f>
        <v>1464.1</v>
      </c>
      <c r="Q53" s="1"/>
      <c r="R53" s="5">
        <f t="shared" si="32"/>
        <v>7.3751238548308048E-2</v>
      </c>
      <c r="S53" s="1"/>
      <c r="T53" s="1">
        <f>SUM(OSRRefT22_6x_0)</f>
        <v>0</v>
      </c>
      <c r="U53" s="1"/>
      <c r="V53" s="5">
        <f t="shared" si="33"/>
        <v>0</v>
      </c>
      <c r="W53" s="1"/>
      <c r="X53" s="1">
        <f t="shared" si="34"/>
        <v>1464.1</v>
      </c>
      <c r="Y53" s="1"/>
      <c r="Z53" s="5">
        <f t="shared" si="35"/>
        <v>0</v>
      </c>
    </row>
    <row r="54" spans="1:26" s="24" customFormat="1" hidden="1" outlineLevel="2" x14ac:dyDescent="0.25">
      <c r="A54" s="27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1464.1</v>
      </c>
      <c r="Q54" s="2"/>
      <c r="R54" s="7">
        <f t="shared" si="32"/>
        <v>7.3751238548308048E-2</v>
      </c>
      <c r="S54" s="2"/>
      <c r="T54" s="6"/>
      <c r="U54" s="2"/>
      <c r="V54" s="7">
        <f t="shared" si="33"/>
        <v>0</v>
      </c>
      <c r="W54" s="2"/>
      <c r="X54" s="6">
        <f t="shared" si="34"/>
        <v>1464.1</v>
      </c>
      <c r="Y54" s="2"/>
      <c r="Z54" s="7">
        <f t="shared" si="35"/>
        <v>0</v>
      </c>
    </row>
    <row r="55" spans="1:26" s="26" customFormat="1" outlineLevel="1" collapsed="1" x14ac:dyDescent="0.25">
      <c r="A55" s="25"/>
      <c r="B55" s="13" t="str">
        <f>CONCATENATE("     ","Repair and Maintenance                            ")</f>
        <v xml:space="preserve">     Repair and Maintenance                            </v>
      </c>
      <c r="C55" s="13"/>
      <c r="D55" s="1">
        <f>SUM(OSRRefD22_7x_0)</f>
        <v>0</v>
      </c>
      <c r="E55" s="1"/>
      <c r="F55" s="5">
        <f t="shared" si="28"/>
        <v>0</v>
      </c>
      <c r="G55" s="1"/>
      <c r="H55" s="1">
        <f>SUM(OSRRefH22_7x_0)</f>
        <v>1500</v>
      </c>
      <c r="I55" s="1"/>
      <c r="J55" s="5">
        <f t="shared" si="29"/>
        <v>7.4999999999999997E-2</v>
      </c>
      <c r="K55" s="1"/>
      <c r="L55" s="1">
        <f t="shared" si="30"/>
        <v>-1500</v>
      </c>
      <c r="M55" s="1"/>
      <c r="N55" s="5">
        <f t="shared" si="31"/>
        <v>-1</v>
      </c>
      <c r="O55" s="13"/>
      <c r="P55" s="1">
        <f>SUM(OSRRefP22_7x_0)</f>
        <v>138.08000000000001</v>
      </c>
      <c r="Q55" s="1"/>
      <c r="R55" s="5">
        <f t="shared" si="32"/>
        <v>6.9555160294722876E-3</v>
      </c>
      <c r="S55" s="1"/>
      <c r="T55" s="1">
        <f>SUM(OSRRefT22_7x_0)</f>
        <v>1500</v>
      </c>
      <c r="U55" s="1"/>
      <c r="V55" s="5">
        <f t="shared" si="33"/>
        <v>7.4999999999999997E-2</v>
      </c>
      <c r="W55" s="1"/>
      <c r="X55" s="1">
        <f t="shared" si="34"/>
        <v>-1361.92</v>
      </c>
      <c r="Y55" s="1"/>
      <c r="Z55" s="5">
        <f t="shared" si="35"/>
        <v>-0.90794666666666668</v>
      </c>
    </row>
    <row r="56" spans="1:26" s="24" customFormat="1" hidden="1" outlineLevel="2" x14ac:dyDescent="0.25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28"/>
        <v>0</v>
      </c>
      <c r="G56" s="2"/>
      <c r="H56" s="6">
        <v>1500</v>
      </c>
      <c r="I56" s="2"/>
      <c r="J56" s="7">
        <f t="shared" si="29"/>
        <v>7.4999999999999997E-2</v>
      </c>
      <c r="K56" s="2"/>
      <c r="L56" s="6">
        <f t="shared" si="30"/>
        <v>-1500</v>
      </c>
      <c r="M56" s="2"/>
      <c r="N56" s="7">
        <f t="shared" si="31"/>
        <v>-1</v>
      </c>
      <c r="O56" s="11"/>
      <c r="P56" s="6">
        <v>138.08000000000001</v>
      </c>
      <c r="Q56" s="2"/>
      <c r="R56" s="7">
        <f t="shared" si="32"/>
        <v>6.9555160294722876E-3</v>
      </c>
      <c r="S56" s="2"/>
      <c r="T56" s="6">
        <v>1500</v>
      </c>
      <c r="U56" s="2"/>
      <c r="V56" s="7">
        <f t="shared" si="33"/>
        <v>7.4999999999999997E-2</v>
      </c>
      <c r="W56" s="2"/>
      <c r="X56" s="6">
        <f t="shared" si="34"/>
        <v>-1361.92</v>
      </c>
      <c r="Y56" s="2"/>
      <c r="Z56" s="7">
        <f t="shared" si="35"/>
        <v>-0.90794666666666668</v>
      </c>
    </row>
    <row r="57" spans="1:26" s="26" customFormat="1" outlineLevel="1" collapsed="1" x14ac:dyDescent="0.25">
      <c r="A57" s="25"/>
      <c r="B57" s="13" t="str">
        <f>CONCATENATE("     ","Royalty &amp; Commissions                             ")</f>
        <v xml:space="preserve">     Royalty &amp; Commissions                             </v>
      </c>
      <c r="C57" s="13"/>
      <c r="D57" s="1">
        <f>SUM(OSRRefD22_8x_0)</f>
        <v>3848.56</v>
      </c>
      <c r="E57" s="1"/>
      <c r="F57" s="5">
        <f t="shared" si="28"/>
        <v>0.2</v>
      </c>
      <c r="G57" s="1"/>
      <c r="H57" s="1">
        <f>SUM(OSRRefH22_8x_0)</f>
        <v>4000</v>
      </c>
      <c r="I57" s="1"/>
      <c r="J57" s="5">
        <f t="shared" si="29"/>
        <v>0.2</v>
      </c>
      <c r="K57" s="1"/>
      <c r="L57" s="1">
        <f t="shared" si="30"/>
        <v>-151.44000000000005</v>
      </c>
      <c r="M57" s="1"/>
      <c r="N57" s="5">
        <f t="shared" si="31"/>
        <v>-3.7860000000000012E-2</v>
      </c>
      <c r="O57" s="13"/>
      <c r="P57" s="1">
        <f>SUM(OSRRefP22_8x_0)</f>
        <v>4121.66</v>
      </c>
      <c r="Q57" s="1"/>
      <c r="R57" s="5">
        <f t="shared" si="32"/>
        <v>0.20762074303327596</v>
      </c>
      <c r="S57" s="1"/>
      <c r="T57" s="1">
        <f>SUM(OSRRefT22_8x_0)</f>
        <v>4000</v>
      </c>
      <c r="U57" s="1"/>
      <c r="V57" s="5">
        <f t="shared" si="33"/>
        <v>0.2</v>
      </c>
      <c r="W57" s="1"/>
      <c r="X57" s="1">
        <f t="shared" si="34"/>
        <v>121.65999999999985</v>
      </c>
      <c r="Y57" s="1"/>
      <c r="Z57" s="5">
        <f t="shared" si="35"/>
        <v>3.0414999999999963E-2</v>
      </c>
    </row>
    <row r="58" spans="1:26" s="24" customFormat="1" hidden="1" outlineLevel="2" x14ac:dyDescent="0.25">
      <c r="A58" s="27"/>
      <c r="B58" s="11" t="str">
        <f>CONCATENATE("          ", "6253", " - ", "ROYALTY DUE ATHLETICS-LRG")</f>
        <v xml:space="preserve">          6253 - ROYALTY DUE ATHLETICS-LRG</v>
      </c>
      <c r="C58" s="11"/>
      <c r="D58" s="6"/>
      <c r="E58" s="2"/>
      <c r="F58" s="7">
        <f t="shared" si="28"/>
        <v>0</v>
      </c>
      <c r="G58" s="2"/>
      <c r="H58" s="6">
        <v>4000</v>
      </c>
      <c r="I58" s="2"/>
      <c r="J58" s="7">
        <f t="shared" si="29"/>
        <v>0.2</v>
      </c>
      <c r="K58" s="2"/>
      <c r="L58" s="6">
        <f t="shared" si="30"/>
        <v>-4000</v>
      </c>
      <c r="M58" s="2"/>
      <c r="N58" s="7">
        <f t="shared" si="31"/>
        <v>-1</v>
      </c>
      <c r="O58" s="11"/>
      <c r="P58" s="6"/>
      <c r="Q58" s="2"/>
      <c r="R58" s="7">
        <f t="shared" si="32"/>
        <v>0</v>
      </c>
      <c r="S58" s="2"/>
      <c r="T58" s="6">
        <v>4000</v>
      </c>
      <c r="U58" s="2"/>
      <c r="V58" s="7">
        <f t="shared" si="33"/>
        <v>0.2</v>
      </c>
      <c r="W58" s="2"/>
      <c r="X58" s="6">
        <f t="shared" si="34"/>
        <v>-4000</v>
      </c>
      <c r="Y58" s="2"/>
      <c r="Z58" s="7">
        <f t="shared" si="35"/>
        <v>-1</v>
      </c>
    </row>
    <row r="59" spans="1:26" s="24" customFormat="1" hidden="1" outlineLevel="2" x14ac:dyDescent="0.25">
      <c r="A59" s="27"/>
      <c r="B59" s="11" t="str">
        <f>CONCATENATE("          ", "6254", " - ", "ROYALTY &amp; COMMISSIONS")</f>
        <v xml:space="preserve">          6254 - ROYALTY &amp; COMMISSIONS</v>
      </c>
      <c r="C59" s="11"/>
      <c r="D59" s="6">
        <v>3848.56</v>
      </c>
      <c r="E59" s="2"/>
      <c r="F59" s="7">
        <f t="shared" si="28"/>
        <v>0.2</v>
      </c>
      <c r="G59" s="2"/>
      <c r="H59" s="6"/>
      <c r="I59" s="2"/>
      <c r="J59" s="7">
        <f t="shared" si="29"/>
        <v>0</v>
      </c>
      <c r="K59" s="2"/>
      <c r="L59" s="6">
        <f t="shared" si="30"/>
        <v>3848.56</v>
      </c>
      <c r="M59" s="2"/>
      <c r="N59" s="7">
        <f t="shared" si="31"/>
        <v>0</v>
      </c>
      <c r="O59" s="11"/>
      <c r="P59" s="6">
        <v>4121.66</v>
      </c>
      <c r="Q59" s="2"/>
      <c r="R59" s="7">
        <f t="shared" si="32"/>
        <v>0.20762074303327596</v>
      </c>
      <c r="S59" s="2"/>
      <c r="T59" s="6"/>
      <c r="U59" s="2"/>
      <c r="V59" s="7">
        <f t="shared" si="33"/>
        <v>0</v>
      </c>
      <c r="W59" s="2"/>
      <c r="X59" s="6">
        <f t="shared" si="34"/>
        <v>4121.66</v>
      </c>
      <c r="Y59" s="2"/>
      <c r="Z59" s="7">
        <f t="shared" si="35"/>
        <v>0</v>
      </c>
    </row>
    <row r="60" spans="1:26" s="26" customFormat="1" outlineLevel="1" collapsed="1" x14ac:dyDescent="0.25">
      <c r="A60" s="25"/>
      <c r="B60" s="13" t="str">
        <f>CONCATENATE("     ","Services                                          ")</f>
        <v xml:space="preserve">     Services                                          </v>
      </c>
      <c r="C60" s="13"/>
      <c r="D60" s="1">
        <f>SUM(OSRRefD22_9x_0)</f>
        <v>0</v>
      </c>
      <c r="E60" s="1"/>
      <c r="F60" s="5">
        <f t="shared" ref="F60:F64" si="36">IF(D$12=0,0,D60/D$12)</f>
        <v>0</v>
      </c>
      <c r="G60" s="1"/>
      <c r="H60" s="1">
        <f>SUM(OSRRefH22_9x_0)</f>
        <v>25</v>
      </c>
      <c r="I60" s="1"/>
      <c r="J60" s="5">
        <f t="shared" ref="J60:J64" si="37">IF(H$12=0,0,H60/H$12)</f>
        <v>1.25E-3</v>
      </c>
      <c r="K60" s="1"/>
      <c r="L60" s="1">
        <f t="shared" ref="L60:L64" si="38">+D60-H60</f>
        <v>-25</v>
      </c>
      <c r="M60" s="1"/>
      <c r="N60" s="5">
        <f t="shared" ref="N60:N64" si="39">IF(H60=0,0,L60/H60)</f>
        <v>-1</v>
      </c>
      <c r="O60" s="13"/>
      <c r="P60" s="1">
        <f>SUM(OSRRefP22_9x_0)</f>
        <v>0</v>
      </c>
      <c r="Q60" s="1"/>
      <c r="R60" s="5">
        <f t="shared" ref="R60:R64" si="40">IF(P$12=0,0,P60/P$12)</f>
        <v>0</v>
      </c>
      <c r="S60" s="1"/>
      <c r="T60" s="1">
        <f>SUM(OSRRefT22_9x_0)</f>
        <v>25</v>
      </c>
      <c r="U60" s="1"/>
      <c r="V60" s="5">
        <f t="shared" ref="V60:V64" si="41">IF(T$12=0,0,T60/T$12)</f>
        <v>1.25E-3</v>
      </c>
      <c r="W60" s="1"/>
      <c r="X60" s="1">
        <f t="shared" ref="X60:X64" si="42">+P60-T60</f>
        <v>-25</v>
      </c>
      <c r="Y60" s="1"/>
      <c r="Z60" s="5">
        <f t="shared" ref="Z60:Z64" si="43">IF(T60=0,0,X60/T60)</f>
        <v>-1</v>
      </c>
    </row>
    <row r="61" spans="1:26" s="24" customFormat="1" hidden="1" outlineLevel="2" x14ac:dyDescent="0.25">
      <c r="A61" s="27"/>
      <c r="B61" s="11" t="str">
        <f>CONCATENATE("          ", "6286", " - ", "LAUNDRY EXPENSE")</f>
        <v xml:space="preserve">          6286 - LAUNDRY EXPENSE</v>
      </c>
      <c r="C61" s="11"/>
      <c r="D61" s="6"/>
      <c r="E61" s="2"/>
      <c r="F61" s="7">
        <f t="shared" si="36"/>
        <v>0</v>
      </c>
      <c r="G61" s="2"/>
      <c r="H61" s="6">
        <v>25</v>
      </c>
      <c r="I61" s="2"/>
      <c r="J61" s="7">
        <f t="shared" si="37"/>
        <v>1.25E-3</v>
      </c>
      <c r="K61" s="2"/>
      <c r="L61" s="6">
        <f t="shared" si="38"/>
        <v>-25</v>
      </c>
      <c r="M61" s="2"/>
      <c r="N61" s="7">
        <f t="shared" si="39"/>
        <v>-1</v>
      </c>
      <c r="O61" s="11"/>
      <c r="P61" s="6"/>
      <c r="Q61" s="2"/>
      <c r="R61" s="7">
        <f t="shared" si="40"/>
        <v>0</v>
      </c>
      <c r="S61" s="2"/>
      <c r="T61" s="6">
        <v>25</v>
      </c>
      <c r="U61" s="2"/>
      <c r="V61" s="7">
        <f t="shared" si="41"/>
        <v>1.25E-3</v>
      </c>
      <c r="W61" s="2"/>
      <c r="X61" s="6">
        <f t="shared" si="42"/>
        <v>-25</v>
      </c>
      <c r="Y61" s="2"/>
      <c r="Z61" s="7">
        <f t="shared" si="43"/>
        <v>-1</v>
      </c>
    </row>
    <row r="62" spans="1:26" s="26" customFormat="1" outlineLevel="1" collapsed="1" x14ac:dyDescent="0.25">
      <c r="A62" s="25"/>
      <c r="B62" s="13" t="str">
        <f>CONCATENATE("     ","Supplies                                          ")</f>
        <v xml:space="preserve">     Supplies                                          </v>
      </c>
      <c r="C62" s="13"/>
      <c r="D62" s="1">
        <f>SUM(OSRRefD22_10x_0)</f>
        <v>321.92</v>
      </c>
      <c r="E62" s="1"/>
      <c r="F62" s="5">
        <f t="shared" si="36"/>
        <v>1.6729374103560814E-2</v>
      </c>
      <c r="G62" s="1"/>
      <c r="H62" s="1">
        <f>SUM(OSRRefH22_10x_0)</f>
        <v>500</v>
      </c>
      <c r="I62" s="1"/>
      <c r="J62" s="5">
        <f t="shared" si="37"/>
        <v>2.5000000000000001E-2</v>
      </c>
      <c r="K62" s="1"/>
      <c r="L62" s="1">
        <f t="shared" si="38"/>
        <v>-178.07999999999998</v>
      </c>
      <c r="M62" s="1"/>
      <c r="N62" s="5">
        <f t="shared" si="39"/>
        <v>-0.35615999999999998</v>
      </c>
      <c r="O62" s="13"/>
      <c r="P62" s="1">
        <f>SUM(OSRRefP22_10x_0)</f>
        <v>321.92</v>
      </c>
      <c r="Q62" s="1"/>
      <c r="R62" s="5">
        <f t="shared" si="40"/>
        <v>1.6216104578561114E-2</v>
      </c>
      <c r="S62" s="1"/>
      <c r="T62" s="1">
        <f>SUM(OSRRefT22_10x_0)</f>
        <v>500</v>
      </c>
      <c r="U62" s="1"/>
      <c r="V62" s="5">
        <f t="shared" si="41"/>
        <v>2.5000000000000001E-2</v>
      </c>
      <c r="W62" s="1"/>
      <c r="X62" s="1">
        <f t="shared" si="42"/>
        <v>-178.07999999999998</v>
      </c>
      <c r="Y62" s="1"/>
      <c r="Z62" s="5">
        <f t="shared" si="43"/>
        <v>-0.35615999999999998</v>
      </c>
    </row>
    <row r="63" spans="1:26" s="24" customFormat="1" hidden="1" outlineLevel="2" x14ac:dyDescent="0.25">
      <c r="A63" s="27"/>
      <c r="B63" s="11" t="str">
        <f>CONCATENATE("          ", "6239", " - ", "KITCHEN SUPPLIES")</f>
        <v xml:space="preserve">          6239 - KITCHEN SUPPLIES</v>
      </c>
      <c r="C63" s="11"/>
      <c r="D63" s="6">
        <v>321.92</v>
      </c>
      <c r="E63" s="2"/>
      <c r="F63" s="7">
        <f t="shared" si="36"/>
        <v>1.6729374103560814E-2</v>
      </c>
      <c r="G63" s="2"/>
      <c r="H63" s="6"/>
      <c r="I63" s="2"/>
      <c r="J63" s="7">
        <f t="shared" si="37"/>
        <v>0</v>
      </c>
      <c r="K63" s="2"/>
      <c r="L63" s="6">
        <f t="shared" si="38"/>
        <v>321.92</v>
      </c>
      <c r="M63" s="2"/>
      <c r="N63" s="7">
        <f t="shared" si="39"/>
        <v>0</v>
      </c>
      <c r="O63" s="11"/>
      <c r="P63" s="6">
        <v>321.92</v>
      </c>
      <c r="Q63" s="2"/>
      <c r="R63" s="7">
        <f t="shared" si="40"/>
        <v>1.6216104578561114E-2</v>
      </c>
      <c r="S63" s="2"/>
      <c r="T63" s="6"/>
      <c r="U63" s="2"/>
      <c r="V63" s="7">
        <f t="shared" si="41"/>
        <v>0</v>
      </c>
      <c r="W63" s="2"/>
      <c r="X63" s="6">
        <f t="shared" si="42"/>
        <v>321.92</v>
      </c>
      <c r="Y63" s="2"/>
      <c r="Z63" s="7">
        <f t="shared" si="43"/>
        <v>0</v>
      </c>
    </row>
    <row r="64" spans="1:26" s="24" customFormat="1" hidden="1" outlineLevel="2" x14ac:dyDescent="0.25">
      <c r="A64" s="27"/>
      <c r="B64" s="11" t="str">
        <f>CONCATENATE("          ", "6243", " - ", "PAPER SUPPLIES")</f>
        <v xml:space="preserve">          6243 - PAPER SUPPLIES</v>
      </c>
      <c r="C64" s="11"/>
      <c r="D64" s="6"/>
      <c r="E64" s="2"/>
      <c r="F64" s="7">
        <f t="shared" si="36"/>
        <v>0</v>
      </c>
      <c r="G64" s="2"/>
      <c r="H64" s="6">
        <v>500</v>
      </c>
      <c r="I64" s="2"/>
      <c r="J64" s="7">
        <f t="shared" si="37"/>
        <v>2.5000000000000001E-2</v>
      </c>
      <c r="K64" s="2"/>
      <c r="L64" s="6">
        <f t="shared" si="38"/>
        <v>-500</v>
      </c>
      <c r="M64" s="2"/>
      <c r="N64" s="7">
        <f t="shared" si="39"/>
        <v>-1</v>
      </c>
      <c r="O64" s="11"/>
      <c r="P64" s="6"/>
      <c r="Q64" s="2"/>
      <c r="R64" s="7">
        <f t="shared" si="40"/>
        <v>0</v>
      </c>
      <c r="S64" s="2"/>
      <c r="T64" s="6">
        <v>500</v>
      </c>
      <c r="U64" s="2"/>
      <c r="V64" s="7">
        <f t="shared" si="41"/>
        <v>2.5000000000000001E-2</v>
      </c>
      <c r="W64" s="2"/>
      <c r="X64" s="6">
        <f t="shared" si="42"/>
        <v>-500</v>
      </c>
      <c r="Y64" s="2"/>
      <c r="Z64" s="7">
        <f t="shared" si="43"/>
        <v>-1</v>
      </c>
    </row>
    <row r="65" spans="1:26" s="26" customFormat="1" outlineLevel="1" collapsed="1" x14ac:dyDescent="0.25">
      <c r="A65" s="25"/>
      <c r="B65" s="13" t="str">
        <f>CONCATENATE("     ","Telephone/Data Lines                              ")</f>
        <v xml:space="preserve">     Telephone/Data Lines                              </v>
      </c>
      <c r="C65" s="13"/>
      <c r="D65" s="1">
        <f>SUM(OSRRefD22_11x_0)</f>
        <v>214.01</v>
      </c>
      <c r="E65" s="1"/>
      <c r="F65" s="5">
        <f t="shared" ref="F65:F67" si="44">IF(D$12=0,0,D65/D$12)</f>
        <v>1.1121562350593469E-2</v>
      </c>
      <c r="G65" s="1"/>
      <c r="H65" s="1">
        <f>SUM(OSRRefH22_11x_0)</f>
        <v>298</v>
      </c>
      <c r="I65" s="1"/>
      <c r="J65" s="5">
        <f t="shared" ref="J65:J67" si="45">IF(H$12=0,0,H65/H$12)</f>
        <v>1.49E-2</v>
      </c>
      <c r="K65" s="1"/>
      <c r="L65" s="1">
        <f t="shared" ref="L65:L67" si="46">+D65-H65</f>
        <v>-83.990000000000009</v>
      </c>
      <c r="M65" s="1"/>
      <c r="N65" s="5">
        <f t="shared" ref="N65:N67" si="47">IF(H65=0,0,L65/H65)</f>
        <v>-0.28184563758389264</v>
      </c>
      <c r="O65" s="13"/>
      <c r="P65" s="1">
        <f>SUM(OSRRefP22_11x_0)</f>
        <v>130.02000000000001</v>
      </c>
      <c r="Q65" s="1"/>
      <c r="R65" s="5">
        <f t="shared" ref="R65:R67" si="48">IF(P$12=0,0,P65/P$12)</f>
        <v>6.5495089379489198E-3</v>
      </c>
      <c r="S65" s="1"/>
      <c r="T65" s="1">
        <f>SUM(OSRRefT22_11x_0)</f>
        <v>596</v>
      </c>
      <c r="U65" s="1"/>
      <c r="V65" s="5">
        <f t="shared" ref="V65:V67" si="49">IF(T$12=0,0,T65/T$12)</f>
        <v>2.98E-2</v>
      </c>
      <c r="W65" s="1"/>
      <c r="X65" s="1">
        <f t="shared" ref="X65:X67" si="50">+P65-T65</f>
        <v>-465.98</v>
      </c>
      <c r="Y65" s="1"/>
      <c r="Z65" s="5">
        <f t="shared" ref="Z65:Z67" si="51">IF(T65=0,0,X65/T65)</f>
        <v>-0.78184563758389269</v>
      </c>
    </row>
    <row r="66" spans="1:26" s="24" customFormat="1" hidden="1" outlineLevel="2" x14ac:dyDescent="0.25">
      <c r="A66" s="27"/>
      <c r="B66" s="11" t="str">
        <f>CONCATENATE("          ", "6303", " - ", "DATA PHONE LINES")</f>
        <v xml:space="preserve">          6303 - DATA PHONE LINES</v>
      </c>
      <c r="C66" s="11"/>
      <c r="D66" s="6"/>
      <c r="E66" s="2"/>
      <c r="F66" s="7">
        <f t="shared" si="44"/>
        <v>0</v>
      </c>
      <c r="G66" s="2"/>
      <c r="H66" s="6">
        <v>298</v>
      </c>
      <c r="I66" s="2"/>
      <c r="J66" s="7">
        <f t="shared" si="45"/>
        <v>1.49E-2</v>
      </c>
      <c r="K66" s="2"/>
      <c r="L66" s="6">
        <f t="shared" si="46"/>
        <v>-298</v>
      </c>
      <c r="M66" s="2"/>
      <c r="N66" s="7">
        <f t="shared" si="47"/>
        <v>-1</v>
      </c>
      <c r="O66" s="11"/>
      <c r="P66" s="6"/>
      <c r="Q66" s="2"/>
      <c r="R66" s="7">
        <f t="shared" si="48"/>
        <v>0</v>
      </c>
      <c r="S66" s="2"/>
      <c r="T66" s="6">
        <v>596</v>
      </c>
      <c r="U66" s="2"/>
      <c r="V66" s="7">
        <f t="shared" si="49"/>
        <v>2.98E-2</v>
      </c>
      <c r="W66" s="2"/>
      <c r="X66" s="6">
        <f t="shared" si="50"/>
        <v>-596</v>
      </c>
      <c r="Y66" s="2"/>
      <c r="Z66" s="7">
        <f t="shared" si="51"/>
        <v>-1</v>
      </c>
    </row>
    <row r="67" spans="1:26" s="24" customFormat="1" hidden="1" outlineLevel="2" x14ac:dyDescent="0.25">
      <c r="A67" s="27"/>
      <c r="B67" s="11" t="str">
        <f>CONCATENATE("          ", "6309", " - ", "TELEPHONE")</f>
        <v xml:space="preserve">          6309 - TELEPHONE</v>
      </c>
      <c r="C67" s="11"/>
      <c r="D67" s="6">
        <v>214.01</v>
      </c>
      <c r="E67" s="2"/>
      <c r="F67" s="7">
        <f t="shared" si="44"/>
        <v>1.1121562350593469E-2</v>
      </c>
      <c r="G67" s="2"/>
      <c r="H67" s="6"/>
      <c r="I67" s="2"/>
      <c r="J67" s="7">
        <f t="shared" si="45"/>
        <v>0</v>
      </c>
      <c r="K67" s="2"/>
      <c r="L67" s="6">
        <f t="shared" si="46"/>
        <v>214.01</v>
      </c>
      <c r="M67" s="2"/>
      <c r="N67" s="7">
        <f t="shared" si="47"/>
        <v>0</v>
      </c>
      <c r="O67" s="11"/>
      <c r="P67" s="6">
        <v>130.02000000000001</v>
      </c>
      <c r="Q67" s="2"/>
      <c r="R67" s="7">
        <f t="shared" si="48"/>
        <v>6.5495089379489198E-3</v>
      </c>
      <c r="S67" s="2"/>
      <c r="T67" s="6"/>
      <c r="U67" s="2"/>
      <c r="V67" s="7">
        <f t="shared" si="49"/>
        <v>0</v>
      </c>
      <c r="W67" s="2"/>
      <c r="X67" s="6">
        <f t="shared" si="50"/>
        <v>130.02000000000001</v>
      </c>
      <c r="Y67" s="2"/>
      <c r="Z67" s="7">
        <f t="shared" si="51"/>
        <v>0</v>
      </c>
    </row>
    <row r="68" spans="1:26" s="63" customFormat="1" x14ac:dyDescent="0.25">
      <c r="A68" s="36"/>
      <c r="B68" s="36"/>
      <c r="C68" s="36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6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8" t="s">
        <v>0</v>
      </c>
      <c r="C69" s="10"/>
      <c r="D69" s="4">
        <f>SUM(OSRRefD25x_0)</f>
        <v>0</v>
      </c>
      <c r="E69" s="4"/>
      <c r="F69" s="12">
        <f t="shared" ref="F69:F70" si="52">IF(D$12=0,0,D69/D$12)</f>
        <v>0</v>
      </c>
      <c r="G69" s="4"/>
      <c r="H69" s="4">
        <f>SUM(OSRRefH25x_0)</f>
        <v>0</v>
      </c>
      <c r="I69" s="4"/>
      <c r="J69" s="12">
        <f t="shared" ref="J69:J70" si="53">IF(H$12=0,0,H69/H$12)</f>
        <v>0</v>
      </c>
      <c r="K69" s="4"/>
      <c r="L69" s="4">
        <f t="shared" ref="L69:L70" si="54">+D69-H69</f>
        <v>0</v>
      </c>
      <c r="M69" s="4"/>
      <c r="N69" s="12">
        <f t="shared" ref="N69:N70" si="55">IF(H69=0,0,L69/H69)</f>
        <v>0</v>
      </c>
      <c r="O69" s="10"/>
      <c r="P69" s="4">
        <f>SUM(OSRRefP25x_0)</f>
        <v>546.20000000000005</v>
      </c>
      <c r="Q69" s="4"/>
      <c r="R69" s="12">
        <f t="shared" ref="R69:R70" si="56">IF(P$12=0,0,P69/P$12)</f>
        <v>2.751378081762575E-2</v>
      </c>
      <c r="S69" s="4"/>
      <c r="T69" s="4">
        <f>SUM(OSRRefT25x_0)</f>
        <v>0</v>
      </c>
      <c r="U69" s="4"/>
      <c r="V69" s="12">
        <f t="shared" ref="V69:V70" si="57">IF(T$12=0,0,T69/T$12)</f>
        <v>0</v>
      </c>
      <c r="W69" s="4"/>
      <c r="X69" s="4">
        <f t="shared" ref="X69:X70" si="58">+P69-T69</f>
        <v>546.20000000000005</v>
      </c>
      <c r="Y69" s="4"/>
      <c r="Z69" s="12">
        <f t="shared" ref="Z69:Z70" si="59">IF(T69=0,0,X69/T69)</f>
        <v>0</v>
      </c>
    </row>
    <row r="70" spans="1:26" s="24" customFormat="1" hidden="1" outlineLevel="1" x14ac:dyDescent="0.25">
      <c r="A70" s="46"/>
      <c r="B70" s="11" t="str">
        <f>CONCATENATE("          ", "9150", " - ", "MISC. INCOME")</f>
        <v xml:space="preserve">          9150 - MISC. INCOME</v>
      </c>
      <c r="C70" s="11"/>
      <c r="D70" s="2">
        <f>0</f>
        <v>0</v>
      </c>
      <c r="E70" s="2"/>
      <c r="F70" s="21">
        <f t="shared" si="52"/>
        <v>0</v>
      </c>
      <c r="G70" s="2"/>
      <c r="H70" s="2"/>
      <c r="I70" s="2"/>
      <c r="J70" s="21">
        <f t="shared" si="53"/>
        <v>0</v>
      </c>
      <c r="K70" s="2"/>
      <c r="L70" s="2">
        <f t="shared" si="54"/>
        <v>0</v>
      </c>
      <c r="M70" s="2"/>
      <c r="N70" s="21">
        <f t="shared" si="55"/>
        <v>0</v>
      </c>
      <c r="O70" s="11"/>
      <c r="P70" s="2">
        <f>--546.2</f>
        <v>546.20000000000005</v>
      </c>
      <c r="Q70" s="2"/>
      <c r="R70" s="21">
        <f t="shared" si="56"/>
        <v>2.751378081762575E-2</v>
      </c>
      <c r="S70" s="2"/>
      <c r="T70" s="2"/>
      <c r="U70" s="2"/>
      <c r="V70" s="21">
        <f t="shared" si="57"/>
        <v>0</v>
      </c>
      <c r="W70" s="2"/>
      <c r="X70" s="2">
        <f t="shared" si="58"/>
        <v>546.20000000000005</v>
      </c>
      <c r="Y70" s="2"/>
      <c r="Z70" s="21">
        <f t="shared" si="59"/>
        <v>0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9" t="s">
        <v>3</v>
      </c>
      <c r="C72" s="29"/>
      <c r="D72" s="22">
        <f>+D22-D24+D69</f>
        <v>5240.1899999999987</v>
      </c>
      <c r="E72" s="14"/>
      <c r="F72" s="20">
        <f>IF(D$12=0,0,D72/D$12)</f>
        <v>0.27231951691022088</v>
      </c>
      <c r="G72" s="14"/>
      <c r="H72" s="22">
        <f>+H22-H24+H69</f>
        <v>6034.4104000000007</v>
      </c>
      <c r="I72" s="14"/>
      <c r="J72" s="20">
        <f>IF(H$12=0,0,H72/H$12)</f>
        <v>0.30172052000000005</v>
      </c>
      <c r="K72" s="15"/>
      <c r="L72" s="22">
        <f>+D72-H72</f>
        <v>-794.22040000000197</v>
      </c>
      <c r="M72" s="15"/>
      <c r="N72" s="20">
        <f>IF(H72=0,0,L72/H72)</f>
        <v>-0.13161524446530881</v>
      </c>
      <c r="O72" s="28"/>
      <c r="P72" s="22">
        <f>+P22-P24+P69</f>
        <v>3669.7199999999966</v>
      </c>
      <c r="Q72" s="14"/>
      <c r="R72" s="20">
        <f>IF(P$12=0,0,P72/P$12)</f>
        <v>0.18485512951676578</v>
      </c>
      <c r="S72" s="14"/>
      <c r="T72" s="22">
        <f>+T22-T24+T69</f>
        <v>222.32639999999992</v>
      </c>
      <c r="U72" s="14"/>
      <c r="V72" s="20">
        <f>IF(T$12=0,0,T72/T$12)</f>
        <v>1.1116319999999996E-2</v>
      </c>
      <c r="W72" s="15"/>
      <c r="X72" s="22">
        <f>+P72-T72</f>
        <v>3447.3935999999967</v>
      </c>
      <c r="Y72" s="15"/>
      <c r="Z72" s="20">
        <f>IF(T72=0,0,X72/T72)</f>
        <v>15.506001986268828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2"/>
      <c r="B74" s="10" t="s">
        <v>14</v>
      </c>
      <c r="C74" s="10"/>
      <c r="D74" s="4">
        <v>2348.5300000000002</v>
      </c>
      <c r="E74" s="4"/>
      <c r="F74" s="12">
        <f>IF(D$12=0,0,D74/D$12)</f>
        <v>0.12204720726713369</v>
      </c>
      <c r="G74" s="4"/>
      <c r="H74" s="4">
        <v>3248</v>
      </c>
      <c r="I74" s="4"/>
      <c r="J74" s="12">
        <f>IF(H$12=0,0,H74/H$12)</f>
        <v>0.16239999999999999</v>
      </c>
      <c r="K74" s="4"/>
      <c r="L74" s="4">
        <f>+D74-H74</f>
        <v>-899.4699999999998</v>
      </c>
      <c r="M74" s="4"/>
      <c r="N74" s="12">
        <f>IF(H74=0,0,L74/H74)</f>
        <v>-0.27693041871921176</v>
      </c>
      <c r="O74" s="10"/>
      <c r="P74" s="4">
        <v>2475.17</v>
      </c>
      <c r="Q74" s="4"/>
      <c r="R74" s="12">
        <f>IF(P$12=0,0,P74/P$12)</f>
        <v>0.12468195691388269</v>
      </c>
      <c r="S74" s="4"/>
      <c r="T74" s="4">
        <v>3248</v>
      </c>
      <c r="U74" s="4"/>
      <c r="V74" s="12">
        <f>IF(T$12=0,0,T74/T$12)</f>
        <v>0.16239999999999999</v>
      </c>
      <c r="W74" s="4"/>
      <c r="X74" s="4">
        <f>+P74-T74</f>
        <v>-772.82999999999993</v>
      </c>
      <c r="Y74" s="4"/>
      <c r="Z74" s="12">
        <f>IF(T74=0,0,X74/T74)</f>
        <v>-0.23794027093596057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9" t="s">
        <v>4</v>
      </c>
      <c r="C76" s="29"/>
      <c r="D76" s="31">
        <f>+D72-D74</f>
        <v>2891.6599999999985</v>
      </c>
      <c r="E76" s="14"/>
      <c r="F76" s="32">
        <f>IF(D$12=0,0,D76/D$12)</f>
        <v>0.15027230964308722</v>
      </c>
      <c r="G76" s="14"/>
      <c r="H76" s="31">
        <f>+H72-H74</f>
        <v>2786.4104000000007</v>
      </c>
      <c r="I76" s="14"/>
      <c r="J76" s="32">
        <f>IF(H$12=0,0,H76/H$12)</f>
        <v>0.13932052000000003</v>
      </c>
      <c r="K76" s="15"/>
      <c r="L76" s="31">
        <f>D76-H76</f>
        <v>105.24959999999783</v>
      </c>
      <c r="M76" s="15"/>
      <c r="N76" s="32">
        <f>IF(H76=0,0,L76/H76)</f>
        <v>3.7772468836607058E-2</v>
      </c>
      <c r="O76" s="28"/>
      <c r="P76" s="31">
        <f>+P72-P74</f>
        <v>1194.5499999999965</v>
      </c>
      <c r="Q76" s="14"/>
      <c r="R76" s="32">
        <f>IF(P$12=0,0,P76/P$12)</f>
        <v>6.0173172602883081E-2</v>
      </c>
      <c r="S76" s="14"/>
      <c r="T76" s="31">
        <f>+T72-T74</f>
        <v>-3025.6736000000001</v>
      </c>
      <c r="U76" s="14"/>
      <c r="V76" s="32">
        <f>IF(T$12=0,0,T76/T$12)</f>
        <v>-0.15128368</v>
      </c>
      <c r="W76" s="15"/>
      <c r="X76" s="31">
        <f>P76-T76</f>
        <v>4220.2235999999966</v>
      </c>
      <c r="Y76" s="15"/>
      <c r="Z76" s="32">
        <f>IF(T76=0,0,X76/T76)</f>
        <v>-1.3948046477980958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9" t="s">
        <v>5</v>
      </c>
      <c r="C79" s="29"/>
      <c r="D79" s="33">
        <f>SUM(D76:D78)</f>
        <v>2891.6599999999985</v>
      </c>
      <c r="E79" s="14"/>
      <c r="F79" s="35">
        <f>IF(D$12=0,0,D79/D$12)</f>
        <v>0.15027230964308722</v>
      </c>
      <c r="G79" s="14"/>
      <c r="H79" s="33">
        <f>SUM(H76:H78)</f>
        <v>2786.4104000000007</v>
      </c>
      <c r="I79" s="14"/>
      <c r="J79" s="35">
        <f>IF(H$12=0,0,H79/H$12)</f>
        <v>0.13932052000000003</v>
      </c>
      <c r="K79" s="15"/>
      <c r="L79" s="33">
        <f>+D79-H79</f>
        <v>105.24959999999783</v>
      </c>
      <c r="M79" s="15"/>
      <c r="N79" s="35">
        <f>IF(H79=0,0,L79/H79)</f>
        <v>3.7772468836607058E-2</v>
      </c>
      <c r="O79" s="28"/>
      <c r="P79" s="33">
        <f>SUM(P76:P78)</f>
        <v>1194.5499999999965</v>
      </c>
      <c r="Q79" s="14"/>
      <c r="R79" s="35">
        <f>IF(P$12=0,0,P79/P$12)</f>
        <v>6.0173172602883081E-2</v>
      </c>
      <c r="S79" s="14"/>
      <c r="T79" s="33">
        <f>SUM(T76:T78)</f>
        <v>-3025.6736000000001</v>
      </c>
      <c r="U79" s="14"/>
      <c r="V79" s="35">
        <f>IF(T$12=0,0,T79/T$12)</f>
        <v>-0.15128368</v>
      </c>
      <c r="W79" s="15"/>
      <c r="X79" s="33">
        <f>+P79-T79</f>
        <v>4220.2235999999966</v>
      </c>
      <c r="Y79" s="15"/>
      <c r="Z79" s="35">
        <f>IF(T79=0,0,X79/T79)</f>
        <v>-1.3948046477980958</v>
      </c>
    </row>
    <row r="80" spans="1:26" ht="15.75" thickTop="1" x14ac:dyDescent="0.25">
      <c r="A80" s="9"/>
      <c r="C80" s="9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25">
      <c r="A81" s="9"/>
      <c r="B81" s="61">
        <v>43732.706479664354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25">
      <c r="A82" s="9"/>
      <c r="B82" s="62" t="s">
        <v>314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25">
      <c r="A83" s="9"/>
      <c r="B83" s="58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25"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e">
        <f ca="1">CONCATENATE("Period ",RIGHT(_xll.OneStop.ReportPlayer.OSRFunctions.OSRGet("Period","PeriodId"),2),", ",_xll.OneStop.ReportPlayer.OSRFunctions.OSRGet("Period","Year"))</f>
        <v>#NAME?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300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6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1"/>
      <c r="G13" s="2"/>
      <c r="H13" s="2" t="e">
        <f ca="1">_xll.OneStop.ReportPlayer.OSRFunctions.OSRGet("GL_F_Trans","Value1")</f>
        <v>#NAME?</v>
      </c>
      <c r="I13" s="2"/>
      <c r="J13" s="21"/>
      <c r="K13" s="2"/>
      <c r="L13" s="2" t="e">
        <f t="shared" ca="1" si="0"/>
        <v>#NAME?</v>
      </c>
      <c r="M13" s="2"/>
      <c r="N13" s="21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1"/>
      <c r="S13" s="2"/>
      <c r="T13" s="2" t="e">
        <f ca="1">_xll.OneStop.ReportPlayer.OSRFunctions.OSRGet("GL_F_Trans","Value1")</f>
        <v>#NAME?</v>
      </c>
      <c r="U13" s="2"/>
      <c r="V13" s="21"/>
      <c r="W13" s="2"/>
      <c r="X13" s="2" t="e">
        <f t="shared" ca="1" si="2"/>
        <v>#NAME?</v>
      </c>
      <c r="Y13" s="2"/>
      <c r="Z13" s="21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8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6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1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1" t="e">
        <f t="shared" ca="1" si="5"/>
        <v>#NAME?</v>
      </c>
      <c r="K16" s="2"/>
      <c r="L16" s="2" t="e">
        <f t="shared" ca="1" si="6"/>
        <v>#NAME?</v>
      </c>
      <c r="M16" s="2"/>
      <c r="N16" s="21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1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1" t="e">
        <f t="shared" ca="1" si="9"/>
        <v>#NAME?</v>
      </c>
      <c r="W16" s="2"/>
      <c r="X16" s="2" t="e">
        <f t="shared" ca="1" si="10"/>
        <v>#NAME?</v>
      </c>
      <c r="Y16" s="2"/>
      <c r="Z16" s="21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9" t="s">
        <v>6</v>
      </c>
      <c r="C18" s="29"/>
      <c r="D18" s="22" t="e">
        <f ca="1">D12-D15</f>
        <v>#NAME?</v>
      </c>
      <c r="E18" s="14"/>
      <c r="F18" s="20" t="e">
        <f ca="1">IF(D$12=0,0,D18/D$12)</f>
        <v>#NAME?</v>
      </c>
      <c r="G18" s="14"/>
      <c r="H18" s="22" t="e">
        <f ca="1">H12-H15</f>
        <v>#NAME?</v>
      </c>
      <c r="I18" s="14"/>
      <c r="J18" s="20" t="e">
        <f ca="1">IF(H$12=0,0,H18/H$12)</f>
        <v>#NAME?</v>
      </c>
      <c r="K18" s="15"/>
      <c r="L18" s="22" t="e">
        <f ca="1">+D18-H18</f>
        <v>#NAME?</v>
      </c>
      <c r="M18" s="15"/>
      <c r="N18" s="20" t="e">
        <f ca="1">IF(H18=0,0,L18/H18)</f>
        <v>#NAME?</v>
      </c>
      <c r="O18" s="28"/>
      <c r="P18" s="22" t="e">
        <f ca="1">P12-P15</f>
        <v>#NAME?</v>
      </c>
      <c r="Q18" s="14"/>
      <c r="R18" s="20" t="e">
        <f ca="1">IF(P$12=0,0,P18/P$12)</f>
        <v>#NAME?</v>
      </c>
      <c r="S18" s="14"/>
      <c r="T18" s="22" t="e">
        <f ca="1">T12-T15</f>
        <v>#NAME?</v>
      </c>
      <c r="U18" s="14"/>
      <c r="V18" s="20" t="e">
        <f ca="1">IF(T$12=0,0,T18/T$12)</f>
        <v>#NAME?</v>
      </c>
      <c r="W18" s="15"/>
      <c r="X18" s="22" t="e">
        <f ca="1">+P18-T18</f>
        <v>#NAME?</v>
      </c>
      <c r="Y18" s="15"/>
      <c r="Z18" s="20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9</v>
      </c>
      <c r="C20" s="10"/>
      <c r="D20" s="19" t="e">
        <f ca="1">SUM(_xll.OneStop.ReportPlayer.OSRFunctions.OSRRef(D22))</f>
        <v>#NAME?</v>
      </c>
      <c r="E20" s="19"/>
      <c r="F20" s="34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4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4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4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4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4" t="e">
        <f t="shared" ref="Z20:Z22" ca="1" si="19">IF(T20=0,0,X20/T20)</f>
        <v>#NAME?</v>
      </c>
    </row>
    <row r="21" spans="1:26" s="26" customFormat="1" outlineLevel="1" collapsed="1" x14ac:dyDescent="0.25">
      <c r="A21" s="25"/>
      <c r="B21" s="13" t="e">
        <f ca="1">CONCATENATE("     ",_xll.OneStop.ReportPlayer.OSRFunctions.OSRGet("d_Account","AccountCategory"))</f>
        <v>#NAME?</v>
      </c>
      <c r="C21" s="13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3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3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8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6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1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1" t="e">
        <f t="shared" ca="1" si="21"/>
        <v>#NAME?</v>
      </c>
      <c r="K25" s="2"/>
      <c r="L25" s="2" t="e">
        <f t="shared" ca="1" si="22"/>
        <v>#NAME?</v>
      </c>
      <c r="M25" s="2"/>
      <c r="N25" s="21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1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1" t="e">
        <f t="shared" ca="1" si="25"/>
        <v>#NAME?</v>
      </c>
      <c r="W25" s="2"/>
      <c r="X25" s="2" t="e">
        <f t="shared" ca="1" si="26"/>
        <v>#NAME?</v>
      </c>
      <c r="Y25" s="2"/>
      <c r="Z25" s="21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9" t="s">
        <v>3</v>
      </c>
      <c r="C27" s="29"/>
      <c r="D27" s="22" t="e">
        <f ca="1">+D18-D20+D24</f>
        <v>#NAME?</v>
      </c>
      <c r="E27" s="14"/>
      <c r="F27" s="20" t="e">
        <f ca="1">IF(D$12=0,0,D27/D$12)</f>
        <v>#NAME?</v>
      </c>
      <c r="G27" s="14"/>
      <c r="H27" s="22" t="e">
        <f ca="1">+H18-H20+H24</f>
        <v>#NAME?</v>
      </c>
      <c r="I27" s="14"/>
      <c r="J27" s="20" t="e">
        <f ca="1">IF(H$12=0,0,H27/H$12)</f>
        <v>#NAME?</v>
      </c>
      <c r="K27" s="15"/>
      <c r="L27" s="22" t="e">
        <f ca="1">+D27-H27</f>
        <v>#NAME?</v>
      </c>
      <c r="M27" s="15"/>
      <c r="N27" s="20" t="e">
        <f ca="1">IF(H27=0,0,L27/H27)</f>
        <v>#NAME?</v>
      </c>
      <c r="O27" s="28"/>
      <c r="P27" s="22" t="e">
        <f ca="1">+P18-P20+P24</f>
        <v>#NAME?</v>
      </c>
      <c r="Q27" s="14"/>
      <c r="R27" s="20" t="e">
        <f ca="1">IF(P$12=0,0,P27/P$12)</f>
        <v>#NAME?</v>
      </c>
      <c r="S27" s="14"/>
      <c r="T27" s="22" t="e">
        <f ca="1">+T18-T20+T24</f>
        <v>#NAME?</v>
      </c>
      <c r="U27" s="14"/>
      <c r="V27" s="20" t="e">
        <f ca="1">IF(T$12=0,0,T27/T$12)</f>
        <v>#NAME?</v>
      </c>
      <c r="W27" s="15"/>
      <c r="X27" s="22" t="e">
        <f ca="1">+P27-T27</f>
        <v>#NAME?</v>
      </c>
      <c r="Y27" s="15"/>
      <c r="Z27" s="20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9" t="s">
        <v>4</v>
      </c>
      <c r="C31" s="29"/>
      <c r="D31" s="31" t="e">
        <f ca="1">+D27-D29</f>
        <v>#NAME?</v>
      </c>
      <c r="E31" s="14"/>
      <c r="F31" s="32" t="e">
        <f ca="1">IF(D$12=0,0,D31/D$12)</f>
        <v>#NAME?</v>
      </c>
      <c r="G31" s="14"/>
      <c r="H31" s="31" t="e">
        <f ca="1">+H27-H29</f>
        <v>#NAME?</v>
      </c>
      <c r="I31" s="14"/>
      <c r="J31" s="32" t="e">
        <f ca="1">IF(H$12=0,0,H31/H$12)</f>
        <v>#NAME?</v>
      </c>
      <c r="K31" s="15"/>
      <c r="L31" s="31" t="e">
        <f ca="1">D31-H31</f>
        <v>#NAME?</v>
      </c>
      <c r="M31" s="15"/>
      <c r="N31" s="32" t="e">
        <f ca="1">IF(H31=0,0,L31/H31)</f>
        <v>#NAME?</v>
      </c>
      <c r="O31" s="28"/>
      <c r="P31" s="31" t="e">
        <f ca="1">+P27-P29</f>
        <v>#NAME?</v>
      </c>
      <c r="Q31" s="14"/>
      <c r="R31" s="32" t="e">
        <f ca="1">IF(P$12=0,0,P31/P$12)</f>
        <v>#NAME?</v>
      </c>
      <c r="S31" s="14"/>
      <c r="T31" s="31" t="e">
        <f ca="1">+T27-T29</f>
        <v>#NAME?</v>
      </c>
      <c r="U31" s="14"/>
      <c r="V31" s="32" t="e">
        <f ca="1">IF(T$12=0,0,T31/T$12)</f>
        <v>#NAME?</v>
      </c>
      <c r="W31" s="15"/>
      <c r="X31" s="31" t="e">
        <f ca="1">P31-T31</f>
        <v>#NAME?</v>
      </c>
      <c r="Y31" s="15"/>
      <c r="Z31" s="32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9" t="s">
        <v>5</v>
      </c>
      <c r="C36" s="29"/>
      <c r="D36" s="33" t="e">
        <f ca="1">SUM(D31:D35)</f>
        <v>#NAME?</v>
      </c>
      <c r="E36" s="14"/>
      <c r="F36" s="35" t="e">
        <f ca="1">IF(D$12=0,0,D36/D$12)</f>
        <v>#NAME?</v>
      </c>
      <c r="G36" s="14"/>
      <c r="H36" s="33" t="e">
        <f ca="1">SUM(H31:H35)</f>
        <v>#NAME?</v>
      </c>
      <c r="I36" s="14"/>
      <c r="J36" s="35" t="e">
        <f ca="1">IF(H$12=0,0,H36/H$12)</f>
        <v>#NAME?</v>
      </c>
      <c r="K36" s="15"/>
      <c r="L36" s="33" t="e">
        <f ca="1">+D36-H36</f>
        <v>#NAME?</v>
      </c>
      <c r="M36" s="15"/>
      <c r="N36" s="35" t="e">
        <f ca="1">IF(H36=0,0,L36/H36)</f>
        <v>#NAME?</v>
      </c>
      <c r="O36" s="28"/>
      <c r="P36" s="33" t="e">
        <f ca="1">SUM(P31:P35)</f>
        <v>#NAME?</v>
      </c>
      <c r="Q36" s="14"/>
      <c r="R36" s="35" t="e">
        <f ca="1">IF(P$12=0,0,P36/P$12)</f>
        <v>#NAME?</v>
      </c>
      <c r="S36" s="14"/>
      <c r="T36" s="33" t="e">
        <f ca="1">SUM(T31:T35)</f>
        <v>#NAME?</v>
      </c>
      <c r="U36" s="14"/>
      <c r="V36" s="35" t="e">
        <f ca="1">IF(T$12=0,0,T36/T$12)</f>
        <v>#NAME?</v>
      </c>
      <c r="W36" s="15"/>
      <c r="X36" s="33" t="e">
        <f ca="1">+P36-T36</f>
        <v>#NAME?</v>
      </c>
      <c r="Y36" s="15"/>
      <c r="Z36" s="35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25">
      <c r="A38" s="9"/>
      <c r="B38" s="61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25">
      <c r="A39" s="9"/>
      <c r="B39" s="62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25">
      <c r="A40" s="9"/>
      <c r="B40" s="58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25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","425", " - ", "Events Center")</f>
        <v>Department 425 - Events Center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34943.380000000005</v>
      </c>
      <c r="E12" s="4"/>
      <c r="F12" s="12"/>
      <c r="G12" s="4"/>
      <c r="H12" s="4">
        <f>SUM(OSRRefH13x_0)</f>
        <v>15000</v>
      </c>
      <c r="I12" s="4"/>
      <c r="J12" s="12"/>
      <c r="K12" s="4"/>
      <c r="L12" s="4">
        <f t="shared" ref="L12:L16" si="0">+D12-H12</f>
        <v>19943.380000000005</v>
      </c>
      <c r="M12" s="4"/>
      <c r="N12" s="12">
        <f t="shared" ref="N12:N16" si="1">IF(H12=0,0,L12/H12)</f>
        <v>1.329558666666667</v>
      </c>
      <c r="O12" s="10"/>
      <c r="P12" s="4">
        <f>SUM(OSRRefP13x_0)</f>
        <v>59501.7</v>
      </c>
      <c r="Q12" s="4"/>
      <c r="R12" s="12"/>
      <c r="S12" s="4"/>
      <c r="T12" s="4">
        <f>SUM(OSRRefT13x_0)</f>
        <v>25000</v>
      </c>
      <c r="U12" s="4"/>
      <c r="V12" s="12"/>
      <c r="W12" s="4"/>
      <c r="X12" s="4">
        <f t="shared" ref="X12:X16" si="2">+P12-T12</f>
        <v>34501.699999999997</v>
      </c>
      <c r="Y12" s="4"/>
      <c r="Z12" s="12">
        <f t="shared" ref="Z12:Z16" si="3">IF(T12=0,0,X12/T12)</f>
        <v>1.3800679999999999</v>
      </c>
    </row>
    <row r="13" spans="1:26" s="24" customFormat="1" hidden="1" outlineLevel="1" x14ac:dyDescent="0.25">
      <c r="A13" s="46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1"/>
      <c r="G13" s="2"/>
      <c r="H13" s="2">
        <v>3750</v>
      </c>
      <c r="I13" s="2"/>
      <c r="J13" s="21"/>
      <c r="K13" s="2"/>
      <c r="L13" s="2">
        <f t="shared" si="0"/>
        <v>-3750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6250</v>
      </c>
      <c r="U13" s="2"/>
      <c r="V13" s="21"/>
      <c r="W13" s="2"/>
      <c r="X13" s="2">
        <f t="shared" si="2"/>
        <v>-6250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"4052", " - ", "TAXABLE SALES-FOOD")</f>
        <v xml:space="preserve">          4052 - TAXABLE SALES-FOOD</v>
      </c>
      <c r="C14" s="11"/>
      <c r="D14" s="2">
        <f>--34268.55</f>
        <v>34268.550000000003</v>
      </c>
      <c r="E14" s="2"/>
      <c r="F14" s="21"/>
      <c r="G14" s="2"/>
      <c r="H14" s="2"/>
      <c r="I14" s="2"/>
      <c r="J14" s="21"/>
      <c r="K14" s="2"/>
      <c r="L14" s="2">
        <f t="shared" si="0"/>
        <v>34268.550000000003</v>
      </c>
      <c r="M14" s="2"/>
      <c r="N14" s="21">
        <f t="shared" si="1"/>
        <v>0</v>
      </c>
      <c r="O14" s="11"/>
      <c r="P14" s="2">
        <f>--34504.83</f>
        <v>34504.83</v>
      </c>
      <c r="Q14" s="2"/>
      <c r="R14" s="21"/>
      <c r="S14" s="2"/>
      <c r="T14" s="2"/>
      <c r="U14" s="2"/>
      <c r="V14" s="21"/>
      <c r="W14" s="2"/>
      <c r="X14" s="2">
        <f t="shared" si="2"/>
        <v>34504.83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"4053", " - ", "TAXABLE SALES-FOOD")</f>
        <v xml:space="preserve">          4053 - TAXABLE SALES-FOOD</v>
      </c>
      <c r="C15" s="11"/>
      <c r="D15" s="2">
        <f>--674.83</f>
        <v>674.83</v>
      </c>
      <c r="E15" s="2"/>
      <c r="F15" s="21"/>
      <c r="G15" s="2"/>
      <c r="H15" s="2"/>
      <c r="I15" s="2"/>
      <c r="J15" s="21"/>
      <c r="K15" s="2"/>
      <c r="L15" s="2">
        <f t="shared" si="0"/>
        <v>674.83</v>
      </c>
      <c r="M15" s="2"/>
      <c r="N15" s="21">
        <f t="shared" si="1"/>
        <v>0</v>
      </c>
      <c r="O15" s="11"/>
      <c r="P15" s="2">
        <f>--24996.87</f>
        <v>24996.87</v>
      </c>
      <c r="Q15" s="2"/>
      <c r="R15" s="21"/>
      <c r="S15" s="2"/>
      <c r="T15" s="2"/>
      <c r="U15" s="2"/>
      <c r="V15" s="21"/>
      <c r="W15" s="2"/>
      <c r="X15" s="2">
        <f t="shared" si="2"/>
        <v>24996.87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"4100", " - ", "NON-TAXABLE SALES")</f>
        <v xml:space="preserve">          4100 - NON-TAXABLE SALES</v>
      </c>
      <c r="C16" s="11"/>
      <c r="D16" s="2">
        <f>0</f>
        <v>0</v>
      </c>
      <c r="E16" s="2"/>
      <c r="F16" s="21"/>
      <c r="G16" s="2"/>
      <c r="H16" s="2">
        <v>11250</v>
      </c>
      <c r="I16" s="2"/>
      <c r="J16" s="21"/>
      <c r="K16" s="2"/>
      <c r="L16" s="2">
        <f t="shared" si="0"/>
        <v>-11250</v>
      </c>
      <c r="M16" s="2"/>
      <c r="N16" s="21">
        <f t="shared" si="1"/>
        <v>-1</v>
      </c>
      <c r="O16" s="11"/>
      <c r="P16" s="2">
        <f>0</f>
        <v>0</v>
      </c>
      <c r="Q16" s="2"/>
      <c r="R16" s="21"/>
      <c r="S16" s="2"/>
      <c r="T16" s="2">
        <v>18750</v>
      </c>
      <c r="U16" s="2"/>
      <c r="V16" s="21"/>
      <c r="W16" s="2"/>
      <c r="X16" s="2">
        <f t="shared" si="2"/>
        <v>-18750</v>
      </c>
      <c r="Y16" s="2"/>
      <c r="Z16" s="21">
        <f t="shared" si="3"/>
        <v>-1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8037.15</v>
      </c>
      <c r="E18" s="4"/>
      <c r="F18" s="12">
        <f t="shared" ref="F18:F21" si="4">IF(D$12=0,0,D18/D$12)</f>
        <v>0.2300049394191403</v>
      </c>
      <c r="G18" s="4"/>
      <c r="H18" s="4">
        <f>SUM(OSRRefH16x_0)</f>
        <v>3450</v>
      </c>
      <c r="I18" s="4"/>
      <c r="J18" s="12">
        <f t="shared" ref="J18:J21" si="5">IF(H$12=0,0,H18/H$12)</f>
        <v>0.23</v>
      </c>
      <c r="K18" s="4"/>
      <c r="L18" s="4">
        <f t="shared" ref="L18:L21" si="6">+D18-H18</f>
        <v>4587.1499999999996</v>
      </c>
      <c r="M18" s="4"/>
      <c r="N18" s="12">
        <f t="shared" ref="N18:N21" si="7">IF(H18=0,0,L18/H18)</f>
        <v>1.3296086956521738</v>
      </c>
      <c r="O18" s="10"/>
      <c r="P18" s="4">
        <f>SUM(OSRRefP16x_0)</f>
        <v>14630.59</v>
      </c>
      <c r="Q18" s="4"/>
      <c r="R18" s="12">
        <f t="shared" ref="R18:R21" si="8">IF(P$12=0,0,P18/P$12)</f>
        <v>0.24588524361488834</v>
      </c>
      <c r="S18" s="4"/>
      <c r="T18" s="4">
        <f>SUM(OSRRefT16x_0)</f>
        <v>5750</v>
      </c>
      <c r="U18" s="4"/>
      <c r="V18" s="12">
        <f t="shared" ref="V18:V21" si="9">IF(T$12=0,0,T18/T$12)</f>
        <v>0.23</v>
      </c>
      <c r="W18" s="4"/>
      <c r="X18" s="4">
        <f t="shared" ref="X18:X21" si="10">+P18-T18</f>
        <v>8880.59</v>
      </c>
      <c r="Y18" s="4"/>
      <c r="Z18" s="12">
        <f t="shared" ref="Z18:Z21" si="11">IF(T18=0,0,X18/T18)</f>
        <v>1.5444504347826087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1">
        <f t="shared" si="4"/>
        <v>0</v>
      </c>
      <c r="G19" s="2"/>
      <c r="H19" s="2">
        <v>3450</v>
      </c>
      <c r="I19" s="2"/>
      <c r="J19" s="21">
        <f t="shared" si="5"/>
        <v>0.23</v>
      </c>
      <c r="K19" s="2"/>
      <c r="L19" s="2">
        <f t="shared" si="6"/>
        <v>-3450</v>
      </c>
      <c r="M19" s="2"/>
      <c r="N19" s="21">
        <f t="shared" si="7"/>
        <v>-1</v>
      </c>
      <c r="O19" s="11"/>
      <c r="P19" s="2"/>
      <c r="Q19" s="2"/>
      <c r="R19" s="21">
        <f t="shared" si="8"/>
        <v>0</v>
      </c>
      <c r="S19" s="2"/>
      <c r="T19" s="2">
        <v>5750</v>
      </c>
      <c r="U19" s="2"/>
      <c r="V19" s="21">
        <f t="shared" si="9"/>
        <v>0.23</v>
      </c>
      <c r="W19" s="2"/>
      <c r="X19" s="2">
        <f t="shared" si="10"/>
        <v>-5750</v>
      </c>
      <c r="Y19" s="2"/>
      <c r="Z19" s="21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8524.15</v>
      </c>
      <c r="E20" s="2"/>
      <c r="F20" s="21">
        <f t="shared" si="4"/>
        <v>0.24394177094488279</v>
      </c>
      <c r="G20" s="2"/>
      <c r="H20" s="2"/>
      <c r="I20" s="2"/>
      <c r="J20" s="21">
        <f t="shared" si="5"/>
        <v>0</v>
      </c>
      <c r="K20" s="2"/>
      <c r="L20" s="2">
        <f t="shared" si="6"/>
        <v>8524.15</v>
      </c>
      <c r="M20" s="2"/>
      <c r="N20" s="21">
        <f t="shared" si="7"/>
        <v>0</v>
      </c>
      <c r="O20" s="11"/>
      <c r="P20" s="2">
        <v>18438.59</v>
      </c>
      <c r="Q20" s="2"/>
      <c r="R20" s="21">
        <f t="shared" si="8"/>
        <v>0.30988341509570316</v>
      </c>
      <c r="S20" s="2"/>
      <c r="T20" s="2"/>
      <c r="U20" s="2"/>
      <c r="V20" s="21">
        <f t="shared" si="9"/>
        <v>0</v>
      </c>
      <c r="W20" s="2"/>
      <c r="X20" s="2">
        <f t="shared" si="10"/>
        <v>18438.59</v>
      </c>
      <c r="Y20" s="2"/>
      <c r="Z20" s="21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-487</v>
      </c>
      <c r="E21" s="2"/>
      <c r="F21" s="21">
        <f t="shared" si="4"/>
        <v>-1.39368315257425E-2</v>
      </c>
      <c r="G21" s="2"/>
      <c r="H21" s="2"/>
      <c r="I21" s="2"/>
      <c r="J21" s="21">
        <f t="shared" si="5"/>
        <v>0</v>
      </c>
      <c r="K21" s="2"/>
      <c r="L21" s="2">
        <f t="shared" si="6"/>
        <v>-487</v>
      </c>
      <c r="M21" s="2"/>
      <c r="N21" s="21">
        <f t="shared" si="7"/>
        <v>0</v>
      </c>
      <c r="O21" s="11"/>
      <c r="P21" s="2">
        <v>-3808</v>
      </c>
      <c r="Q21" s="2"/>
      <c r="R21" s="21">
        <f t="shared" si="8"/>
        <v>-6.3998171480814839E-2</v>
      </c>
      <c r="S21" s="2"/>
      <c r="T21" s="2"/>
      <c r="U21" s="2"/>
      <c r="V21" s="21">
        <f t="shared" si="9"/>
        <v>0</v>
      </c>
      <c r="W21" s="2"/>
      <c r="X21" s="2">
        <f t="shared" si="10"/>
        <v>-3808</v>
      </c>
      <c r="Y21" s="2"/>
      <c r="Z21" s="21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26906.230000000003</v>
      </c>
      <c r="E23" s="14"/>
      <c r="F23" s="20">
        <f>IF(D$12=0,0,D23/D$12)</f>
        <v>0.76999506058085965</v>
      </c>
      <c r="G23" s="14"/>
      <c r="H23" s="22">
        <f>H12-H18</f>
        <v>11550</v>
      </c>
      <c r="I23" s="14"/>
      <c r="J23" s="20">
        <f>IF(H$12=0,0,H23/H$12)</f>
        <v>0.77</v>
      </c>
      <c r="K23" s="15"/>
      <c r="L23" s="22">
        <f>+D23-H23</f>
        <v>15356.230000000003</v>
      </c>
      <c r="M23" s="15"/>
      <c r="N23" s="20">
        <f>IF(H23=0,0,L23/H23)</f>
        <v>1.3295437229437232</v>
      </c>
      <c r="O23" s="28"/>
      <c r="P23" s="22">
        <f>P12-P18</f>
        <v>44871.11</v>
      </c>
      <c r="Q23" s="14"/>
      <c r="R23" s="20">
        <f>IF(P$12=0,0,P23/P$12)</f>
        <v>0.75411475638511172</v>
      </c>
      <c r="S23" s="14"/>
      <c r="T23" s="22">
        <f>T12-T18</f>
        <v>19250</v>
      </c>
      <c r="U23" s="14"/>
      <c r="V23" s="20">
        <f>IF(T$12=0,0,T23/T$12)</f>
        <v>0.77</v>
      </c>
      <c r="W23" s="15"/>
      <c r="X23" s="22">
        <f>+P23-T23</f>
        <v>25621.11</v>
      </c>
      <c r="Y23" s="15"/>
      <c r="Z23" s="20">
        <f>IF(T23=0,0,X23/T23)</f>
        <v>1.3309667532467533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19">
        <f>SUM(OSRRefD22x_0)</f>
        <v>26007.21</v>
      </c>
      <c r="E25" s="19"/>
      <c r="F25" s="34">
        <f t="shared" ref="F25:F35" si="12">IF(D$12=0,0,D25/D$12)</f>
        <v>0.74426715446530922</v>
      </c>
      <c r="G25" s="19"/>
      <c r="H25" s="19">
        <f>SUM(OSRRefH22x_0)</f>
        <v>18134.430649999995</v>
      </c>
      <c r="I25" s="19"/>
      <c r="J25" s="34">
        <f t="shared" ref="J25:J35" si="13">IF(H$12=0,0,H25/H$12)</f>
        <v>1.208962043333333</v>
      </c>
      <c r="K25" s="4"/>
      <c r="L25" s="19">
        <f t="shared" ref="L25:L35" si="14">+D25-H25</f>
        <v>7872.7793500000043</v>
      </c>
      <c r="M25" s="4"/>
      <c r="N25" s="34">
        <f t="shared" ref="N25:N35" si="15">IF(H25=0,0,L25/H25)</f>
        <v>0.43413435480534407</v>
      </c>
      <c r="O25" s="10"/>
      <c r="P25" s="19">
        <f>SUM(OSRRefP22x_0)</f>
        <v>51286.39</v>
      </c>
      <c r="Q25" s="19"/>
      <c r="R25" s="34">
        <f t="shared" ref="R25:R35" si="16">IF(P$12=0,0,P25/P$12)</f>
        <v>0.86193150783927186</v>
      </c>
      <c r="S25" s="19"/>
      <c r="T25" s="19">
        <f>SUM(OSRRefT22x_0)</f>
        <v>31592.665699999998</v>
      </c>
      <c r="U25" s="19"/>
      <c r="V25" s="34">
        <f t="shared" ref="V25:V35" si="17">IF(T$12=0,0,T25/T$12)</f>
        <v>1.263706628</v>
      </c>
      <c r="W25" s="4"/>
      <c r="X25" s="19">
        <f t="shared" ref="X25:X35" si="18">+P25-T25</f>
        <v>19693.724300000002</v>
      </c>
      <c r="Y25" s="4"/>
      <c r="Z25" s="34">
        <f t="shared" ref="Z25:Z35" si="19">IF(T25=0,0,X25/T25)</f>
        <v>0.62336380497325372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3189.44</v>
      </c>
      <c r="E26" s="1"/>
      <c r="F26" s="5">
        <f t="shared" si="12"/>
        <v>9.1274513226825782E-2</v>
      </c>
      <c r="G26" s="1"/>
      <c r="H26" s="1">
        <f>SUM(OSRRefH22_0x_0)</f>
        <v>2929.5844961538469</v>
      </c>
      <c r="I26" s="1"/>
      <c r="J26" s="5">
        <f t="shared" si="13"/>
        <v>0.19530563307692311</v>
      </c>
      <c r="K26" s="1"/>
      <c r="L26" s="1">
        <f t="shared" si="14"/>
        <v>259.85550384615317</v>
      </c>
      <c r="M26" s="1"/>
      <c r="N26" s="5">
        <f t="shared" si="15"/>
        <v>8.8700463901044233E-2</v>
      </c>
      <c r="O26" s="13"/>
      <c r="P26" s="1">
        <f>SUM(OSRRefP22_0x_0)</f>
        <v>5730.670000000001</v>
      </c>
      <c r="Q26" s="1"/>
      <c r="R26" s="5">
        <f t="shared" si="16"/>
        <v>9.6311029768897383E-2</v>
      </c>
      <c r="S26" s="1"/>
      <c r="T26" s="1">
        <f>SUM(OSRRefT22_0x_0)</f>
        <v>5996.5118538461556</v>
      </c>
      <c r="U26" s="1"/>
      <c r="V26" s="5">
        <f t="shared" si="17"/>
        <v>0.23986047415384623</v>
      </c>
      <c r="W26" s="1"/>
      <c r="X26" s="1">
        <f t="shared" si="18"/>
        <v>-265.84185384615466</v>
      </c>
      <c r="Y26" s="1"/>
      <c r="Z26" s="5">
        <f t="shared" si="19"/>
        <v>-4.4332748825576661E-2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870.65</v>
      </c>
      <c r="E27" s="2"/>
      <c r="F27" s="7">
        <f t="shared" si="12"/>
        <v>2.4916021289297138E-2</v>
      </c>
      <c r="G27" s="2"/>
      <c r="H27" s="6">
        <v>598.49403461538498</v>
      </c>
      <c r="I27" s="2"/>
      <c r="J27" s="7">
        <f t="shared" si="13"/>
        <v>3.9899602307692329E-2</v>
      </c>
      <c r="K27" s="2"/>
      <c r="L27" s="6">
        <f t="shared" si="14"/>
        <v>272.155965384615</v>
      </c>
      <c r="M27" s="2"/>
      <c r="N27" s="7">
        <f t="shared" si="15"/>
        <v>0.45473463333600772</v>
      </c>
      <c r="O27" s="11"/>
      <c r="P27" s="6">
        <v>1336.67</v>
      </c>
      <c r="Q27" s="2"/>
      <c r="R27" s="7">
        <f t="shared" si="16"/>
        <v>2.2464400176801673E-2</v>
      </c>
      <c r="S27" s="2"/>
      <c r="T27" s="6">
        <v>1226.3638153846161</v>
      </c>
      <c r="U27" s="2"/>
      <c r="V27" s="7">
        <f t="shared" si="17"/>
        <v>4.9054552615384647E-2</v>
      </c>
      <c r="W27" s="2"/>
      <c r="X27" s="6">
        <f t="shared" si="18"/>
        <v>110.30618461538393</v>
      </c>
      <c r="Y27" s="2"/>
      <c r="Z27" s="7">
        <f t="shared" si="19"/>
        <v>8.9945726734272036E-2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718.03</v>
      </c>
      <c r="E28" s="2"/>
      <c r="F28" s="7">
        <f t="shared" si="12"/>
        <v>2.05483842719279E-2</v>
      </c>
      <c r="G28" s="2"/>
      <c r="H28" s="6">
        <v>324.38292307692296</v>
      </c>
      <c r="I28" s="2"/>
      <c r="J28" s="7">
        <f t="shared" si="13"/>
        <v>2.1625528205128197E-2</v>
      </c>
      <c r="K28" s="2"/>
      <c r="L28" s="6">
        <f t="shared" si="14"/>
        <v>393.64707692307701</v>
      </c>
      <c r="M28" s="2"/>
      <c r="N28" s="7">
        <f t="shared" si="15"/>
        <v>1.2135258946098375</v>
      </c>
      <c r="O28" s="11"/>
      <c r="P28" s="6">
        <v>1090.0999999999999</v>
      </c>
      <c r="Q28" s="2"/>
      <c r="R28" s="7">
        <f t="shared" si="16"/>
        <v>1.8320484960933889E-2</v>
      </c>
      <c r="S28" s="2"/>
      <c r="T28" s="6">
        <v>607.78707692307705</v>
      </c>
      <c r="U28" s="2"/>
      <c r="V28" s="7">
        <f t="shared" si="17"/>
        <v>2.4311483076923081E-2</v>
      </c>
      <c r="W28" s="2"/>
      <c r="X28" s="6">
        <f t="shared" si="18"/>
        <v>482.31292307692286</v>
      </c>
      <c r="Y28" s="2"/>
      <c r="Z28" s="7">
        <f t="shared" si="19"/>
        <v>0.79355573915561473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698.2</v>
      </c>
      <c r="E29" s="2"/>
      <c r="F29" s="7">
        <f t="shared" si="12"/>
        <v>1.9980894807542945E-2</v>
      </c>
      <c r="G29" s="2"/>
      <c r="H29" s="6">
        <v>663</v>
      </c>
      <c r="I29" s="2"/>
      <c r="J29" s="7">
        <f t="shared" si="13"/>
        <v>4.4200000000000003E-2</v>
      </c>
      <c r="K29" s="2"/>
      <c r="L29" s="6">
        <f t="shared" si="14"/>
        <v>35.200000000000045</v>
      </c>
      <c r="M29" s="2"/>
      <c r="N29" s="7">
        <f t="shared" si="15"/>
        <v>5.3092006033182572E-2</v>
      </c>
      <c r="O29" s="11"/>
      <c r="P29" s="6">
        <v>1396.4</v>
      </c>
      <c r="Q29" s="2"/>
      <c r="R29" s="7">
        <f t="shared" si="16"/>
        <v>2.346823704196687E-2</v>
      </c>
      <c r="S29" s="2"/>
      <c r="T29" s="6">
        <v>1326</v>
      </c>
      <c r="U29" s="2"/>
      <c r="V29" s="7">
        <f t="shared" si="17"/>
        <v>5.3039999999999997E-2</v>
      </c>
      <c r="W29" s="2"/>
      <c r="X29" s="6">
        <f t="shared" si="18"/>
        <v>70.400000000000091</v>
      </c>
      <c r="Y29" s="2"/>
      <c r="Z29" s="7">
        <f t="shared" si="19"/>
        <v>5.3092006033182572E-2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48.12</v>
      </c>
      <c r="E30" s="2"/>
      <c r="F30" s="7">
        <f t="shared" si="12"/>
        <v>1.3770848727283963E-3</v>
      </c>
      <c r="G30" s="2"/>
      <c r="H30" s="6">
        <v>26.065999999999999</v>
      </c>
      <c r="I30" s="2"/>
      <c r="J30" s="7">
        <f t="shared" si="13"/>
        <v>1.7377333333333334E-3</v>
      </c>
      <c r="K30" s="2"/>
      <c r="L30" s="6">
        <f t="shared" si="14"/>
        <v>22.053999999999998</v>
      </c>
      <c r="M30" s="2"/>
      <c r="N30" s="7">
        <f t="shared" si="15"/>
        <v>0.8460830200260876</v>
      </c>
      <c r="O30" s="11"/>
      <c r="P30" s="6">
        <v>73.05</v>
      </c>
      <c r="Q30" s="2"/>
      <c r="R30" s="7">
        <f t="shared" si="16"/>
        <v>1.2276960154079632E-3</v>
      </c>
      <c r="S30" s="2"/>
      <c r="T30" s="6">
        <v>49.717500000000001</v>
      </c>
      <c r="U30" s="2"/>
      <c r="V30" s="7">
        <f t="shared" si="17"/>
        <v>1.9886999999999999E-3</v>
      </c>
      <c r="W30" s="2"/>
      <c r="X30" s="6">
        <f t="shared" si="18"/>
        <v>23.332499999999996</v>
      </c>
      <c r="Y30" s="2"/>
      <c r="Z30" s="7">
        <f t="shared" si="19"/>
        <v>0.46930155377885041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320.99</v>
      </c>
      <c r="E31" s="2"/>
      <c r="F31" s="7">
        <f t="shared" si="12"/>
        <v>9.1860031857250203E-3</v>
      </c>
      <c r="G31" s="2"/>
      <c r="H31" s="6">
        <v>395.20307692307699</v>
      </c>
      <c r="I31" s="2"/>
      <c r="J31" s="7">
        <f t="shared" si="13"/>
        <v>2.6346871794871801E-2</v>
      </c>
      <c r="K31" s="2"/>
      <c r="L31" s="6">
        <f t="shared" si="14"/>
        <v>-74.213076923076983</v>
      </c>
      <c r="M31" s="2"/>
      <c r="N31" s="7">
        <f t="shared" si="15"/>
        <v>-0.18778466377558581</v>
      </c>
      <c r="O31" s="11"/>
      <c r="P31" s="6">
        <v>641.98</v>
      </c>
      <c r="Q31" s="2"/>
      <c r="R31" s="7">
        <f t="shared" si="16"/>
        <v>1.0789271567030859E-2</v>
      </c>
      <c r="S31" s="2"/>
      <c r="T31" s="6">
        <v>889.20692307692298</v>
      </c>
      <c r="U31" s="2"/>
      <c r="V31" s="7">
        <f t="shared" si="17"/>
        <v>3.5568276923076916E-2</v>
      </c>
      <c r="W31" s="2"/>
      <c r="X31" s="6">
        <f t="shared" si="18"/>
        <v>-247.22692307692296</v>
      </c>
      <c r="Y31" s="2"/>
      <c r="Z31" s="7">
        <f t="shared" si="19"/>
        <v>-0.27803081224496495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176.92</v>
      </c>
      <c r="E33" s="2"/>
      <c r="F33" s="7">
        <f t="shared" si="12"/>
        <v>5.063047707462757E-3</v>
      </c>
      <c r="G33" s="2"/>
      <c r="H33" s="6">
        <v>229.769230769231</v>
      </c>
      <c r="I33" s="2"/>
      <c r="J33" s="7">
        <f t="shared" si="13"/>
        <v>1.5317948717948733E-2</v>
      </c>
      <c r="K33" s="2"/>
      <c r="L33" s="6">
        <f t="shared" si="14"/>
        <v>-52.849230769231013</v>
      </c>
      <c r="M33" s="2"/>
      <c r="N33" s="7">
        <f t="shared" si="15"/>
        <v>-0.23001004352192919</v>
      </c>
      <c r="O33" s="11"/>
      <c r="P33" s="6">
        <v>380.14</v>
      </c>
      <c r="Q33" s="2"/>
      <c r="R33" s="7">
        <f t="shared" si="16"/>
        <v>6.3887250280244097E-3</v>
      </c>
      <c r="S33" s="2"/>
      <c r="T33" s="6">
        <v>516.98076923076997</v>
      </c>
      <c r="U33" s="2"/>
      <c r="V33" s="7">
        <f t="shared" si="17"/>
        <v>2.0679230769230797E-2</v>
      </c>
      <c r="W33" s="2"/>
      <c r="X33" s="6">
        <f t="shared" si="18"/>
        <v>-136.84076923076998</v>
      </c>
      <c r="Y33" s="2"/>
      <c r="Z33" s="7">
        <f t="shared" si="19"/>
        <v>-0.26469218465201161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211.96</v>
      </c>
      <c r="E34" s="2"/>
      <c r="F34" s="7">
        <f t="shared" si="12"/>
        <v>6.0658127519432857E-3</v>
      </c>
      <c r="G34" s="2"/>
      <c r="H34" s="6">
        <v>392.66923076923098</v>
      </c>
      <c r="I34" s="2"/>
      <c r="J34" s="7">
        <f t="shared" si="13"/>
        <v>2.6177948717948731E-2</v>
      </c>
      <c r="K34" s="2"/>
      <c r="L34" s="6">
        <f t="shared" si="14"/>
        <v>-180.70923076923097</v>
      </c>
      <c r="M34" s="2"/>
      <c r="N34" s="7">
        <f t="shared" si="15"/>
        <v>-0.46020725997610074</v>
      </c>
      <c r="O34" s="11"/>
      <c r="P34" s="6">
        <v>517.76</v>
      </c>
      <c r="Q34" s="2"/>
      <c r="R34" s="7">
        <f t="shared" si="16"/>
        <v>8.7016001223494451E-3</v>
      </c>
      <c r="S34" s="2"/>
      <c r="T34" s="6">
        <v>780.45576923076999</v>
      </c>
      <c r="U34" s="2"/>
      <c r="V34" s="7">
        <f t="shared" si="17"/>
        <v>3.12182307692308E-2</v>
      </c>
      <c r="W34" s="2"/>
      <c r="X34" s="6">
        <f t="shared" si="18"/>
        <v>-262.69576923077</v>
      </c>
      <c r="Y34" s="2"/>
      <c r="Z34" s="7">
        <f t="shared" si="19"/>
        <v>-0.33659277000372134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144.57</v>
      </c>
      <c r="E35" s="2"/>
      <c r="F35" s="7">
        <f t="shared" si="12"/>
        <v>4.1372643401983433E-3</v>
      </c>
      <c r="G35" s="2"/>
      <c r="H35" s="6">
        <v>300</v>
      </c>
      <c r="I35" s="2"/>
      <c r="J35" s="7">
        <f t="shared" si="13"/>
        <v>0.02</v>
      </c>
      <c r="K35" s="2"/>
      <c r="L35" s="6">
        <f t="shared" si="14"/>
        <v>-155.43</v>
      </c>
      <c r="M35" s="2"/>
      <c r="N35" s="7">
        <f t="shared" si="15"/>
        <v>-0.5181</v>
      </c>
      <c r="O35" s="11"/>
      <c r="P35" s="6">
        <v>294.57</v>
      </c>
      <c r="Q35" s="2"/>
      <c r="R35" s="7">
        <f t="shared" si="16"/>
        <v>4.9506148563822549E-3</v>
      </c>
      <c r="S35" s="2"/>
      <c r="T35" s="6">
        <v>600</v>
      </c>
      <c r="U35" s="2"/>
      <c r="V35" s="7">
        <f t="shared" si="17"/>
        <v>2.4E-2</v>
      </c>
      <c r="W35" s="2"/>
      <c r="X35" s="6">
        <f t="shared" si="18"/>
        <v>-305.43</v>
      </c>
      <c r="Y35" s="2"/>
      <c r="Z35" s="7">
        <f t="shared" si="19"/>
        <v>-0.50905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12217.62</v>
      </c>
      <c r="E36" s="1"/>
      <c r="F36" s="5">
        <f t="shared" ref="F36:F46" si="20">IF(D$12=0,0,D36/D$12)</f>
        <v>0.349640475534994</v>
      </c>
      <c r="G36" s="1"/>
      <c r="H36" s="1">
        <f>SUM(OSRRefH22_1x_0)</f>
        <v>9565.8461538461488</v>
      </c>
      <c r="I36" s="1"/>
      <c r="J36" s="5">
        <f t="shared" ref="J36:J46" si="21">IF(H$12=0,0,H36/H$12)</f>
        <v>0.63772307692307661</v>
      </c>
      <c r="K36" s="1"/>
      <c r="L36" s="1">
        <f t="shared" ref="L36:L46" si="22">+D36-H36</f>
        <v>2651.773846153852</v>
      </c>
      <c r="M36" s="1"/>
      <c r="N36" s="5">
        <f t="shared" ref="N36:N46" si="23">IF(H36=0,0,L36/H36)</f>
        <v>0.27721267972594882</v>
      </c>
      <c r="O36" s="13"/>
      <c r="P36" s="1">
        <f>SUM(OSRRefP22_1x_0)</f>
        <v>20012.55</v>
      </c>
      <c r="Q36" s="1"/>
      <c r="R36" s="5">
        <f t="shared" ref="R36:R46" si="24">IF(P$12=0,0,P36/P$12)</f>
        <v>0.33633576855787312</v>
      </c>
      <c r="S36" s="1"/>
      <c r="T36" s="1">
        <f>SUM(OSRRefT22_1x_0)</f>
        <v>18088.15384615384</v>
      </c>
      <c r="U36" s="1"/>
      <c r="V36" s="5">
        <f t="shared" ref="V36:V46" si="25">IF(T$12=0,0,T36/T$12)</f>
        <v>0.7235261538461536</v>
      </c>
      <c r="W36" s="1"/>
      <c r="X36" s="1">
        <f t="shared" ref="X36:X46" si="26">+P36-T36</f>
        <v>1924.396153846159</v>
      </c>
      <c r="Y36" s="1"/>
      <c r="Z36" s="5">
        <f t="shared" ref="Z36:Z46" si="27">IF(T36=0,0,X36/T36)</f>
        <v>0.10638985991681796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4595.38</v>
      </c>
      <c r="E38" s="2"/>
      <c r="F38" s="7">
        <f t="shared" si="20"/>
        <v>0.13150931592765208</v>
      </c>
      <c r="G38" s="2"/>
      <c r="H38" s="6">
        <v>4135.8461538461497</v>
      </c>
      <c r="I38" s="2"/>
      <c r="J38" s="7">
        <f t="shared" si="21"/>
        <v>0.27572307692307663</v>
      </c>
      <c r="K38" s="2"/>
      <c r="L38" s="6">
        <f t="shared" si="22"/>
        <v>459.53384615385039</v>
      </c>
      <c r="M38" s="2"/>
      <c r="N38" s="7">
        <f t="shared" si="23"/>
        <v>0.11110999516423131</v>
      </c>
      <c r="O38" s="11"/>
      <c r="P38" s="6">
        <v>10339.76</v>
      </c>
      <c r="Q38" s="2"/>
      <c r="R38" s="7">
        <f t="shared" si="24"/>
        <v>0.17377251406262342</v>
      </c>
      <c r="S38" s="2"/>
      <c r="T38" s="6">
        <v>9305.6538461538403</v>
      </c>
      <c r="U38" s="2"/>
      <c r="V38" s="7">
        <f t="shared" si="25"/>
        <v>0.3722261538461536</v>
      </c>
      <c r="W38" s="2"/>
      <c r="X38" s="6">
        <f t="shared" si="26"/>
        <v>1034.1061538461599</v>
      </c>
      <c r="Y38" s="2"/>
      <c r="Z38" s="7">
        <f t="shared" si="27"/>
        <v>0.11112665170471292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/>
      <c r="E40" s="2"/>
      <c r="F40" s="7">
        <f t="shared" si="20"/>
        <v>0</v>
      </c>
      <c r="G40" s="2"/>
      <c r="H40" s="6">
        <v>900</v>
      </c>
      <c r="I40" s="2"/>
      <c r="J40" s="7">
        <f t="shared" si="21"/>
        <v>0.06</v>
      </c>
      <c r="K40" s="2"/>
      <c r="L40" s="6">
        <f t="shared" si="22"/>
        <v>-900</v>
      </c>
      <c r="M40" s="2"/>
      <c r="N40" s="7">
        <f t="shared" si="23"/>
        <v>-1</v>
      </c>
      <c r="O40" s="11"/>
      <c r="P40" s="6"/>
      <c r="Q40" s="2"/>
      <c r="R40" s="7">
        <f t="shared" si="24"/>
        <v>0</v>
      </c>
      <c r="S40" s="2"/>
      <c r="T40" s="6">
        <v>1800</v>
      </c>
      <c r="U40" s="2"/>
      <c r="V40" s="7">
        <f t="shared" si="25"/>
        <v>7.1999999999999995E-2</v>
      </c>
      <c r="W40" s="2"/>
      <c r="X40" s="6">
        <f t="shared" si="26"/>
        <v>-1800</v>
      </c>
      <c r="Y40" s="2"/>
      <c r="Z40" s="7">
        <f t="shared" si="27"/>
        <v>-1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3092.92</v>
      </c>
      <c r="E41" s="2"/>
      <c r="F41" s="7">
        <f t="shared" si="20"/>
        <v>8.851233051868479E-2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3092.92</v>
      </c>
      <c r="M41" s="2"/>
      <c r="N41" s="7">
        <f t="shared" si="23"/>
        <v>0</v>
      </c>
      <c r="O41" s="11"/>
      <c r="P41" s="6">
        <v>4151.47</v>
      </c>
      <c r="Q41" s="2"/>
      <c r="R41" s="7">
        <f t="shared" si="24"/>
        <v>6.9770611595971213E-2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4151.47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>
        <v>225.38</v>
      </c>
      <c r="E42" s="2"/>
      <c r="F42" s="7">
        <f t="shared" si="20"/>
        <v>6.4498626063076887E-3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225.38</v>
      </c>
      <c r="M42" s="2"/>
      <c r="N42" s="7">
        <f t="shared" si="23"/>
        <v>0</v>
      </c>
      <c r="O42" s="11"/>
      <c r="P42" s="6">
        <v>303.38</v>
      </c>
      <c r="Q42" s="2"/>
      <c r="R42" s="7">
        <f t="shared" si="24"/>
        <v>5.0986778529016818E-3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303.38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3556.94</v>
      </c>
      <c r="E43" s="2"/>
      <c r="F43" s="7">
        <f t="shared" si="20"/>
        <v>0.10179152674984503</v>
      </c>
      <c r="G43" s="2"/>
      <c r="H43" s="6">
        <v>2325</v>
      </c>
      <c r="I43" s="2"/>
      <c r="J43" s="7">
        <f t="shared" si="21"/>
        <v>0.155</v>
      </c>
      <c r="K43" s="2"/>
      <c r="L43" s="6">
        <f t="shared" si="22"/>
        <v>1231.94</v>
      </c>
      <c r="M43" s="2"/>
      <c r="N43" s="7">
        <f t="shared" si="23"/>
        <v>0.52986666666666671</v>
      </c>
      <c r="O43" s="11"/>
      <c r="P43" s="6">
        <v>4422.9399999999996</v>
      </c>
      <c r="Q43" s="2"/>
      <c r="R43" s="7">
        <f t="shared" si="24"/>
        <v>7.433300225035587E-2</v>
      </c>
      <c r="S43" s="2"/>
      <c r="T43" s="6">
        <v>3885</v>
      </c>
      <c r="U43" s="2"/>
      <c r="V43" s="7">
        <f t="shared" si="25"/>
        <v>0.15540000000000001</v>
      </c>
      <c r="W43" s="2"/>
      <c r="X43" s="6">
        <f t="shared" si="26"/>
        <v>537.9399999999996</v>
      </c>
      <c r="Y43" s="2"/>
      <c r="Z43" s="7">
        <f t="shared" si="27"/>
        <v>0.13846589446589436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>
        <v>747</v>
      </c>
      <c r="E44" s="2"/>
      <c r="F44" s="7">
        <f t="shared" si="20"/>
        <v>2.1377439732504409E-2</v>
      </c>
      <c r="G44" s="2"/>
      <c r="H44" s="6">
        <v>2205</v>
      </c>
      <c r="I44" s="2"/>
      <c r="J44" s="7">
        <f t="shared" si="21"/>
        <v>0.14699999999999999</v>
      </c>
      <c r="K44" s="2"/>
      <c r="L44" s="6">
        <f t="shared" si="22"/>
        <v>-1458</v>
      </c>
      <c r="M44" s="2"/>
      <c r="N44" s="7">
        <f t="shared" si="23"/>
        <v>-0.66122448979591841</v>
      </c>
      <c r="O44" s="11"/>
      <c r="P44" s="6">
        <v>795</v>
      </c>
      <c r="Q44" s="2"/>
      <c r="R44" s="7">
        <f t="shared" si="24"/>
        <v>1.3360962796020955E-2</v>
      </c>
      <c r="S44" s="2"/>
      <c r="T44" s="6">
        <v>3097.5</v>
      </c>
      <c r="U44" s="2"/>
      <c r="V44" s="7">
        <f t="shared" si="25"/>
        <v>0.1239</v>
      </c>
      <c r="W44" s="2"/>
      <c r="X44" s="6">
        <f t="shared" si="26"/>
        <v>-2302.5</v>
      </c>
      <c r="Y44" s="2"/>
      <c r="Z44" s="7">
        <f t="shared" si="27"/>
        <v>-0.7433414043583535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49.57</v>
      </c>
      <c r="E47" s="1"/>
      <c r="F47" s="5">
        <f t="shared" ref="F47:F65" si="28">IF(D$12=0,0,D47/D$12)</f>
        <v>1.4185805723430302E-3</v>
      </c>
      <c r="G47" s="1"/>
      <c r="H47" s="1">
        <f>SUM(OSRRefH22_2x_0)</f>
        <v>75</v>
      </c>
      <c r="I47" s="1"/>
      <c r="J47" s="5">
        <f t="shared" ref="J47:J65" si="29">IF(H$12=0,0,H47/H$12)</f>
        <v>5.0000000000000001E-3</v>
      </c>
      <c r="K47" s="1"/>
      <c r="L47" s="1">
        <f t="shared" ref="L47:L65" si="30">+D47-H47</f>
        <v>-25.43</v>
      </c>
      <c r="M47" s="1"/>
      <c r="N47" s="5">
        <f t="shared" ref="N47:N65" si="31">IF(H47=0,0,L47/H47)</f>
        <v>-0.33906666666666668</v>
      </c>
      <c r="O47" s="13"/>
      <c r="P47" s="1">
        <f>SUM(OSRRefP22_2x_0)</f>
        <v>49.57</v>
      </c>
      <c r="Q47" s="1"/>
      <c r="R47" s="5">
        <f t="shared" ref="R47:R65" si="32">IF(P$12=0,0,P47/P$12)</f>
        <v>8.3308544125630028E-4</v>
      </c>
      <c r="S47" s="1"/>
      <c r="T47" s="1">
        <f>SUM(OSRRefT22_2x_0)</f>
        <v>175</v>
      </c>
      <c r="U47" s="1"/>
      <c r="V47" s="5">
        <f t="shared" ref="V47:V65" si="33">IF(T$12=0,0,T47/T$12)</f>
        <v>7.0000000000000001E-3</v>
      </c>
      <c r="W47" s="1"/>
      <c r="X47" s="1">
        <f t="shared" ref="X47:X65" si="34">+P47-T47</f>
        <v>-125.43</v>
      </c>
      <c r="Y47" s="1"/>
      <c r="Z47" s="5">
        <f t="shared" ref="Z47:Z65" si="35">IF(T47=0,0,X47/T47)</f>
        <v>-0.71674285714285724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49.57</v>
      </c>
      <c r="E48" s="2"/>
      <c r="F48" s="7">
        <f t="shared" si="28"/>
        <v>1.4185805723430302E-3</v>
      </c>
      <c r="G48" s="2"/>
      <c r="H48" s="6">
        <v>75</v>
      </c>
      <c r="I48" s="2"/>
      <c r="J48" s="7">
        <f t="shared" si="29"/>
        <v>5.0000000000000001E-3</v>
      </c>
      <c r="K48" s="2"/>
      <c r="L48" s="6">
        <f t="shared" si="30"/>
        <v>-25.43</v>
      </c>
      <c r="M48" s="2"/>
      <c r="N48" s="7">
        <f t="shared" si="31"/>
        <v>-0.33906666666666668</v>
      </c>
      <c r="O48" s="11"/>
      <c r="P48" s="6">
        <v>49.57</v>
      </c>
      <c r="Q48" s="2"/>
      <c r="R48" s="7">
        <f t="shared" si="32"/>
        <v>8.3308544125630028E-4</v>
      </c>
      <c r="S48" s="2"/>
      <c r="T48" s="6">
        <v>175</v>
      </c>
      <c r="U48" s="2"/>
      <c r="V48" s="7">
        <f t="shared" si="33"/>
        <v>7.0000000000000001E-3</v>
      </c>
      <c r="W48" s="2"/>
      <c r="X48" s="6">
        <f t="shared" si="34"/>
        <v>-125.43</v>
      </c>
      <c r="Y48" s="2"/>
      <c r="Z48" s="7">
        <f t="shared" si="35"/>
        <v>-0.71674285714285724</v>
      </c>
    </row>
    <row r="49" spans="1:26" s="26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4.3099999999999996</v>
      </c>
      <c r="E49" s="1"/>
      <c r="F49" s="5">
        <f t="shared" si="28"/>
        <v>1.2334238988901471E-4</v>
      </c>
      <c r="G49" s="1"/>
      <c r="H49" s="1">
        <f>SUM(OSRRefH22_3x_0)</f>
        <v>50</v>
      </c>
      <c r="I49" s="1"/>
      <c r="J49" s="5">
        <f t="shared" si="29"/>
        <v>3.3333333333333335E-3</v>
      </c>
      <c r="K49" s="1"/>
      <c r="L49" s="1">
        <f t="shared" si="30"/>
        <v>-45.69</v>
      </c>
      <c r="M49" s="1"/>
      <c r="N49" s="5">
        <f t="shared" si="31"/>
        <v>-0.91379999999999995</v>
      </c>
      <c r="O49" s="13"/>
      <c r="P49" s="1">
        <f>SUM(OSRRefP22_3x_0)</f>
        <v>4.3099999999999996</v>
      </c>
      <c r="Q49" s="1"/>
      <c r="R49" s="5">
        <f t="shared" si="32"/>
        <v>7.2434905221195356E-5</v>
      </c>
      <c r="S49" s="1"/>
      <c r="T49" s="1">
        <f>SUM(OSRRefT22_3x_0)</f>
        <v>100</v>
      </c>
      <c r="U49" s="1"/>
      <c r="V49" s="5">
        <f t="shared" si="33"/>
        <v>4.0000000000000001E-3</v>
      </c>
      <c r="W49" s="1"/>
      <c r="X49" s="1">
        <f t="shared" si="34"/>
        <v>-95.69</v>
      </c>
      <c r="Y49" s="1"/>
      <c r="Z49" s="5">
        <f t="shared" si="35"/>
        <v>-0.95689999999999997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>
        <v>4.3099999999999996</v>
      </c>
      <c r="E50" s="2"/>
      <c r="F50" s="7">
        <f t="shared" si="28"/>
        <v>1.2334238988901471E-4</v>
      </c>
      <c r="G50" s="2"/>
      <c r="H50" s="6">
        <v>50</v>
      </c>
      <c r="I50" s="2"/>
      <c r="J50" s="7">
        <f t="shared" si="29"/>
        <v>3.3333333333333335E-3</v>
      </c>
      <c r="K50" s="2"/>
      <c r="L50" s="6">
        <f t="shared" si="30"/>
        <v>-45.69</v>
      </c>
      <c r="M50" s="2"/>
      <c r="N50" s="7">
        <f t="shared" si="31"/>
        <v>-0.91379999999999995</v>
      </c>
      <c r="O50" s="11"/>
      <c r="P50" s="6">
        <v>4.3099999999999996</v>
      </c>
      <c r="Q50" s="2"/>
      <c r="R50" s="7">
        <f t="shared" si="32"/>
        <v>7.2434905221195356E-5</v>
      </c>
      <c r="S50" s="2"/>
      <c r="T50" s="6">
        <v>100</v>
      </c>
      <c r="U50" s="2"/>
      <c r="V50" s="7">
        <f t="shared" si="33"/>
        <v>4.0000000000000001E-3</v>
      </c>
      <c r="W50" s="2"/>
      <c r="X50" s="6">
        <f t="shared" si="34"/>
        <v>-95.69</v>
      </c>
      <c r="Y50" s="2"/>
      <c r="Z50" s="7">
        <f t="shared" si="35"/>
        <v>-0.95689999999999997</v>
      </c>
    </row>
    <row r="51" spans="1:26" s="26" customFormat="1" outlineLevel="1" collapsed="1" x14ac:dyDescent="0.25">
      <c r="A51" s="25"/>
      <c r="B51" s="13" t="str">
        <f>CONCATENATE("     ","Bank/card Fees                                    ")</f>
        <v xml:space="preserve">     Bank/card Fees                                    </v>
      </c>
      <c r="C51" s="13"/>
      <c r="D51" s="1">
        <f>SUM(OSRRefD22_4x_0)</f>
        <v>923.6</v>
      </c>
      <c r="E51" s="1"/>
      <c r="F51" s="5">
        <f t="shared" si="28"/>
        <v>2.6431329768328075E-2</v>
      </c>
      <c r="G51" s="1"/>
      <c r="H51" s="1">
        <f>SUM(OSRRefH22_4x_0)</f>
        <v>300</v>
      </c>
      <c r="I51" s="1"/>
      <c r="J51" s="5">
        <f t="shared" si="29"/>
        <v>0.02</v>
      </c>
      <c r="K51" s="1"/>
      <c r="L51" s="1">
        <f t="shared" si="30"/>
        <v>623.6</v>
      </c>
      <c r="M51" s="1"/>
      <c r="N51" s="5">
        <f t="shared" si="31"/>
        <v>2.0786666666666669</v>
      </c>
      <c r="O51" s="13"/>
      <c r="P51" s="1">
        <f>SUM(OSRRefP22_4x_0)</f>
        <v>1429.4</v>
      </c>
      <c r="Q51" s="1"/>
      <c r="R51" s="5">
        <f t="shared" si="32"/>
        <v>2.4022843044820569E-2</v>
      </c>
      <c r="S51" s="1"/>
      <c r="T51" s="1">
        <f>SUM(OSRRefT22_4x_0)</f>
        <v>400</v>
      </c>
      <c r="U51" s="1"/>
      <c r="V51" s="5">
        <f t="shared" si="33"/>
        <v>1.6E-2</v>
      </c>
      <c r="W51" s="1"/>
      <c r="X51" s="1">
        <f t="shared" si="34"/>
        <v>1029.4000000000001</v>
      </c>
      <c r="Y51" s="1"/>
      <c r="Z51" s="5">
        <f t="shared" si="35"/>
        <v>2.5735000000000001</v>
      </c>
    </row>
    <row r="52" spans="1:26" s="24" customFormat="1" hidden="1" outlineLevel="2" x14ac:dyDescent="0.25">
      <c r="A52" s="27"/>
      <c r="B52" s="11" t="str">
        <f>CONCATENATE("          ", "6381", " - ", "BANK/CREDIT CARD FEES")</f>
        <v xml:space="preserve">          6381 - BANK/CREDIT CARD FEES</v>
      </c>
      <c r="C52" s="11"/>
      <c r="D52" s="6">
        <v>923.6</v>
      </c>
      <c r="E52" s="2"/>
      <c r="F52" s="7">
        <f t="shared" si="28"/>
        <v>2.6431329768328075E-2</v>
      </c>
      <c r="G52" s="2"/>
      <c r="H52" s="6">
        <v>300</v>
      </c>
      <c r="I52" s="2"/>
      <c r="J52" s="7">
        <f t="shared" si="29"/>
        <v>0.02</v>
      </c>
      <c r="K52" s="2"/>
      <c r="L52" s="6">
        <f t="shared" si="30"/>
        <v>623.6</v>
      </c>
      <c r="M52" s="2"/>
      <c r="N52" s="7">
        <f t="shared" si="31"/>
        <v>2.0786666666666669</v>
      </c>
      <c r="O52" s="11"/>
      <c r="P52" s="6">
        <v>1429.4</v>
      </c>
      <c r="Q52" s="2"/>
      <c r="R52" s="7">
        <f t="shared" si="32"/>
        <v>2.4022843044820569E-2</v>
      </c>
      <c r="S52" s="2"/>
      <c r="T52" s="6">
        <v>400</v>
      </c>
      <c r="U52" s="2"/>
      <c r="V52" s="7">
        <f t="shared" si="33"/>
        <v>1.6E-2</v>
      </c>
      <c r="W52" s="2"/>
      <c r="X52" s="6">
        <f t="shared" si="34"/>
        <v>1029.4000000000001</v>
      </c>
      <c r="Y52" s="2"/>
      <c r="Z52" s="7">
        <f t="shared" si="35"/>
        <v>2.5735000000000001</v>
      </c>
    </row>
    <row r="53" spans="1:26" s="26" customFormat="1" outlineLevel="1" collapsed="1" x14ac:dyDescent="0.25">
      <c r="A53" s="25"/>
      <c r="B53" s="13" t="str">
        <f>CONCATENATE("     ","Depreciation                                      ")</f>
        <v xml:space="preserve">     Depreciation                                      </v>
      </c>
      <c r="C53" s="13"/>
      <c r="D53" s="1">
        <f>SUM(OSRRefD22_5x_0)</f>
        <v>255.35</v>
      </c>
      <c r="E53" s="1"/>
      <c r="F53" s="5">
        <f t="shared" si="28"/>
        <v>7.3075357907563592E-3</v>
      </c>
      <c r="G53" s="1"/>
      <c r="H53" s="1">
        <f>SUM(OSRRefH22_5x_0)</f>
        <v>269</v>
      </c>
      <c r="I53" s="1"/>
      <c r="J53" s="5">
        <f t="shared" si="29"/>
        <v>1.7933333333333332E-2</v>
      </c>
      <c r="K53" s="1"/>
      <c r="L53" s="1">
        <f t="shared" si="30"/>
        <v>-13.650000000000006</v>
      </c>
      <c r="M53" s="1"/>
      <c r="N53" s="5">
        <f t="shared" si="31"/>
        <v>-5.0743494423791842E-2</v>
      </c>
      <c r="O53" s="13"/>
      <c r="P53" s="1">
        <f>SUM(OSRRefP22_5x_0)</f>
        <v>510.7</v>
      </c>
      <c r="Q53" s="1"/>
      <c r="R53" s="5">
        <f t="shared" si="32"/>
        <v>8.5829480502237748E-3</v>
      </c>
      <c r="S53" s="1"/>
      <c r="T53" s="1">
        <f>SUM(OSRRefT22_5x_0)</f>
        <v>538</v>
      </c>
      <c r="U53" s="1"/>
      <c r="V53" s="5">
        <f t="shared" si="33"/>
        <v>2.1520000000000001E-2</v>
      </c>
      <c r="W53" s="1"/>
      <c r="X53" s="1">
        <f t="shared" si="34"/>
        <v>-27.300000000000011</v>
      </c>
      <c r="Y53" s="1"/>
      <c r="Z53" s="5">
        <f t="shared" si="35"/>
        <v>-5.0743494423791842E-2</v>
      </c>
    </row>
    <row r="54" spans="1:26" s="24" customFormat="1" hidden="1" outlineLevel="2" x14ac:dyDescent="0.25">
      <c r="A54" s="27"/>
      <c r="B54" s="11" t="str">
        <f>CONCATENATE("          ", "6322", " - ", "EQUIPMENT DEPRECIATION EXPENSE")</f>
        <v xml:space="preserve">          6322 - EQUIPMENT DEPRECIATION EXPENSE</v>
      </c>
      <c r="C54" s="11"/>
      <c r="D54" s="6">
        <v>255.35</v>
      </c>
      <c r="E54" s="2"/>
      <c r="F54" s="7">
        <f t="shared" si="28"/>
        <v>7.3075357907563592E-3</v>
      </c>
      <c r="G54" s="2"/>
      <c r="H54" s="6">
        <v>269</v>
      </c>
      <c r="I54" s="2"/>
      <c r="J54" s="7">
        <f t="shared" si="29"/>
        <v>1.7933333333333332E-2</v>
      </c>
      <c r="K54" s="2"/>
      <c r="L54" s="6">
        <f t="shared" si="30"/>
        <v>-13.650000000000006</v>
      </c>
      <c r="M54" s="2"/>
      <c r="N54" s="7">
        <f t="shared" si="31"/>
        <v>-5.0743494423791842E-2</v>
      </c>
      <c r="O54" s="11"/>
      <c r="P54" s="6">
        <v>510.7</v>
      </c>
      <c r="Q54" s="2"/>
      <c r="R54" s="7">
        <f t="shared" si="32"/>
        <v>8.5829480502237748E-3</v>
      </c>
      <c r="S54" s="2"/>
      <c r="T54" s="6">
        <v>538</v>
      </c>
      <c r="U54" s="2"/>
      <c r="V54" s="7">
        <f t="shared" si="33"/>
        <v>2.1520000000000001E-2</v>
      </c>
      <c r="W54" s="2"/>
      <c r="X54" s="6">
        <f t="shared" si="34"/>
        <v>-27.300000000000011</v>
      </c>
      <c r="Y54" s="2"/>
      <c r="Z54" s="7">
        <f t="shared" si="35"/>
        <v>-5.0743494423791842E-2</v>
      </c>
    </row>
    <row r="55" spans="1:26" s="26" customFormat="1" outlineLevel="1" collapsed="1" x14ac:dyDescent="0.25">
      <c r="A55" s="25"/>
      <c r="B55" s="13" t="str">
        <f>CONCATENATE("     ","Employees' Appreciation                           ")</f>
        <v xml:space="preserve">     Employees' Appreciation                           </v>
      </c>
      <c r="C55" s="13"/>
      <c r="D55" s="1">
        <f>SUM(OSRRefD22_6x_0)</f>
        <v>88.6</v>
      </c>
      <c r="E55" s="1"/>
      <c r="F55" s="5">
        <f t="shared" si="28"/>
        <v>2.5355303350734814E-3</v>
      </c>
      <c r="G55" s="1"/>
      <c r="H55" s="1">
        <f>SUM(OSRRefH22_6x_0)</f>
        <v>0</v>
      </c>
      <c r="I55" s="1"/>
      <c r="J55" s="5">
        <f t="shared" si="29"/>
        <v>0</v>
      </c>
      <c r="K55" s="1"/>
      <c r="L55" s="1">
        <f t="shared" si="30"/>
        <v>88.6</v>
      </c>
      <c r="M55" s="1"/>
      <c r="N55" s="5">
        <f t="shared" si="31"/>
        <v>0</v>
      </c>
      <c r="O55" s="13"/>
      <c r="P55" s="1">
        <f>SUM(OSRRefP22_6x_0)</f>
        <v>88.6</v>
      </c>
      <c r="Q55" s="1"/>
      <c r="R55" s="5">
        <f t="shared" si="32"/>
        <v>1.4890330864496307E-3</v>
      </c>
      <c r="S55" s="1"/>
      <c r="T55" s="1">
        <f>SUM(OSRRefT22_6x_0)</f>
        <v>0</v>
      </c>
      <c r="U55" s="1"/>
      <c r="V55" s="5">
        <f t="shared" si="33"/>
        <v>0</v>
      </c>
      <c r="W55" s="1"/>
      <c r="X55" s="1">
        <f t="shared" si="34"/>
        <v>88.6</v>
      </c>
      <c r="Y55" s="1"/>
      <c r="Z55" s="5">
        <f t="shared" si="35"/>
        <v>0</v>
      </c>
    </row>
    <row r="56" spans="1:26" s="24" customFormat="1" hidden="1" outlineLevel="2" x14ac:dyDescent="0.25">
      <c r="A56" s="27"/>
      <c r="B56" s="11" t="str">
        <f>CONCATENATE("          ", "6277", " - ", "EMPLOYEE APPRECIATION")</f>
        <v xml:space="preserve">          6277 - EMPLOYEE APPRECIATION</v>
      </c>
      <c r="C56" s="11"/>
      <c r="D56" s="6">
        <v>88.6</v>
      </c>
      <c r="E56" s="2"/>
      <c r="F56" s="7">
        <f t="shared" si="28"/>
        <v>2.5355303350734814E-3</v>
      </c>
      <c r="G56" s="2"/>
      <c r="H56" s="6"/>
      <c r="I56" s="2"/>
      <c r="J56" s="7">
        <f t="shared" si="29"/>
        <v>0</v>
      </c>
      <c r="K56" s="2"/>
      <c r="L56" s="6">
        <f t="shared" si="30"/>
        <v>88.6</v>
      </c>
      <c r="M56" s="2"/>
      <c r="N56" s="7">
        <f t="shared" si="31"/>
        <v>0</v>
      </c>
      <c r="O56" s="11"/>
      <c r="P56" s="6">
        <v>88.6</v>
      </c>
      <c r="Q56" s="2"/>
      <c r="R56" s="7">
        <f t="shared" si="32"/>
        <v>1.4890330864496307E-3</v>
      </c>
      <c r="S56" s="2"/>
      <c r="T56" s="6"/>
      <c r="U56" s="2"/>
      <c r="V56" s="7">
        <f t="shared" si="33"/>
        <v>0</v>
      </c>
      <c r="W56" s="2"/>
      <c r="X56" s="6">
        <f t="shared" si="34"/>
        <v>88.6</v>
      </c>
      <c r="Y56" s="2"/>
      <c r="Z56" s="7">
        <f t="shared" si="35"/>
        <v>0</v>
      </c>
    </row>
    <row r="57" spans="1:26" s="26" customFormat="1" outlineLevel="1" collapsed="1" x14ac:dyDescent="0.25">
      <c r="A57" s="25"/>
      <c r="B57" s="13" t="str">
        <f>CONCATENATE("     ","Equipment Rental                                  ")</f>
        <v xml:space="preserve">     Equipment Rental                                  </v>
      </c>
      <c r="C57" s="13"/>
      <c r="D57" s="1">
        <f>SUM(OSRRefD22_7x_0)</f>
        <v>350</v>
      </c>
      <c r="E57" s="1"/>
      <c r="F57" s="5">
        <f t="shared" si="28"/>
        <v>1.0016203355256416E-2</v>
      </c>
      <c r="G57" s="1"/>
      <c r="H57" s="1">
        <f>SUM(OSRRefH22_7x_0)</f>
        <v>0</v>
      </c>
      <c r="I57" s="1"/>
      <c r="J57" s="5">
        <f t="shared" si="29"/>
        <v>0</v>
      </c>
      <c r="K57" s="1"/>
      <c r="L57" s="1">
        <f t="shared" si="30"/>
        <v>350</v>
      </c>
      <c r="M57" s="1"/>
      <c r="N57" s="5">
        <f t="shared" si="31"/>
        <v>0</v>
      </c>
      <c r="O57" s="13"/>
      <c r="P57" s="1">
        <f>SUM(OSRRefP22_7x_0)</f>
        <v>350</v>
      </c>
      <c r="Q57" s="1"/>
      <c r="R57" s="5">
        <f t="shared" si="32"/>
        <v>5.8821848787513637E-3</v>
      </c>
      <c r="S57" s="1"/>
      <c r="T57" s="1">
        <f>SUM(OSRRefT22_7x_0)</f>
        <v>0</v>
      </c>
      <c r="U57" s="1"/>
      <c r="V57" s="5">
        <f t="shared" si="33"/>
        <v>0</v>
      </c>
      <c r="W57" s="1"/>
      <c r="X57" s="1">
        <f t="shared" si="34"/>
        <v>350</v>
      </c>
      <c r="Y57" s="1"/>
      <c r="Z57" s="5">
        <f t="shared" si="35"/>
        <v>0</v>
      </c>
    </row>
    <row r="58" spans="1:26" s="24" customFormat="1" hidden="1" outlineLevel="2" x14ac:dyDescent="0.25">
      <c r="A58" s="27"/>
      <c r="B58" s="11" t="str">
        <f>CONCATENATE("          ", "6351", " - ", "EQUIPMENT RENTAL")</f>
        <v xml:space="preserve">          6351 - EQUIPMENT RENTAL</v>
      </c>
      <c r="C58" s="11"/>
      <c r="D58" s="6">
        <v>350</v>
      </c>
      <c r="E58" s="2"/>
      <c r="F58" s="7">
        <f t="shared" si="28"/>
        <v>1.0016203355256416E-2</v>
      </c>
      <c r="G58" s="2"/>
      <c r="H58" s="6"/>
      <c r="I58" s="2"/>
      <c r="J58" s="7">
        <f t="shared" si="29"/>
        <v>0</v>
      </c>
      <c r="K58" s="2"/>
      <c r="L58" s="6">
        <f t="shared" si="30"/>
        <v>350</v>
      </c>
      <c r="M58" s="2"/>
      <c r="N58" s="7">
        <f t="shared" si="31"/>
        <v>0</v>
      </c>
      <c r="O58" s="11"/>
      <c r="P58" s="6">
        <v>350</v>
      </c>
      <c r="Q58" s="2"/>
      <c r="R58" s="7">
        <f t="shared" si="32"/>
        <v>5.8821848787513637E-3</v>
      </c>
      <c r="S58" s="2"/>
      <c r="T58" s="6"/>
      <c r="U58" s="2"/>
      <c r="V58" s="7">
        <f t="shared" si="33"/>
        <v>0</v>
      </c>
      <c r="W58" s="2"/>
      <c r="X58" s="6">
        <f t="shared" si="34"/>
        <v>350</v>
      </c>
      <c r="Y58" s="2"/>
      <c r="Z58" s="7">
        <f t="shared" si="35"/>
        <v>0</v>
      </c>
    </row>
    <row r="59" spans="1:26" s="26" customFormat="1" outlineLevel="1" collapsed="1" x14ac:dyDescent="0.25">
      <c r="A59" s="25"/>
      <c r="B59" s="13" t="str">
        <f>CONCATENATE("     ","General                                           ")</f>
        <v xml:space="preserve">     General                                           </v>
      </c>
      <c r="C59" s="13"/>
      <c r="D59" s="1">
        <f>SUM(OSRRefD22_8x_0)</f>
        <v>425</v>
      </c>
      <c r="E59" s="1"/>
      <c r="F59" s="5">
        <f t="shared" si="28"/>
        <v>1.2162532645668505E-2</v>
      </c>
      <c r="G59" s="1"/>
      <c r="H59" s="1">
        <f>SUM(OSRRefH22_8x_0)</f>
        <v>1200</v>
      </c>
      <c r="I59" s="1"/>
      <c r="J59" s="5">
        <f t="shared" si="29"/>
        <v>0.08</v>
      </c>
      <c r="K59" s="1"/>
      <c r="L59" s="1">
        <f t="shared" si="30"/>
        <v>-775</v>
      </c>
      <c r="M59" s="1"/>
      <c r="N59" s="5">
        <f t="shared" si="31"/>
        <v>-0.64583333333333337</v>
      </c>
      <c r="O59" s="13"/>
      <c r="P59" s="1">
        <f>SUM(OSRRefP22_8x_0)</f>
        <v>5398.49</v>
      </c>
      <c r="Q59" s="1"/>
      <c r="R59" s="5">
        <f t="shared" si="32"/>
        <v>9.072833213168699E-2</v>
      </c>
      <c r="S59" s="1"/>
      <c r="T59" s="1">
        <f>SUM(OSRRefT22_8x_0)</f>
        <v>1200</v>
      </c>
      <c r="U59" s="1"/>
      <c r="V59" s="5">
        <f t="shared" si="33"/>
        <v>4.8000000000000001E-2</v>
      </c>
      <c r="W59" s="1"/>
      <c r="X59" s="1">
        <f t="shared" si="34"/>
        <v>4198.49</v>
      </c>
      <c r="Y59" s="1"/>
      <c r="Z59" s="5">
        <f t="shared" si="35"/>
        <v>3.4987416666666666</v>
      </c>
    </row>
    <row r="60" spans="1:26" s="24" customFormat="1" hidden="1" outlineLevel="2" x14ac:dyDescent="0.25">
      <c r="A60" s="27"/>
      <c r="B60" s="11" t="str">
        <f>CONCATENATE("          ", "6279", " - ", "GENERAL EXPENSE")</f>
        <v xml:space="preserve">          6279 - GENERAL EXPENSE</v>
      </c>
      <c r="C60" s="11"/>
      <c r="D60" s="6">
        <v>425</v>
      </c>
      <c r="E60" s="2"/>
      <c r="F60" s="7">
        <f t="shared" si="28"/>
        <v>1.2162532645668505E-2</v>
      </c>
      <c r="G60" s="2"/>
      <c r="H60" s="6">
        <v>1200</v>
      </c>
      <c r="I60" s="2"/>
      <c r="J60" s="7">
        <f t="shared" si="29"/>
        <v>0.08</v>
      </c>
      <c r="K60" s="2"/>
      <c r="L60" s="6">
        <f t="shared" si="30"/>
        <v>-775</v>
      </c>
      <c r="M60" s="2"/>
      <c r="N60" s="7">
        <f t="shared" si="31"/>
        <v>-0.64583333333333337</v>
      </c>
      <c r="O60" s="11"/>
      <c r="P60" s="6">
        <v>5398.49</v>
      </c>
      <c r="Q60" s="2"/>
      <c r="R60" s="7">
        <f t="shared" si="32"/>
        <v>9.072833213168699E-2</v>
      </c>
      <c r="S60" s="2"/>
      <c r="T60" s="6">
        <v>1200</v>
      </c>
      <c r="U60" s="2"/>
      <c r="V60" s="7">
        <f t="shared" si="33"/>
        <v>4.8000000000000001E-2</v>
      </c>
      <c r="W60" s="2"/>
      <c r="X60" s="6">
        <f t="shared" si="34"/>
        <v>4198.49</v>
      </c>
      <c r="Y60" s="2"/>
      <c r="Z60" s="7">
        <f t="shared" si="35"/>
        <v>3.4987416666666666</v>
      </c>
    </row>
    <row r="61" spans="1:26" s="26" customFormat="1" outlineLevel="1" collapsed="1" x14ac:dyDescent="0.25">
      <c r="A61" s="25"/>
      <c r="B61" s="13" t="str">
        <f>CONCATENATE("     ","Repair and Maintenance                            ")</f>
        <v xml:space="preserve">     Repair and Maintenance                            </v>
      </c>
      <c r="C61" s="13"/>
      <c r="D61" s="1">
        <f>SUM(OSRRefD22_9x_0)</f>
        <v>0</v>
      </c>
      <c r="E61" s="1"/>
      <c r="F61" s="5">
        <f t="shared" si="28"/>
        <v>0</v>
      </c>
      <c r="G61" s="1"/>
      <c r="H61" s="1">
        <f>SUM(OSRRefH22_9x_0)</f>
        <v>1200</v>
      </c>
      <c r="I61" s="1"/>
      <c r="J61" s="5">
        <f t="shared" si="29"/>
        <v>0.08</v>
      </c>
      <c r="K61" s="1"/>
      <c r="L61" s="1">
        <f t="shared" si="30"/>
        <v>-1200</v>
      </c>
      <c r="M61" s="1"/>
      <c r="N61" s="5">
        <f t="shared" si="31"/>
        <v>-1</v>
      </c>
      <c r="O61" s="13"/>
      <c r="P61" s="1">
        <f>SUM(OSRRefP22_9x_0)</f>
        <v>838.95</v>
      </c>
      <c r="Q61" s="1"/>
      <c r="R61" s="5">
        <f t="shared" si="32"/>
        <v>1.4099597154367019E-2</v>
      </c>
      <c r="S61" s="1"/>
      <c r="T61" s="1">
        <f>SUM(OSRRefT22_9x_0)</f>
        <v>1200</v>
      </c>
      <c r="U61" s="1"/>
      <c r="V61" s="5">
        <f t="shared" si="33"/>
        <v>4.8000000000000001E-2</v>
      </c>
      <c r="W61" s="1"/>
      <c r="X61" s="1">
        <f t="shared" si="34"/>
        <v>-361.04999999999995</v>
      </c>
      <c r="Y61" s="1"/>
      <c r="Z61" s="5">
        <f t="shared" si="35"/>
        <v>-0.30087499999999995</v>
      </c>
    </row>
    <row r="62" spans="1:26" s="24" customFormat="1" hidden="1" outlineLevel="2" x14ac:dyDescent="0.25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28"/>
        <v>0</v>
      </c>
      <c r="G62" s="2"/>
      <c r="H62" s="6">
        <v>1200</v>
      </c>
      <c r="I62" s="2"/>
      <c r="J62" s="7">
        <f t="shared" si="29"/>
        <v>0.08</v>
      </c>
      <c r="K62" s="2"/>
      <c r="L62" s="6">
        <f t="shared" si="30"/>
        <v>-1200</v>
      </c>
      <c r="M62" s="2"/>
      <c r="N62" s="7">
        <f t="shared" si="31"/>
        <v>-1</v>
      </c>
      <c r="O62" s="11"/>
      <c r="P62" s="6">
        <v>838.95</v>
      </c>
      <c r="Q62" s="2"/>
      <c r="R62" s="7">
        <f t="shared" si="32"/>
        <v>1.4099597154367019E-2</v>
      </c>
      <c r="S62" s="2"/>
      <c r="T62" s="6">
        <v>1200</v>
      </c>
      <c r="U62" s="2"/>
      <c r="V62" s="7">
        <f t="shared" si="33"/>
        <v>4.8000000000000001E-2</v>
      </c>
      <c r="W62" s="2"/>
      <c r="X62" s="6">
        <f t="shared" si="34"/>
        <v>-361.04999999999995</v>
      </c>
      <c r="Y62" s="2"/>
      <c r="Z62" s="7">
        <f t="shared" si="35"/>
        <v>-0.30087499999999995</v>
      </c>
    </row>
    <row r="63" spans="1:26" s="26" customFormat="1" outlineLevel="1" collapsed="1" x14ac:dyDescent="0.25">
      <c r="A63" s="25"/>
      <c r="B63" s="13" t="str">
        <f>CONCATENATE("     ","Royalty &amp; Commissions                             ")</f>
        <v xml:space="preserve">     Royalty &amp; Commissions                             </v>
      </c>
      <c r="C63" s="13"/>
      <c r="D63" s="1">
        <f>SUM(OSRRefD22_10x_0)</f>
        <v>7022.42</v>
      </c>
      <c r="E63" s="1"/>
      <c r="F63" s="5">
        <f t="shared" si="28"/>
        <v>0.20096567647434219</v>
      </c>
      <c r="G63" s="1"/>
      <c r="H63" s="1">
        <f>SUM(OSRRefH22_10x_0)</f>
        <v>2000</v>
      </c>
      <c r="I63" s="1"/>
      <c r="J63" s="5">
        <f t="shared" si="29"/>
        <v>0.13333333333333333</v>
      </c>
      <c r="K63" s="1"/>
      <c r="L63" s="1">
        <f t="shared" si="30"/>
        <v>5022.42</v>
      </c>
      <c r="M63" s="1"/>
      <c r="N63" s="5">
        <f t="shared" si="31"/>
        <v>2.5112100000000002</v>
      </c>
      <c r="O63" s="13"/>
      <c r="P63" s="1">
        <f>SUM(OSRRefP22_10x_0)</f>
        <v>13377.08</v>
      </c>
      <c r="Q63" s="1"/>
      <c r="R63" s="5">
        <f t="shared" si="32"/>
        <v>0.22481845056527797</v>
      </c>
      <c r="S63" s="1"/>
      <c r="T63" s="1">
        <f>SUM(OSRRefT22_10x_0)</f>
        <v>2000</v>
      </c>
      <c r="U63" s="1"/>
      <c r="V63" s="5">
        <f t="shared" si="33"/>
        <v>0.08</v>
      </c>
      <c r="W63" s="1"/>
      <c r="X63" s="1">
        <f t="shared" si="34"/>
        <v>11377.08</v>
      </c>
      <c r="Y63" s="1"/>
      <c r="Z63" s="5">
        <f t="shared" si="35"/>
        <v>5.6885399999999997</v>
      </c>
    </row>
    <row r="64" spans="1:26" s="24" customFormat="1" hidden="1" outlineLevel="2" x14ac:dyDescent="0.25">
      <c r="A64" s="27"/>
      <c r="B64" s="11" t="str">
        <f>CONCATENATE("          ", "6253", " - ", "ROYALTY DUE ATHLETICS-LRG")</f>
        <v xml:space="preserve">          6253 - ROYALTY DUE ATHLETICS-LRG</v>
      </c>
      <c r="C64" s="11"/>
      <c r="D64" s="6"/>
      <c r="E64" s="2"/>
      <c r="F64" s="7">
        <f t="shared" si="28"/>
        <v>0</v>
      </c>
      <c r="G64" s="2"/>
      <c r="H64" s="6">
        <v>2000</v>
      </c>
      <c r="I64" s="2"/>
      <c r="J64" s="7">
        <f t="shared" si="29"/>
        <v>0.13333333333333333</v>
      </c>
      <c r="K64" s="2"/>
      <c r="L64" s="6">
        <f t="shared" si="30"/>
        <v>-2000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2000</v>
      </c>
      <c r="U64" s="2"/>
      <c r="V64" s="7">
        <f t="shared" si="33"/>
        <v>0.08</v>
      </c>
      <c r="W64" s="2"/>
      <c r="X64" s="6">
        <f t="shared" si="34"/>
        <v>-2000</v>
      </c>
      <c r="Y64" s="2"/>
      <c r="Z64" s="7">
        <f t="shared" si="35"/>
        <v>-1</v>
      </c>
    </row>
    <row r="65" spans="1:26" s="24" customFormat="1" hidden="1" outlineLevel="2" x14ac:dyDescent="0.25">
      <c r="A65" s="27"/>
      <c r="B65" s="11" t="str">
        <f>CONCATENATE("          ", "6254", " - ", "ROYALTY &amp; COMMISSIONS")</f>
        <v xml:space="preserve">          6254 - ROYALTY &amp; COMMISSIONS</v>
      </c>
      <c r="C65" s="11"/>
      <c r="D65" s="6">
        <v>7022.42</v>
      </c>
      <c r="E65" s="2"/>
      <c r="F65" s="7">
        <f t="shared" si="28"/>
        <v>0.20096567647434219</v>
      </c>
      <c r="G65" s="2"/>
      <c r="H65" s="6"/>
      <c r="I65" s="2"/>
      <c r="J65" s="7">
        <f t="shared" si="29"/>
        <v>0</v>
      </c>
      <c r="K65" s="2"/>
      <c r="L65" s="6">
        <f t="shared" si="30"/>
        <v>7022.42</v>
      </c>
      <c r="M65" s="2"/>
      <c r="N65" s="7">
        <f t="shared" si="31"/>
        <v>0</v>
      </c>
      <c r="O65" s="11"/>
      <c r="P65" s="6">
        <v>13377.08</v>
      </c>
      <c r="Q65" s="2"/>
      <c r="R65" s="7">
        <f t="shared" si="32"/>
        <v>0.22481845056527797</v>
      </c>
      <c r="S65" s="2"/>
      <c r="T65" s="6"/>
      <c r="U65" s="2"/>
      <c r="V65" s="7">
        <f t="shared" si="33"/>
        <v>0</v>
      </c>
      <c r="W65" s="2"/>
      <c r="X65" s="6">
        <f t="shared" si="34"/>
        <v>13377.08</v>
      </c>
      <c r="Y65" s="2"/>
      <c r="Z65" s="7">
        <f t="shared" si="35"/>
        <v>0</v>
      </c>
    </row>
    <row r="66" spans="1:26" s="26" customFormat="1" outlineLevel="1" collapsed="1" x14ac:dyDescent="0.25">
      <c r="A66" s="25"/>
      <c r="B66" s="13" t="str">
        <f>CONCATENATE("     ","Services                                          ")</f>
        <v xml:space="preserve">     Services                                          </v>
      </c>
      <c r="C66" s="13"/>
      <c r="D66" s="1">
        <f>SUM(OSRRefD22_11x_0)</f>
        <v>274.55</v>
      </c>
      <c r="E66" s="1"/>
      <c r="F66" s="5">
        <f t="shared" ref="F66:F68" si="36">IF(D$12=0,0,D66/D$12)</f>
        <v>7.8569960891018541E-3</v>
      </c>
      <c r="G66" s="1"/>
      <c r="H66" s="1">
        <f>SUM(OSRRefH22_11x_0)</f>
        <v>245</v>
      </c>
      <c r="I66" s="1"/>
      <c r="J66" s="5">
        <f t="shared" ref="J66:J68" si="37">IF(H$12=0,0,H66/H$12)</f>
        <v>1.6333333333333332E-2</v>
      </c>
      <c r="K66" s="1"/>
      <c r="L66" s="1">
        <f t="shared" ref="L66:L68" si="38">+D66-H66</f>
        <v>29.550000000000011</v>
      </c>
      <c r="M66" s="1"/>
      <c r="N66" s="5">
        <f t="shared" ref="N66:N68" si="39">IF(H66=0,0,L66/H66)</f>
        <v>0.12061224489795923</v>
      </c>
      <c r="O66" s="13"/>
      <c r="P66" s="1">
        <f>SUM(OSRRefP22_11x_0)</f>
        <v>508.48</v>
      </c>
      <c r="Q66" s="1"/>
      <c r="R66" s="5">
        <f t="shared" ref="R66:R68" si="40">IF(P$12=0,0,P66/P$12)</f>
        <v>8.5456381918499816E-3</v>
      </c>
      <c r="S66" s="1"/>
      <c r="T66" s="1">
        <f>SUM(OSRRefT22_11x_0)</f>
        <v>245</v>
      </c>
      <c r="U66" s="1"/>
      <c r="V66" s="5">
        <f t="shared" ref="V66:V68" si="41">IF(T$12=0,0,T66/T$12)</f>
        <v>9.7999999999999997E-3</v>
      </c>
      <c r="W66" s="1"/>
      <c r="X66" s="1">
        <f t="shared" ref="X66:X68" si="42">+P66-T66</f>
        <v>263.48</v>
      </c>
      <c r="Y66" s="1"/>
      <c r="Z66" s="5">
        <f t="shared" ref="Z66:Z68" si="43">IF(T66=0,0,X66/T66)</f>
        <v>1.0754285714285714</v>
      </c>
    </row>
    <row r="67" spans="1:26" s="24" customFormat="1" hidden="1" outlineLevel="2" x14ac:dyDescent="0.25">
      <c r="A67" s="27"/>
      <c r="B67" s="11" t="str">
        <f>CONCATENATE("          ", "6282", " - ", "JANITORIAL/EXTERMINATOR EXPENS")</f>
        <v xml:space="preserve">          6282 - JANITORIAL/EXTERMINATOR EXPENS</v>
      </c>
      <c r="C67" s="11"/>
      <c r="D67" s="6">
        <v>225.81</v>
      </c>
      <c r="E67" s="2"/>
      <c r="F67" s="7">
        <f t="shared" si="36"/>
        <v>6.4621682275727184E-3</v>
      </c>
      <c r="G67" s="2"/>
      <c r="H67" s="6">
        <v>195</v>
      </c>
      <c r="I67" s="2"/>
      <c r="J67" s="7">
        <f t="shared" si="37"/>
        <v>1.2999999999999999E-2</v>
      </c>
      <c r="K67" s="2"/>
      <c r="L67" s="6">
        <f t="shared" si="38"/>
        <v>30.810000000000002</v>
      </c>
      <c r="M67" s="2"/>
      <c r="N67" s="7">
        <f t="shared" si="39"/>
        <v>0.158</v>
      </c>
      <c r="O67" s="11"/>
      <c r="P67" s="6">
        <v>451.62</v>
      </c>
      <c r="Q67" s="2"/>
      <c r="R67" s="7">
        <f t="shared" si="40"/>
        <v>7.5900352426905458E-3</v>
      </c>
      <c r="S67" s="2"/>
      <c r="T67" s="6">
        <v>195</v>
      </c>
      <c r="U67" s="2"/>
      <c r="V67" s="7">
        <f t="shared" si="41"/>
        <v>7.7999999999999996E-3</v>
      </c>
      <c r="W67" s="2"/>
      <c r="X67" s="6">
        <f t="shared" si="42"/>
        <v>256.62</v>
      </c>
      <c r="Y67" s="2"/>
      <c r="Z67" s="7">
        <f t="shared" si="43"/>
        <v>1.3160000000000001</v>
      </c>
    </row>
    <row r="68" spans="1:26" s="24" customFormat="1" hidden="1" outlineLevel="2" x14ac:dyDescent="0.25">
      <c r="A68" s="27"/>
      <c r="B68" s="11" t="str">
        <f>CONCATENATE("          ", "6286", " - ", "LAUNDRY EXPENSE")</f>
        <v xml:space="preserve">          6286 - LAUNDRY EXPENSE</v>
      </c>
      <c r="C68" s="11"/>
      <c r="D68" s="6">
        <v>48.74</v>
      </c>
      <c r="E68" s="2"/>
      <c r="F68" s="7">
        <f t="shared" si="36"/>
        <v>1.3948278615291364E-3</v>
      </c>
      <c r="G68" s="2"/>
      <c r="H68" s="6">
        <v>50</v>
      </c>
      <c r="I68" s="2"/>
      <c r="J68" s="7">
        <f t="shared" si="37"/>
        <v>3.3333333333333335E-3</v>
      </c>
      <c r="K68" s="2"/>
      <c r="L68" s="6">
        <f t="shared" si="38"/>
        <v>-1.259999999999998</v>
      </c>
      <c r="M68" s="2"/>
      <c r="N68" s="7">
        <f t="shared" si="39"/>
        <v>-2.5199999999999959E-2</v>
      </c>
      <c r="O68" s="11"/>
      <c r="P68" s="6">
        <v>56.86</v>
      </c>
      <c r="Q68" s="2"/>
      <c r="R68" s="7">
        <f t="shared" si="40"/>
        <v>9.5560294915943578E-4</v>
      </c>
      <c r="S68" s="2"/>
      <c r="T68" s="6">
        <v>50</v>
      </c>
      <c r="U68" s="2"/>
      <c r="V68" s="7">
        <f t="shared" si="41"/>
        <v>2E-3</v>
      </c>
      <c r="W68" s="2"/>
      <c r="X68" s="6">
        <f t="shared" si="42"/>
        <v>6.8599999999999994</v>
      </c>
      <c r="Y68" s="2"/>
      <c r="Z68" s="7">
        <f t="shared" si="43"/>
        <v>0.13719999999999999</v>
      </c>
    </row>
    <row r="69" spans="1:26" s="26" customFormat="1" outlineLevel="1" collapsed="1" x14ac:dyDescent="0.25">
      <c r="A69" s="25"/>
      <c r="B69" s="13" t="str">
        <f>CONCATENATE("     ","Supplies                                          ")</f>
        <v xml:space="preserve">     Supplies                                          </v>
      </c>
      <c r="C69" s="13"/>
      <c r="D69" s="1">
        <f>SUM(OSRRefD22_12x_0)</f>
        <v>895.27</v>
      </c>
      <c r="E69" s="1"/>
      <c r="F69" s="5">
        <f t="shared" ref="F69:F73" si="44">IF(D$12=0,0,D69/D$12)</f>
        <v>2.5620589651029747E-2</v>
      </c>
      <c r="G69" s="1"/>
      <c r="H69" s="1">
        <f>SUM(OSRRefH22_12x_0)</f>
        <v>250</v>
      </c>
      <c r="I69" s="1"/>
      <c r="J69" s="5">
        <f t="shared" ref="J69:J73" si="45">IF(H$12=0,0,H69/H$12)</f>
        <v>1.6666666666666666E-2</v>
      </c>
      <c r="K69" s="1"/>
      <c r="L69" s="1">
        <f t="shared" ref="L69:L73" si="46">+D69-H69</f>
        <v>645.27</v>
      </c>
      <c r="M69" s="1"/>
      <c r="N69" s="5">
        <f t="shared" ref="N69:N73" si="47">IF(H69=0,0,L69/H69)</f>
        <v>2.58108</v>
      </c>
      <c r="O69" s="13"/>
      <c r="P69" s="1">
        <f>SUM(OSRRefP22_12x_0)</f>
        <v>2301.73</v>
      </c>
      <c r="Q69" s="1"/>
      <c r="R69" s="5">
        <f t="shared" ref="R69:R73" si="48">IF(P$12=0,0,P69/P$12)</f>
        <v>3.8683432574195362E-2</v>
      </c>
      <c r="S69" s="1"/>
      <c r="T69" s="1">
        <f>SUM(OSRRefT22_12x_0)</f>
        <v>1100</v>
      </c>
      <c r="U69" s="1"/>
      <c r="V69" s="5">
        <f t="shared" ref="V69:V73" si="49">IF(T$12=0,0,T69/T$12)</f>
        <v>4.3999999999999997E-2</v>
      </c>
      <c r="W69" s="1"/>
      <c r="X69" s="1">
        <f t="shared" ref="X69:X73" si="50">+P69-T69</f>
        <v>1201.73</v>
      </c>
      <c r="Y69" s="1"/>
      <c r="Z69" s="5">
        <f t="shared" ref="Z69:Z73" si="51">IF(T69=0,0,X69/T69)</f>
        <v>1.0924818181818181</v>
      </c>
    </row>
    <row r="70" spans="1:26" s="24" customFormat="1" hidden="1" outlineLevel="2" x14ac:dyDescent="0.25">
      <c r="A70" s="27"/>
      <c r="B70" s="11" t="str">
        <f>CONCATENATE("          ", "6239", " - ", "KITCHEN SUPPLIES")</f>
        <v xml:space="preserve">          6239 - KITCHEN SUPPLIES</v>
      </c>
      <c r="C70" s="11"/>
      <c r="D70" s="6">
        <v>291</v>
      </c>
      <c r="E70" s="2"/>
      <c r="F70" s="7">
        <f t="shared" si="44"/>
        <v>8.327757646798906E-3</v>
      </c>
      <c r="G70" s="2"/>
      <c r="H70" s="6"/>
      <c r="I70" s="2"/>
      <c r="J70" s="7">
        <f t="shared" si="45"/>
        <v>0</v>
      </c>
      <c r="K70" s="2"/>
      <c r="L70" s="6">
        <f t="shared" si="46"/>
        <v>291</v>
      </c>
      <c r="M70" s="2"/>
      <c r="N70" s="7">
        <f t="shared" si="47"/>
        <v>0</v>
      </c>
      <c r="O70" s="11"/>
      <c r="P70" s="6">
        <v>1639.63</v>
      </c>
      <c r="Q70" s="2"/>
      <c r="R70" s="7">
        <f t="shared" si="48"/>
        <v>2.7556019407848853E-2</v>
      </c>
      <c r="S70" s="2"/>
      <c r="T70" s="6"/>
      <c r="U70" s="2"/>
      <c r="V70" s="7">
        <f t="shared" si="49"/>
        <v>0</v>
      </c>
      <c r="W70" s="2"/>
      <c r="X70" s="6">
        <f t="shared" si="50"/>
        <v>1639.63</v>
      </c>
      <c r="Y70" s="2"/>
      <c r="Z70" s="7">
        <f t="shared" si="51"/>
        <v>0</v>
      </c>
    </row>
    <row r="71" spans="1:26" s="24" customFormat="1" hidden="1" outlineLevel="2" x14ac:dyDescent="0.25">
      <c r="A71" s="27"/>
      <c r="B71" s="11" t="str">
        <f>CONCATENATE("          ", "6241", " - ", "OFFICE EXPENSE")</f>
        <v xml:space="preserve">          6241 - OFFICE EXPENSE</v>
      </c>
      <c r="C71" s="11"/>
      <c r="D71" s="6">
        <v>304.27</v>
      </c>
      <c r="E71" s="2"/>
      <c r="F71" s="7">
        <f t="shared" si="44"/>
        <v>8.7075148425824842E-3</v>
      </c>
      <c r="G71" s="2"/>
      <c r="H71" s="6"/>
      <c r="I71" s="2"/>
      <c r="J71" s="7">
        <f t="shared" si="45"/>
        <v>0</v>
      </c>
      <c r="K71" s="2"/>
      <c r="L71" s="6">
        <f t="shared" si="46"/>
        <v>304.27</v>
      </c>
      <c r="M71" s="2"/>
      <c r="N71" s="7">
        <f t="shared" si="47"/>
        <v>0</v>
      </c>
      <c r="O71" s="11"/>
      <c r="P71" s="6">
        <v>362.1</v>
      </c>
      <c r="Q71" s="2"/>
      <c r="R71" s="7">
        <f t="shared" si="48"/>
        <v>6.0855404131310541E-3</v>
      </c>
      <c r="S71" s="2"/>
      <c r="T71" s="6"/>
      <c r="U71" s="2"/>
      <c r="V71" s="7">
        <f t="shared" si="49"/>
        <v>0</v>
      </c>
      <c r="W71" s="2"/>
      <c r="X71" s="6">
        <f t="shared" si="50"/>
        <v>362.1</v>
      </c>
      <c r="Y71" s="2"/>
      <c r="Z71" s="7">
        <f t="shared" si="51"/>
        <v>0</v>
      </c>
    </row>
    <row r="72" spans="1:26" s="24" customFormat="1" hidden="1" outlineLevel="2" x14ac:dyDescent="0.25">
      <c r="A72" s="27"/>
      <c r="B72" s="11" t="str">
        <f>CONCATENATE("          ", "6243", " - ", "PAPER SUPPLIES")</f>
        <v xml:space="preserve">          6243 - PAPER SUPPLIES</v>
      </c>
      <c r="C72" s="11"/>
      <c r="D72" s="6">
        <v>300</v>
      </c>
      <c r="E72" s="2"/>
      <c r="F72" s="7">
        <f t="shared" si="44"/>
        <v>8.5853171616483565E-3</v>
      </c>
      <c r="G72" s="2"/>
      <c r="H72" s="6">
        <v>250</v>
      </c>
      <c r="I72" s="2"/>
      <c r="J72" s="7">
        <f t="shared" si="45"/>
        <v>1.6666666666666666E-2</v>
      </c>
      <c r="K72" s="2"/>
      <c r="L72" s="6">
        <f t="shared" si="46"/>
        <v>50</v>
      </c>
      <c r="M72" s="2"/>
      <c r="N72" s="7">
        <f t="shared" si="47"/>
        <v>0.2</v>
      </c>
      <c r="O72" s="11"/>
      <c r="P72" s="6">
        <v>300</v>
      </c>
      <c r="Q72" s="2"/>
      <c r="R72" s="7">
        <f t="shared" si="48"/>
        <v>5.0418727532154546E-3</v>
      </c>
      <c r="S72" s="2"/>
      <c r="T72" s="6">
        <v>500</v>
      </c>
      <c r="U72" s="2"/>
      <c r="V72" s="7">
        <f t="shared" si="49"/>
        <v>0.02</v>
      </c>
      <c r="W72" s="2"/>
      <c r="X72" s="6">
        <f t="shared" si="50"/>
        <v>-200</v>
      </c>
      <c r="Y72" s="2"/>
      <c r="Z72" s="7">
        <f t="shared" si="51"/>
        <v>-0.4</v>
      </c>
    </row>
    <row r="73" spans="1:26" s="24" customFormat="1" hidden="1" outlineLevel="2" x14ac:dyDescent="0.25">
      <c r="A73" s="27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4"/>
        <v>0</v>
      </c>
      <c r="G73" s="2"/>
      <c r="H73" s="6"/>
      <c r="I73" s="2"/>
      <c r="J73" s="7">
        <f t="shared" si="45"/>
        <v>0</v>
      </c>
      <c r="K73" s="2"/>
      <c r="L73" s="6">
        <f t="shared" si="46"/>
        <v>0</v>
      </c>
      <c r="M73" s="2"/>
      <c r="N73" s="7">
        <f t="shared" si="47"/>
        <v>0</v>
      </c>
      <c r="O73" s="11"/>
      <c r="P73" s="6"/>
      <c r="Q73" s="2"/>
      <c r="R73" s="7">
        <f t="shared" si="48"/>
        <v>0</v>
      </c>
      <c r="S73" s="2"/>
      <c r="T73" s="6">
        <v>600</v>
      </c>
      <c r="U73" s="2"/>
      <c r="V73" s="7">
        <f t="shared" si="49"/>
        <v>2.4E-2</v>
      </c>
      <c r="W73" s="2"/>
      <c r="X73" s="6">
        <f t="shared" si="50"/>
        <v>-600</v>
      </c>
      <c r="Y73" s="2"/>
      <c r="Z73" s="7">
        <f t="shared" si="51"/>
        <v>-1</v>
      </c>
    </row>
    <row r="74" spans="1:26" s="26" customFormat="1" outlineLevel="1" collapsed="1" x14ac:dyDescent="0.25">
      <c r="A74" s="25"/>
      <c r="B74" s="13" t="str">
        <f>CONCATENATE("     ","Telephone/Data Lines                              ")</f>
        <v xml:space="preserve">     Telephone/Data Lines                              </v>
      </c>
      <c r="C74" s="13"/>
      <c r="D74" s="1">
        <f>SUM(OSRRefD22_13x_0)</f>
        <v>311.48</v>
      </c>
      <c r="E74" s="1"/>
      <c r="F74" s="5">
        <f t="shared" ref="F74:F76" si="52">IF(D$12=0,0,D74/D$12)</f>
        <v>8.9138486317007683E-3</v>
      </c>
      <c r="G74" s="1"/>
      <c r="H74" s="1">
        <f>SUM(OSRRefH22_13x_0)</f>
        <v>50</v>
      </c>
      <c r="I74" s="1"/>
      <c r="J74" s="5">
        <f t="shared" ref="J74:J76" si="53">IF(H$12=0,0,H74/H$12)</f>
        <v>3.3333333333333335E-3</v>
      </c>
      <c r="K74" s="1"/>
      <c r="L74" s="1">
        <f t="shared" ref="L74:L76" si="54">+D74-H74</f>
        <v>261.48</v>
      </c>
      <c r="M74" s="1"/>
      <c r="N74" s="5">
        <f t="shared" ref="N74:N76" si="55">IF(H74=0,0,L74/H74)</f>
        <v>5.2296000000000005</v>
      </c>
      <c r="O74" s="13"/>
      <c r="P74" s="1">
        <f>SUM(OSRRefP22_13x_0)</f>
        <v>532.91</v>
      </c>
      <c r="Q74" s="1"/>
      <c r="R74" s="5">
        <f t="shared" ref="R74:R76" si="56">IF(P$12=0,0,P74/P$12)</f>
        <v>8.9562146963868255E-3</v>
      </c>
      <c r="S74" s="1"/>
      <c r="T74" s="1">
        <f>SUM(OSRRefT22_13x_0)</f>
        <v>50</v>
      </c>
      <c r="U74" s="1"/>
      <c r="V74" s="5">
        <f t="shared" ref="V74:V76" si="57">IF(T$12=0,0,T74/T$12)</f>
        <v>2E-3</v>
      </c>
      <c r="W74" s="1"/>
      <c r="X74" s="1">
        <f t="shared" ref="X74:X76" si="58">+P74-T74</f>
        <v>482.90999999999997</v>
      </c>
      <c r="Y74" s="1"/>
      <c r="Z74" s="5">
        <f t="shared" ref="Z74:Z76" si="59">IF(T74=0,0,X74/T74)</f>
        <v>9.658199999999999</v>
      </c>
    </row>
    <row r="75" spans="1:26" s="24" customFormat="1" hidden="1" outlineLevel="2" x14ac:dyDescent="0.25">
      <c r="A75" s="27"/>
      <c r="B75" s="11" t="str">
        <f>CONCATENATE("          ", "6303", " - ", "DATA PHONE LINES")</f>
        <v xml:space="preserve">          6303 - DATA PHONE LINES</v>
      </c>
      <c r="C75" s="11"/>
      <c r="D75" s="6"/>
      <c r="E75" s="2"/>
      <c r="F75" s="7">
        <f t="shared" si="52"/>
        <v>0</v>
      </c>
      <c r="G75" s="2"/>
      <c r="H75" s="6">
        <v>50</v>
      </c>
      <c r="I75" s="2"/>
      <c r="J75" s="7">
        <f t="shared" si="53"/>
        <v>3.3333333333333335E-3</v>
      </c>
      <c r="K75" s="2"/>
      <c r="L75" s="6">
        <f t="shared" si="54"/>
        <v>-50</v>
      </c>
      <c r="M75" s="2"/>
      <c r="N75" s="7">
        <f t="shared" si="55"/>
        <v>-1</v>
      </c>
      <c r="O75" s="11"/>
      <c r="P75" s="6"/>
      <c r="Q75" s="2"/>
      <c r="R75" s="7">
        <f t="shared" si="56"/>
        <v>0</v>
      </c>
      <c r="S75" s="2"/>
      <c r="T75" s="6">
        <v>50</v>
      </c>
      <c r="U75" s="2"/>
      <c r="V75" s="7">
        <f t="shared" si="57"/>
        <v>2E-3</v>
      </c>
      <c r="W75" s="2"/>
      <c r="X75" s="6">
        <f t="shared" si="58"/>
        <v>-50</v>
      </c>
      <c r="Y75" s="2"/>
      <c r="Z75" s="7">
        <f t="shared" si="59"/>
        <v>-1</v>
      </c>
    </row>
    <row r="76" spans="1:26" s="24" customFormat="1" hidden="1" outlineLevel="2" x14ac:dyDescent="0.25">
      <c r="A76" s="27"/>
      <c r="B76" s="11" t="str">
        <f>CONCATENATE("          ", "6309", " - ", "TELEPHONE")</f>
        <v xml:space="preserve">          6309 - TELEPHONE</v>
      </c>
      <c r="C76" s="11"/>
      <c r="D76" s="6">
        <v>311.48</v>
      </c>
      <c r="E76" s="2"/>
      <c r="F76" s="7">
        <f t="shared" si="52"/>
        <v>8.9138486317007683E-3</v>
      </c>
      <c r="G76" s="2"/>
      <c r="H76" s="6"/>
      <c r="I76" s="2"/>
      <c r="J76" s="7">
        <f t="shared" si="53"/>
        <v>0</v>
      </c>
      <c r="K76" s="2"/>
      <c r="L76" s="6">
        <f t="shared" si="54"/>
        <v>311.48</v>
      </c>
      <c r="M76" s="2"/>
      <c r="N76" s="7">
        <f t="shared" si="55"/>
        <v>0</v>
      </c>
      <c r="O76" s="11"/>
      <c r="P76" s="6">
        <v>532.91</v>
      </c>
      <c r="Q76" s="2"/>
      <c r="R76" s="7">
        <f t="shared" si="56"/>
        <v>8.9562146963868255E-3</v>
      </c>
      <c r="S76" s="2"/>
      <c r="T76" s="6"/>
      <c r="U76" s="2"/>
      <c r="V76" s="7">
        <f t="shared" si="57"/>
        <v>0</v>
      </c>
      <c r="W76" s="2"/>
      <c r="X76" s="6">
        <f t="shared" si="58"/>
        <v>532.91</v>
      </c>
      <c r="Y76" s="2"/>
      <c r="Z76" s="7">
        <f t="shared" si="59"/>
        <v>0</v>
      </c>
    </row>
    <row r="77" spans="1:26" s="26" customFormat="1" outlineLevel="1" collapsed="1" x14ac:dyDescent="0.25">
      <c r="A77" s="25"/>
      <c r="B77" s="13" t="str">
        <f>CONCATENATE("     ","Training                                          ")</f>
        <v xml:space="preserve">     Training                                          </v>
      </c>
      <c r="C77" s="13"/>
      <c r="D77" s="1">
        <f>SUM(OSRRefD22_14x_0)</f>
        <v>0</v>
      </c>
      <c r="E77" s="1"/>
      <c r="F77" s="5">
        <f t="shared" ref="F77:F78" si="60">IF(D$12=0,0,D77/D$12)</f>
        <v>0</v>
      </c>
      <c r="G77" s="1"/>
      <c r="H77" s="1">
        <f>SUM(OSRRefH22_14x_0)</f>
        <v>0</v>
      </c>
      <c r="I77" s="1"/>
      <c r="J77" s="5">
        <f t="shared" ref="J77:J78" si="61">IF(H$12=0,0,H77/H$12)</f>
        <v>0</v>
      </c>
      <c r="K77" s="1"/>
      <c r="L77" s="1">
        <f t="shared" ref="L77:L78" si="62">+D77-H77</f>
        <v>0</v>
      </c>
      <c r="M77" s="1"/>
      <c r="N77" s="5">
        <f t="shared" ref="N77:N78" si="63">IF(H77=0,0,L77/H77)</f>
        <v>0</v>
      </c>
      <c r="O77" s="13"/>
      <c r="P77" s="1">
        <f>SUM(OSRRefP22_14x_0)</f>
        <v>152.94999999999999</v>
      </c>
      <c r="Q77" s="1"/>
      <c r="R77" s="5">
        <f t="shared" ref="R77:R78" si="64">IF(P$12=0,0,P77/P$12)</f>
        <v>2.5705147920143459E-3</v>
      </c>
      <c r="S77" s="1"/>
      <c r="T77" s="1">
        <f>SUM(OSRRefT22_14x_0)</f>
        <v>500</v>
      </c>
      <c r="U77" s="1"/>
      <c r="V77" s="5">
        <f t="shared" ref="V77:V78" si="65">IF(T$12=0,0,T77/T$12)</f>
        <v>0.02</v>
      </c>
      <c r="W77" s="1"/>
      <c r="X77" s="1">
        <f t="shared" ref="X77:X78" si="66">+P77-T77</f>
        <v>-347.05</v>
      </c>
      <c r="Y77" s="1"/>
      <c r="Z77" s="5">
        <f t="shared" ref="Z77:Z78" si="67">IF(T77=0,0,X77/T77)</f>
        <v>-0.69410000000000005</v>
      </c>
    </row>
    <row r="78" spans="1:26" s="24" customFormat="1" hidden="1" outlineLevel="2" x14ac:dyDescent="0.25">
      <c r="A78" s="27"/>
      <c r="B78" s="11" t="str">
        <f>CONCATENATE("          ", "6376", " - ", "TRAINING")</f>
        <v xml:space="preserve">          6376 - TRAINING</v>
      </c>
      <c r="C78" s="11"/>
      <c r="D78" s="6"/>
      <c r="E78" s="2"/>
      <c r="F78" s="7">
        <f t="shared" si="60"/>
        <v>0</v>
      </c>
      <c r="G78" s="2"/>
      <c r="H78" s="6"/>
      <c r="I78" s="2"/>
      <c r="J78" s="7">
        <f t="shared" si="61"/>
        <v>0</v>
      </c>
      <c r="K78" s="2"/>
      <c r="L78" s="6">
        <f t="shared" si="62"/>
        <v>0</v>
      </c>
      <c r="M78" s="2"/>
      <c r="N78" s="7">
        <f t="shared" si="63"/>
        <v>0</v>
      </c>
      <c r="O78" s="11"/>
      <c r="P78" s="6">
        <v>152.94999999999999</v>
      </c>
      <c r="Q78" s="2"/>
      <c r="R78" s="7">
        <f t="shared" si="64"/>
        <v>2.5705147920143459E-3</v>
      </c>
      <c r="S78" s="2"/>
      <c r="T78" s="6">
        <v>500</v>
      </c>
      <c r="U78" s="2"/>
      <c r="V78" s="7">
        <f t="shared" si="65"/>
        <v>0.02</v>
      </c>
      <c r="W78" s="2"/>
      <c r="X78" s="6">
        <f t="shared" si="66"/>
        <v>-347.05</v>
      </c>
      <c r="Y78" s="2"/>
      <c r="Z78" s="7">
        <f t="shared" si="67"/>
        <v>-0.69410000000000005</v>
      </c>
    </row>
    <row r="79" spans="1:26" s="63" customFormat="1" x14ac:dyDescent="0.25">
      <c r="A79" s="36"/>
      <c r="B79" s="36"/>
      <c r="C79" s="36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6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25">
      <c r="A80" s="10"/>
      <c r="B80" s="28" t="s">
        <v>0</v>
      </c>
      <c r="C80" s="10"/>
      <c r="D80" s="4">
        <f>SUM(OSRRefD25x_0)</f>
        <v>0</v>
      </c>
      <c r="E80" s="4"/>
      <c r="F80" s="12">
        <f t="shared" ref="F80:F81" si="68">IF(D$12=0,0,D80/D$12)</f>
        <v>0</v>
      </c>
      <c r="G80" s="4"/>
      <c r="H80" s="4">
        <f>SUM(OSRRefH25x_0)</f>
        <v>0</v>
      </c>
      <c r="I80" s="4"/>
      <c r="J80" s="12">
        <f t="shared" ref="J80:J81" si="69">IF(H$12=0,0,H80/H$12)</f>
        <v>0</v>
      </c>
      <c r="K80" s="4"/>
      <c r="L80" s="4">
        <f t="shared" ref="L80:L81" si="70">+D80-H80</f>
        <v>0</v>
      </c>
      <c r="M80" s="4"/>
      <c r="N80" s="12">
        <f t="shared" ref="N80:N81" si="71">IF(H80=0,0,L80/H80)</f>
        <v>0</v>
      </c>
      <c r="O80" s="10"/>
      <c r="P80" s="4">
        <f>SUM(OSRRefP25x_0)</f>
        <v>29281.48</v>
      </c>
      <c r="Q80" s="4"/>
      <c r="R80" s="12">
        <f t="shared" ref="R80:R81" si="72">IF(P$12=0,0,P80/P$12)</f>
        <v>0.4921116539527442</v>
      </c>
      <c r="S80" s="4"/>
      <c r="T80" s="4">
        <f>SUM(OSRRefT25x_0)</f>
        <v>2050</v>
      </c>
      <c r="U80" s="4"/>
      <c r="V80" s="12">
        <f t="shared" ref="V80:V81" si="73">IF(T$12=0,0,T80/T$12)</f>
        <v>8.2000000000000003E-2</v>
      </c>
      <c r="W80" s="4"/>
      <c r="X80" s="4">
        <f t="shared" ref="X80:X81" si="74">+P80-T80</f>
        <v>27231.48</v>
      </c>
      <c r="Y80" s="4"/>
      <c r="Z80" s="12">
        <f t="shared" ref="Z80:Z81" si="75">IF(T80=0,0,X80/T80)</f>
        <v>13.283648780487805</v>
      </c>
    </row>
    <row r="81" spans="1:26" s="24" customFormat="1" hidden="1" outlineLevel="1" x14ac:dyDescent="0.25">
      <c r="A81" s="46"/>
      <c r="B81" s="11" t="str">
        <f>CONCATENATE("          ", "9150", " - ", "MISC. INCOME")</f>
        <v xml:space="preserve">          9150 - MISC. INCOME</v>
      </c>
      <c r="C81" s="11"/>
      <c r="D81" s="2">
        <f>0</f>
        <v>0</v>
      </c>
      <c r="E81" s="2"/>
      <c r="F81" s="21">
        <f t="shared" si="68"/>
        <v>0</v>
      </c>
      <c r="G81" s="2"/>
      <c r="H81" s="2"/>
      <c r="I81" s="2"/>
      <c r="J81" s="21">
        <f t="shared" si="69"/>
        <v>0</v>
      </c>
      <c r="K81" s="2"/>
      <c r="L81" s="2">
        <f t="shared" si="70"/>
        <v>0</v>
      </c>
      <c r="M81" s="2"/>
      <c r="N81" s="21">
        <f t="shared" si="71"/>
        <v>0</v>
      </c>
      <c r="O81" s="11"/>
      <c r="P81" s="2">
        <f>--29281.48</f>
        <v>29281.48</v>
      </c>
      <c r="Q81" s="2"/>
      <c r="R81" s="21">
        <f t="shared" si="72"/>
        <v>0.4921116539527442</v>
      </c>
      <c r="S81" s="2"/>
      <c r="T81" s="2">
        <v>2050</v>
      </c>
      <c r="U81" s="2"/>
      <c r="V81" s="21">
        <f t="shared" si="73"/>
        <v>8.2000000000000003E-2</v>
      </c>
      <c r="W81" s="2"/>
      <c r="X81" s="2">
        <f t="shared" si="74"/>
        <v>27231.48</v>
      </c>
      <c r="Y81" s="2"/>
      <c r="Z81" s="21">
        <f t="shared" si="75"/>
        <v>13.283648780487805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9" t="s">
        <v>3</v>
      </c>
      <c r="C83" s="29"/>
      <c r="D83" s="22">
        <f>+D23-D25+D80</f>
        <v>899.02000000000407</v>
      </c>
      <c r="E83" s="14"/>
      <c r="F83" s="20">
        <f>IF(D$12=0,0,D83/D$12)</f>
        <v>2.572790611555047E-2</v>
      </c>
      <c r="G83" s="14"/>
      <c r="H83" s="22">
        <f>+H23-H25+H80</f>
        <v>-6584.4306499999948</v>
      </c>
      <c r="I83" s="14"/>
      <c r="J83" s="20">
        <f>IF(H$12=0,0,H83/H$12)</f>
        <v>-0.438962043333333</v>
      </c>
      <c r="K83" s="15"/>
      <c r="L83" s="22">
        <f>+D83-H83</f>
        <v>7483.4506499999989</v>
      </c>
      <c r="M83" s="15"/>
      <c r="N83" s="20">
        <f>IF(H83=0,0,L83/H83)</f>
        <v>-1.1365372418342663</v>
      </c>
      <c r="O83" s="28"/>
      <c r="P83" s="22">
        <f>+P23-P25+P80</f>
        <v>22866.2</v>
      </c>
      <c r="Q83" s="14"/>
      <c r="R83" s="20">
        <f>IF(P$12=0,0,P83/P$12)</f>
        <v>0.38429490249858411</v>
      </c>
      <c r="S83" s="14"/>
      <c r="T83" s="22">
        <f>+T23-T25+T80</f>
        <v>-10292.665699999998</v>
      </c>
      <c r="U83" s="14"/>
      <c r="V83" s="20">
        <f>IF(T$12=0,0,T83/T$12)</f>
        <v>-0.41170662799999991</v>
      </c>
      <c r="W83" s="15"/>
      <c r="X83" s="22">
        <f>+P83-T83</f>
        <v>33158.865699999995</v>
      </c>
      <c r="Y83" s="15"/>
      <c r="Z83" s="20">
        <f>IF(T83=0,0,X83/T83)</f>
        <v>-3.2216013486185608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14</v>
      </c>
      <c r="C85" s="10"/>
      <c r="D85" s="4">
        <v>2312.38</v>
      </c>
      <c r="E85" s="4"/>
      <c r="F85" s="12">
        <f>IF(D$12=0,0,D85/D$12)</f>
        <v>6.6175052327508088E-2</v>
      </c>
      <c r="G85" s="4"/>
      <c r="H85" s="4">
        <v>1623</v>
      </c>
      <c r="I85" s="4"/>
      <c r="J85" s="12">
        <f>IF(H$12=0,0,H85/H$12)</f>
        <v>0.1082</v>
      </c>
      <c r="K85" s="4"/>
      <c r="L85" s="4">
        <f>+D85-H85</f>
        <v>689.38000000000011</v>
      </c>
      <c r="M85" s="4"/>
      <c r="N85" s="12">
        <f>IF(H85=0,0,L85/H85)</f>
        <v>0.42475662353666055</v>
      </c>
      <c r="O85" s="10"/>
      <c r="P85" s="4">
        <v>7418.78</v>
      </c>
      <c r="Q85" s="4"/>
      <c r="R85" s="12">
        <f>IF(P$12=0,0,P85/P$12)</f>
        <v>0.12468181581366583</v>
      </c>
      <c r="S85" s="4"/>
      <c r="T85" s="4">
        <v>4060</v>
      </c>
      <c r="U85" s="4"/>
      <c r="V85" s="12">
        <f>IF(T$12=0,0,T85/T$12)</f>
        <v>0.16239999999999999</v>
      </c>
      <c r="W85" s="4"/>
      <c r="X85" s="4">
        <f>+P85-T85</f>
        <v>3358.7799999999997</v>
      </c>
      <c r="Y85" s="4"/>
      <c r="Z85" s="12">
        <f>IF(T85=0,0,X85/T85)</f>
        <v>0.82728571428571418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9" t="s">
        <v>4</v>
      </c>
      <c r="C87" s="29"/>
      <c r="D87" s="31">
        <f>+D83-D85</f>
        <v>-1413.359999999996</v>
      </c>
      <c r="E87" s="14"/>
      <c r="F87" s="32">
        <f>IF(D$12=0,0,D87/D$12)</f>
        <v>-4.0447146211957628E-2</v>
      </c>
      <c r="G87" s="14"/>
      <c r="H87" s="31">
        <f>+H83-H85</f>
        <v>-8207.4306499999948</v>
      </c>
      <c r="I87" s="14"/>
      <c r="J87" s="32">
        <f>IF(H$12=0,0,H87/H$12)</f>
        <v>-0.54716204333333296</v>
      </c>
      <c r="K87" s="15"/>
      <c r="L87" s="31">
        <f>D87-H87</f>
        <v>6794.0706499999987</v>
      </c>
      <c r="M87" s="15"/>
      <c r="N87" s="32">
        <f>IF(H87=0,0,L87/H87)</f>
        <v>-0.82779507250542572</v>
      </c>
      <c r="O87" s="28"/>
      <c r="P87" s="31">
        <f>+P83-P85</f>
        <v>15447.420000000002</v>
      </c>
      <c r="Q87" s="14"/>
      <c r="R87" s="32">
        <f>IF(P$12=0,0,P87/P$12)</f>
        <v>0.25961308668491828</v>
      </c>
      <c r="S87" s="14"/>
      <c r="T87" s="31">
        <f>+T83-T85</f>
        <v>-14352.665699999998</v>
      </c>
      <c r="U87" s="14"/>
      <c r="V87" s="32">
        <f>IF(T$12=0,0,T87/T$12)</f>
        <v>-0.5741066279999999</v>
      </c>
      <c r="W87" s="15"/>
      <c r="X87" s="31">
        <f>P87-T87</f>
        <v>29800.0857</v>
      </c>
      <c r="Y87" s="15"/>
      <c r="Z87" s="32">
        <f>IF(T87=0,0,X87/T87)</f>
        <v>-2.0762753291188272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9" t="s">
        <v>5</v>
      </c>
      <c r="C90" s="29"/>
      <c r="D90" s="33">
        <f>SUM(D87:D89)</f>
        <v>-1413.359999999996</v>
      </c>
      <c r="E90" s="14"/>
      <c r="F90" s="35">
        <f>IF(D$12=0,0,D90/D$12)</f>
        <v>-4.0447146211957628E-2</v>
      </c>
      <c r="G90" s="14"/>
      <c r="H90" s="33">
        <f>SUM(H87:H89)</f>
        <v>-8207.4306499999948</v>
      </c>
      <c r="I90" s="14"/>
      <c r="J90" s="35">
        <f>IF(H$12=0,0,H90/H$12)</f>
        <v>-0.54716204333333296</v>
      </c>
      <c r="K90" s="15"/>
      <c r="L90" s="33">
        <f>+D90-H90</f>
        <v>6794.0706499999987</v>
      </c>
      <c r="M90" s="15"/>
      <c r="N90" s="35">
        <f>IF(H90=0,0,L90/H90)</f>
        <v>-0.82779507250542572</v>
      </c>
      <c r="O90" s="28"/>
      <c r="P90" s="33">
        <f>SUM(P87:P89)</f>
        <v>15447.420000000002</v>
      </c>
      <c r="Q90" s="14"/>
      <c r="R90" s="35">
        <f>IF(P$12=0,0,P90/P$12)</f>
        <v>0.25961308668491828</v>
      </c>
      <c r="S90" s="14"/>
      <c r="T90" s="33">
        <f>SUM(T87:T89)</f>
        <v>-14352.665699999998</v>
      </c>
      <c r="U90" s="14"/>
      <c r="V90" s="35">
        <f>IF(T$12=0,0,T90/T$12)</f>
        <v>-0.5741066279999999</v>
      </c>
      <c r="W90" s="15"/>
      <c r="X90" s="33">
        <f>+P90-T90</f>
        <v>29800.0857</v>
      </c>
      <c r="Y90" s="15"/>
      <c r="Z90" s="35">
        <f>IF(T90=0,0,X90/T90)</f>
        <v>-2.0762753291188272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25">
      <c r="A92" s="9"/>
      <c r="B92" s="61">
        <v>43732.706495104168</v>
      </c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25">
      <c r="A93" s="9"/>
      <c r="B93" s="62" t="s">
        <v>314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25">
      <c r="A94" s="9"/>
      <c r="B94" s="58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25"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","455", " - ", "Vending")</f>
        <v>Department 455 - Vending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6002.81</v>
      </c>
      <c r="E18" s="19"/>
      <c r="F18" s="34">
        <f t="shared" ref="F18:F27" si="0">IF(D$12=0,0,D18/D$12)</f>
        <v>0</v>
      </c>
      <c r="G18" s="19"/>
      <c r="H18" s="19">
        <f>SUM(OSRRefH22x_0)</f>
        <v>5329.3879716076881</v>
      </c>
      <c r="I18" s="19"/>
      <c r="J18" s="34">
        <f t="shared" ref="J18:J27" si="1">IF(H$12=0,0,H18/H$12)</f>
        <v>0</v>
      </c>
      <c r="K18" s="4"/>
      <c r="L18" s="19">
        <f t="shared" ref="L18:L27" si="2">+D18-H18</f>
        <v>673.42202839231231</v>
      </c>
      <c r="M18" s="4"/>
      <c r="N18" s="34">
        <f t="shared" ref="N18:N27" si="3">IF(H18=0,0,L18/H18)</f>
        <v>0.12636010588457208</v>
      </c>
      <c r="O18" s="10"/>
      <c r="P18" s="19">
        <f>SUM(OSRRefP22x_0)</f>
        <v>16117.699999999999</v>
      </c>
      <c r="Q18" s="19"/>
      <c r="R18" s="34">
        <f t="shared" ref="R18:R27" si="4">IF(P$12=0,0,P18/P$12)</f>
        <v>0</v>
      </c>
      <c r="S18" s="19"/>
      <c r="T18" s="19">
        <f>SUM(OSRRefT22x_0)</f>
        <v>11991.122936117301</v>
      </c>
      <c r="U18" s="19"/>
      <c r="V18" s="34">
        <f t="shared" ref="V18:V27" si="5">IF(T$12=0,0,T18/T$12)</f>
        <v>0</v>
      </c>
      <c r="W18" s="4"/>
      <c r="X18" s="19">
        <f t="shared" ref="X18:X27" si="6">+P18-T18</f>
        <v>4126.577063882698</v>
      </c>
      <c r="Y18" s="4"/>
      <c r="Z18" s="34">
        <f t="shared" ref="Z18:Z27" si="7">IF(T18=0,0,X18/T18)</f>
        <v>0.34413599842708931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2572.2600000000002</v>
      </c>
      <c r="E19" s="1"/>
      <c r="F19" s="5">
        <f t="shared" si="0"/>
        <v>0</v>
      </c>
      <c r="G19" s="1"/>
      <c r="H19" s="1">
        <f>SUM(OSRRefH22_0x_0)</f>
        <v>1212.7235869923079</v>
      </c>
      <c r="I19" s="1"/>
      <c r="J19" s="5">
        <f t="shared" si="1"/>
        <v>0</v>
      </c>
      <c r="K19" s="1"/>
      <c r="L19" s="1">
        <f t="shared" si="2"/>
        <v>1359.5364130076923</v>
      </c>
      <c r="M19" s="1"/>
      <c r="N19" s="5">
        <f t="shared" si="3"/>
        <v>1.1210604193652214</v>
      </c>
      <c r="O19" s="13"/>
      <c r="P19" s="1">
        <f>SUM(OSRRefP22_0x_0)</f>
        <v>6969.07</v>
      </c>
      <c r="Q19" s="1"/>
      <c r="R19" s="5">
        <f t="shared" si="4"/>
        <v>0</v>
      </c>
      <c r="S19" s="1"/>
      <c r="T19" s="1">
        <f>SUM(OSRRefT22_0x_0)</f>
        <v>2728.6280707326919</v>
      </c>
      <c r="U19" s="1"/>
      <c r="V19" s="5">
        <f t="shared" si="5"/>
        <v>0</v>
      </c>
      <c r="W19" s="1"/>
      <c r="X19" s="1">
        <f t="shared" si="6"/>
        <v>4240.4419292673083</v>
      </c>
      <c r="Y19" s="1"/>
      <c r="Z19" s="5">
        <f t="shared" si="7"/>
        <v>1.5540564046637049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349.92</v>
      </c>
      <c r="E20" s="2"/>
      <c r="F20" s="7">
        <f t="shared" si="0"/>
        <v>0</v>
      </c>
      <c r="G20" s="2"/>
      <c r="H20" s="6">
        <v>350.05369483846198</v>
      </c>
      <c r="I20" s="2"/>
      <c r="J20" s="7">
        <f t="shared" si="1"/>
        <v>0</v>
      </c>
      <c r="K20" s="2"/>
      <c r="L20" s="6">
        <f t="shared" si="2"/>
        <v>-0.13369483846196317</v>
      </c>
      <c r="M20" s="2"/>
      <c r="N20" s="7">
        <f t="shared" si="3"/>
        <v>-3.8192665991901287E-4</v>
      </c>
      <c r="O20" s="11"/>
      <c r="P20" s="6">
        <v>699.84</v>
      </c>
      <c r="Q20" s="2"/>
      <c r="R20" s="7">
        <f t="shared" si="4"/>
        <v>0</v>
      </c>
      <c r="S20" s="2"/>
      <c r="T20" s="6">
        <v>787.620813386539</v>
      </c>
      <c r="U20" s="2"/>
      <c r="V20" s="7">
        <f t="shared" si="5"/>
        <v>0</v>
      </c>
      <c r="W20" s="2"/>
      <c r="X20" s="6">
        <f t="shared" si="6"/>
        <v>-87.780813386538966</v>
      </c>
      <c r="Y20" s="2"/>
      <c r="Z20" s="7">
        <f t="shared" si="7"/>
        <v>-0.11145060147548305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177.47</v>
      </c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177.47</v>
      </c>
      <c r="M21" s="2"/>
      <c r="N21" s="7">
        <f t="shared" si="3"/>
        <v>0</v>
      </c>
      <c r="O21" s="11"/>
      <c r="P21" s="6">
        <v>354.94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354.94</v>
      </c>
      <c r="Y21" s="2"/>
      <c r="Z21" s="7">
        <f t="shared" si="7"/>
        <v>0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931.95</v>
      </c>
      <c r="E22" s="2"/>
      <c r="F22" s="7">
        <f t="shared" si="0"/>
        <v>0</v>
      </c>
      <c r="G22" s="2"/>
      <c r="H22" s="6">
        <v>0</v>
      </c>
      <c r="I22" s="2"/>
      <c r="J22" s="7">
        <f t="shared" si="1"/>
        <v>0</v>
      </c>
      <c r="K22" s="2"/>
      <c r="L22" s="6">
        <f t="shared" si="2"/>
        <v>931.95</v>
      </c>
      <c r="M22" s="2"/>
      <c r="N22" s="7">
        <f t="shared" si="3"/>
        <v>0</v>
      </c>
      <c r="O22" s="11"/>
      <c r="P22" s="6">
        <v>1863.9</v>
      </c>
      <c r="Q22" s="2"/>
      <c r="R22" s="7">
        <f t="shared" si="4"/>
        <v>0</v>
      </c>
      <c r="S22" s="2"/>
      <c r="T22" s="6">
        <v>0</v>
      </c>
      <c r="U22" s="2"/>
      <c r="V22" s="7">
        <f t="shared" si="5"/>
        <v>0</v>
      </c>
      <c r="W22" s="2"/>
      <c r="X22" s="6">
        <f t="shared" si="6"/>
        <v>1863.9</v>
      </c>
      <c r="Y22" s="2"/>
      <c r="Z22" s="7">
        <f t="shared" si="7"/>
        <v>0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11.89</v>
      </c>
      <c r="E23" s="2"/>
      <c r="F23" s="7">
        <f t="shared" si="0"/>
        <v>0</v>
      </c>
      <c r="G23" s="2"/>
      <c r="H23" s="6">
        <v>11.892586</v>
      </c>
      <c r="I23" s="2"/>
      <c r="J23" s="7">
        <f t="shared" si="1"/>
        <v>0</v>
      </c>
      <c r="K23" s="2"/>
      <c r="L23" s="6">
        <f t="shared" si="2"/>
        <v>-2.585999999999089E-3</v>
      </c>
      <c r="M23" s="2"/>
      <c r="N23" s="7">
        <f t="shared" si="3"/>
        <v>-2.1744639895806422E-4</v>
      </c>
      <c r="O23" s="11"/>
      <c r="P23" s="6">
        <v>23.78</v>
      </c>
      <c r="Q23" s="2"/>
      <c r="R23" s="7">
        <f t="shared" si="4"/>
        <v>0</v>
      </c>
      <c r="S23" s="2"/>
      <c r="T23" s="6">
        <v>26.758318500000001</v>
      </c>
      <c r="U23" s="2"/>
      <c r="V23" s="7">
        <f t="shared" si="5"/>
        <v>0</v>
      </c>
      <c r="W23" s="2"/>
      <c r="X23" s="6">
        <f t="shared" si="6"/>
        <v>-2.9783185000000003</v>
      </c>
      <c r="Y23" s="2"/>
      <c r="Z23" s="7">
        <f t="shared" si="7"/>
        <v>-0.1113043967990739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467.52</v>
      </c>
      <c r="E24" s="2"/>
      <c r="F24" s="7">
        <f t="shared" si="0"/>
        <v>0</v>
      </c>
      <c r="G24" s="2"/>
      <c r="H24" s="6">
        <v>393.37015230769197</v>
      </c>
      <c r="I24" s="2"/>
      <c r="J24" s="7">
        <f t="shared" si="1"/>
        <v>0</v>
      </c>
      <c r="K24" s="2"/>
      <c r="L24" s="6">
        <f t="shared" si="2"/>
        <v>74.149847692308015</v>
      </c>
      <c r="M24" s="2"/>
      <c r="N24" s="7">
        <f t="shared" si="3"/>
        <v>0.18849891700554955</v>
      </c>
      <c r="O24" s="11"/>
      <c r="P24" s="6">
        <v>935.04</v>
      </c>
      <c r="Q24" s="2"/>
      <c r="R24" s="7">
        <f t="shared" si="4"/>
        <v>0</v>
      </c>
      <c r="S24" s="2"/>
      <c r="T24" s="6">
        <v>885.08284269230705</v>
      </c>
      <c r="U24" s="2"/>
      <c r="V24" s="7">
        <f t="shared" si="5"/>
        <v>0</v>
      </c>
      <c r="W24" s="2"/>
      <c r="X24" s="6">
        <f t="shared" si="6"/>
        <v>49.95715730769291</v>
      </c>
      <c r="Y24" s="2"/>
      <c r="Z24" s="7">
        <f t="shared" si="7"/>
        <v>5.644348178271056E-2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422.53</v>
      </c>
      <c r="E26" s="2"/>
      <c r="F26" s="7">
        <f t="shared" si="0"/>
        <v>0</v>
      </c>
      <c r="G26" s="2"/>
      <c r="H26" s="6">
        <v>457.40715384615396</v>
      </c>
      <c r="I26" s="2"/>
      <c r="J26" s="7">
        <f t="shared" si="1"/>
        <v>0</v>
      </c>
      <c r="K26" s="2"/>
      <c r="L26" s="6">
        <f t="shared" si="2"/>
        <v>-34.877153846153988</v>
      </c>
      <c r="M26" s="2"/>
      <c r="N26" s="7">
        <f t="shared" si="3"/>
        <v>-7.6249690353301078E-2</v>
      </c>
      <c r="O26" s="11"/>
      <c r="P26" s="6">
        <v>1178.25</v>
      </c>
      <c r="Q26" s="2"/>
      <c r="R26" s="7">
        <f t="shared" si="4"/>
        <v>0</v>
      </c>
      <c r="S26" s="2"/>
      <c r="T26" s="6">
        <v>1029.166096153846</v>
      </c>
      <c r="U26" s="2"/>
      <c r="V26" s="7">
        <f t="shared" si="5"/>
        <v>0</v>
      </c>
      <c r="W26" s="2"/>
      <c r="X26" s="6">
        <f t="shared" si="6"/>
        <v>149.08390384615404</v>
      </c>
      <c r="Y26" s="2"/>
      <c r="Z26" s="7">
        <f t="shared" si="7"/>
        <v>0.14485893424132784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210.98</v>
      </c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210.98</v>
      </c>
      <c r="M27" s="2"/>
      <c r="N27" s="7">
        <f t="shared" si="3"/>
        <v>0</v>
      </c>
      <c r="O27" s="11"/>
      <c r="P27" s="6">
        <v>1913.32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1913.32</v>
      </c>
      <c r="Y27" s="2"/>
      <c r="Z27" s="7">
        <f t="shared" si="7"/>
        <v>0</v>
      </c>
    </row>
    <row r="28" spans="1:26" s="26" customFormat="1" outlineLevel="1" collapsed="1" x14ac:dyDescent="0.25">
      <c r="A28" s="25"/>
      <c r="B28" s="13" t="str">
        <f>CONCATENATE("     ","*Payroll                                          ")</f>
        <v xml:space="preserve">     *Payroll                                          </v>
      </c>
      <c r="C28" s="13"/>
      <c r="D28" s="1">
        <f>SUM(OSRRefD22_1x_0)</f>
        <v>3430.55</v>
      </c>
      <c r="E28" s="1"/>
      <c r="F28" s="5">
        <f t="shared" ref="F28:F38" si="8">IF(D$12=0,0,D28/D$12)</f>
        <v>0</v>
      </c>
      <c r="G28" s="1"/>
      <c r="H28" s="1">
        <f>SUM(OSRRefH22_1x_0)</f>
        <v>4116.6643846153802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-686.11438461538</v>
      </c>
      <c r="M28" s="1"/>
      <c r="N28" s="5">
        <f t="shared" ref="N28:N38" si="11">IF(H28=0,0,L28/H28)</f>
        <v>-0.16666755424112226</v>
      </c>
      <c r="O28" s="13"/>
      <c r="P28" s="1">
        <f>SUM(OSRRefP22_1x_0)</f>
        <v>9148.6299999999992</v>
      </c>
      <c r="Q28" s="1"/>
      <c r="R28" s="5">
        <f t="shared" ref="R28:R38" si="12">IF(P$12=0,0,P28/P$12)</f>
        <v>0</v>
      </c>
      <c r="S28" s="1"/>
      <c r="T28" s="1">
        <f>SUM(OSRRefT22_1x_0)</f>
        <v>9262.4948653846095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-113.86486538461031</v>
      </c>
      <c r="Y28" s="1"/>
      <c r="Z28" s="5">
        <f t="shared" ref="Z28:Z38" si="15">IF(T28=0,0,X28/T28)</f>
        <v>-1.2293109690148504E-2</v>
      </c>
    </row>
    <row r="29" spans="1:26" s="24" customFormat="1" hidden="1" outlineLevel="2" x14ac:dyDescent="0.25">
      <c r="A29" s="27"/>
      <c r="B29" s="11" t="str">
        <f>CONCATENATE("          ", "6001", " - ", "ADMINISTRATIVE SALARIES")</f>
        <v xml:space="preserve">          6001 - ADMINISTRATIVE SALARIES</v>
      </c>
      <c r="C29" s="11"/>
      <c r="D29" s="6">
        <v>4574.55</v>
      </c>
      <c r="E29" s="2"/>
      <c r="F29" s="7">
        <f t="shared" si="8"/>
        <v>0</v>
      </c>
      <c r="G29" s="2"/>
      <c r="H29" s="6">
        <v>4116.6643846153802</v>
      </c>
      <c r="I29" s="2"/>
      <c r="J29" s="7">
        <f t="shared" si="9"/>
        <v>0</v>
      </c>
      <c r="K29" s="2"/>
      <c r="L29" s="6">
        <f t="shared" si="10"/>
        <v>457.88561538462</v>
      </c>
      <c r="M29" s="2"/>
      <c r="N29" s="7">
        <f t="shared" si="11"/>
        <v>0.11122733665047126</v>
      </c>
      <c r="O29" s="11"/>
      <c r="P29" s="6">
        <v>9148.6299999999992</v>
      </c>
      <c r="Q29" s="2"/>
      <c r="R29" s="7">
        <f t="shared" si="12"/>
        <v>0</v>
      </c>
      <c r="S29" s="2"/>
      <c r="T29" s="6">
        <v>9262.4948653846095</v>
      </c>
      <c r="U29" s="2"/>
      <c r="V29" s="7">
        <f t="shared" si="13"/>
        <v>0</v>
      </c>
      <c r="W29" s="2"/>
      <c r="X29" s="6">
        <f t="shared" si="14"/>
        <v>-113.86486538461031</v>
      </c>
      <c r="Y29" s="2"/>
      <c r="Z29" s="7">
        <f t="shared" si="15"/>
        <v>-1.2293109690148504E-2</v>
      </c>
    </row>
    <row r="30" spans="1:26" s="24" customFormat="1" hidden="1" outlineLevel="2" x14ac:dyDescent="0.25">
      <c r="A30" s="27"/>
      <c r="B30" s="11" t="str">
        <f>CONCATENATE("          ", "6002", " - ", "STAFF SALARIES")</f>
        <v xml:space="preserve">          6002 - STAFF SALARIES</v>
      </c>
      <c r="C30" s="11"/>
      <c r="D30" s="6">
        <v>-1144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-1144</v>
      </c>
      <c r="M30" s="2"/>
      <c r="N30" s="7">
        <f t="shared" si="11"/>
        <v>0</v>
      </c>
      <c r="O30" s="11"/>
      <c r="P30" s="6">
        <v>0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7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63" customFormat="1" x14ac:dyDescent="0.25">
      <c r="A39" s="36"/>
      <c r="B39" s="36"/>
      <c r="C39" s="36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6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8" t="s">
        <v>0</v>
      </c>
      <c r="C40" s="10"/>
      <c r="D40" s="4">
        <f>SUM(OSRRefD25x_0)</f>
        <v>7933.5599999999995</v>
      </c>
      <c r="E40" s="4"/>
      <c r="F40" s="12">
        <f t="shared" ref="F40:F44" si="16">IF(D$12=0,0,D40/D$12)</f>
        <v>0</v>
      </c>
      <c r="G40" s="4"/>
      <c r="H40" s="4">
        <f>SUM(OSRRefH25x_0)</f>
        <v>11744</v>
      </c>
      <c r="I40" s="4"/>
      <c r="J40" s="12">
        <f t="shared" ref="J40:J44" si="17">IF(H$12=0,0,H40/H$12)</f>
        <v>0</v>
      </c>
      <c r="K40" s="4"/>
      <c r="L40" s="4">
        <f t="shared" ref="L40:L44" si="18">+D40-H40</f>
        <v>-3810.4400000000005</v>
      </c>
      <c r="M40" s="4"/>
      <c r="N40" s="12">
        <f t="shared" ref="N40:N44" si="19">IF(H40=0,0,L40/H40)</f>
        <v>-0.32445844686648506</v>
      </c>
      <c r="O40" s="10"/>
      <c r="P40" s="4">
        <f>SUM(OSRRefP25x_0)</f>
        <v>16595.78</v>
      </c>
      <c r="Q40" s="4"/>
      <c r="R40" s="12">
        <f t="shared" ref="R40:R44" si="20">IF(P$12=0,0,P40/P$12)</f>
        <v>0</v>
      </c>
      <c r="S40" s="4"/>
      <c r="T40" s="4">
        <f>SUM(OSRRefT25x_0)</f>
        <v>33787</v>
      </c>
      <c r="U40" s="4"/>
      <c r="V40" s="12">
        <f t="shared" ref="V40:V44" si="21">IF(T$12=0,0,T40/T$12)</f>
        <v>0</v>
      </c>
      <c r="W40" s="4"/>
      <c r="X40" s="4">
        <f t="shared" ref="X40:X44" si="22">+P40-T40</f>
        <v>-17191.22</v>
      </c>
      <c r="Y40" s="4"/>
      <c r="Z40" s="12">
        <f t="shared" ref="Z40:Z44" si="23">IF(T40=0,0,X40/T40)</f>
        <v>-0.50881167312871822</v>
      </c>
    </row>
    <row r="41" spans="1:26" s="24" customFormat="1" hidden="1" outlineLevel="1" x14ac:dyDescent="0.25">
      <c r="A41" s="46"/>
      <c r="B41" s="11" t="str">
        <f>CONCATENATE("          ", "9150", " - ", "MISC. INCOME")</f>
        <v xml:space="preserve">          9150 - MISC. INCOME</v>
      </c>
      <c r="C41" s="11"/>
      <c r="D41" s="2">
        <f t="shared" ref="D41:D42" si="24">0</f>
        <v>0</v>
      </c>
      <c r="E41" s="2"/>
      <c r="F41" s="21">
        <f t="shared" si="16"/>
        <v>0</v>
      </c>
      <c r="G41" s="2"/>
      <c r="H41" s="2">
        <v>4981</v>
      </c>
      <c r="I41" s="2"/>
      <c r="J41" s="21">
        <f t="shared" si="17"/>
        <v>0</v>
      </c>
      <c r="K41" s="2"/>
      <c r="L41" s="2">
        <f t="shared" si="18"/>
        <v>-4981</v>
      </c>
      <c r="M41" s="2"/>
      <c r="N41" s="21">
        <f t="shared" si="19"/>
        <v>-1</v>
      </c>
      <c r="O41" s="11"/>
      <c r="P41" s="2">
        <f t="shared" ref="P41:P42" si="25">0</f>
        <v>0</v>
      </c>
      <c r="Q41" s="2"/>
      <c r="R41" s="21">
        <f t="shared" si="20"/>
        <v>0</v>
      </c>
      <c r="S41" s="2"/>
      <c r="T41" s="2">
        <v>14943</v>
      </c>
      <c r="U41" s="2"/>
      <c r="V41" s="21">
        <f t="shared" si="21"/>
        <v>0</v>
      </c>
      <c r="W41" s="2"/>
      <c r="X41" s="2">
        <f t="shared" si="22"/>
        <v>-14943</v>
      </c>
      <c r="Y41" s="2"/>
      <c r="Z41" s="21">
        <f t="shared" si="23"/>
        <v>-1</v>
      </c>
    </row>
    <row r="42" spans="1:26" s="24" customFormat="1" hidden="1" outlineLevel="1" x14ac:dyDescent="0.25">
      <c r="A42" s="46"/>
      <c r="B42" s="11" t="str">
        <f>CONCATENATE("          ", "9151", " - ", "MISC. INCOME")</f>
        <v xml:space="preserve">          9151 - MISC. INCOME</v>
      </c>
      <c r="C42" s="11"/>
      <c r="D42" s="2">
        <f t="shared" si="24"/>
        <v>0</v>
      </c>
      <c r="E42" s="2"/>
      <c r="F42" s="21">
        <f t="shared" si="16"/>
        <v>0</v>
      </c>
      <c r="G42" s="2"/>
      <c r="H42" s="2">
        <v>6763</v>
      </c>
      <c r="I42" s="2"/>
      <c r="J42" s="21">
        <f t="shared" si="17"/>
        <v>0</v>
      </c>
      <c r="K42" s="2"/>
      <c r="L42" s="2">
        <f t="shared" si="18"/>
        <v>-6763</v>
      </c>
      <c r="M42" s="2"/>
      <c r="N42" s="21">
        <f t="shared" si="19"/>
        <v>-1</v>
      </c>
      <c r="O42" s="11"/>
      <c r="P42" s="2">
        <f t="shared" si="25"/>
        <v>0</v>
      </c>
      <c r="Q42" s="2"/>
      <c r="R42" s="21">
        <f t="shared" si="20"/>
        <v>0</v>
      </c>
      <c r="S42" s="2"/>
      <c r="T42" s="2">
        <v>18844</v>
      </c>
      <c r="U42" s="2"/>
      <c r="V42" s="21">
        <f t="shared" si="21"/>
        <v>0</v>
      </c>
      <c r="W42" s="2"/>
      <c r="X42" s="2">
        <f t="shared" si="22"/>
        <v>-18844</v>
      </c>
      <c r="Y42" s="2"/>
      <c r="Z42" s="21">
        <f t="shared" si="23"/>
        <v>-1</v>
      </c>
    </row>
    <row r="43" spans="1:26" s="24" customFormat="1" hidden="1" outlineLevel="1" x14ac:dyDescent="0.25">
      <c r="A43" s="46"/>
      <c r="B43" s="11" t="str">
        <f>CONCATENATE("          ", "9160", " - ", "MISC. INCOME")</f>
        <v xml:space="preserve">          9160 - MISC. INCOME</v>
      </c>
      <c r="C43" s="11"/>
      <c r="D43" s="2">
        <f>--4981.17</f>
        <v>4981.17</v>
      </c>
      <c r="E43" s="2"/>
      <c r="F43" s="21">
        <f t="shared" si="16"/>
        <v>0</v>
      </c>
      <c r="G43" s="2"/>
      <c r="H43" s="2"/>
      <c r="I43" s="2"/>
      <c r="J43" s="21">
        <f t="shared" si="17"/>
        <v>0</v>
      </c>
      <c r="K43" s="2"/>
      <c r="L43" s="2">
        <f t="shared" si="18"/>
        <v>4981.17</v>
      </c>
      <c r="M43" s="2"/>
      <c r="N43" s="21">
        <f t="shared" si="19"/>
        <v>0</v>
      </c>
      <c r="O43" s="11"/>
      <c r="P43" s="2">
        <f>--9962.34</f>
        <v>9962.34</v>
      </c>
      <c r="Q43" s="2"/>
      <c r="R43" s="21">
        <f t="shared" si="20"/>
        <v>0</v>
      </c>
      <c r="S43" s="2"/>
      <c r="T43" s="2"/>
      <c r="U43" s="2"/>
      <c r="V43" s="21">
        <f t="shared" si="21"/>
        <v>0</v>
      </c>
      <c r="W43" s="2"/>
      <c r="X43" s="2">
        <f t="shared" si="22"/>
        <v>9962.34</v>
      </c>
      <c r="Y43" s="2"/>
      <c r="Z43" s="21">
        <f t="shared" si="23"/>
        <v>0</v>
      </c>
    </row>
    <row r="44" spans="1:26" s="24" customFormat="1" hidden="1" outlineLevel="1" x14ac:dyDescent="0.25">
      <c r="A44" s="46"/>
      <c r="B44" s="11" t="str">
        <f>CONCATENATE("          ", "9165", " - ", "OTHER INCOME")</f>
        <v xml:space="preserve">          9165 - OTHER INCOME</v>
      </c>
      <c r="C44" s="11"/>
      <c r="D44" s="2">
        <f>--2952.39</f>
        <v>2952.39</v>
      </c>
      <c r="E44" s="2"/>
      <c r="F44" s="21">
        <f t="shared" si="16"/>
        <v>0</v>
      </c>
      <c r="G44" s="2"/>
      <c r="H44" s="2"/>
      <c r="I44" s="2"/>
      <c r="J44" s="21">
        <f t="shared" si="17"/>
        <v>0</v>
      </c>
      <c r="K44" s="2"/>
      <c r="L44" s="2">
        <f t="shared" si="18"/>
        <v>2952.39</v>
      </c>
      <c r="M44" s="2"/>
      <c r="N44" s="21">
        <f t="shared" si="19"/>
        <v>0</v>
      </c>
      <c r="O44" s="11"/>
      <c r="P44" s="2">
        <f>--6633.44</f>
        <v>6633.44</v>
      </c>
      <c r="Q44" s="2"/>
      <c r="R44" s="21">
        <f t="shared" si="20"/>
        <v>0</v>
      </c>
      <c r="S44" s="2"/>
      <c r="T44" s="2"/>
      <c r="U44" s="2"/>
      <c r="V44" s="21">
        <f t="shared" si="21"/>
        <v>0</v>
      </c>
      <c r="W44" s="2"/>
      <c r="X44" s="2">
        <f t="shared" si="22"/>
        <v>6633.44</v>
      </c>
      <c r="Y44" s="2"/>
      <c r="Z44" s="21">
        <f t="shared" si="23"/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9" t="s">
        <v>3</v>
      </c>
      <c r="C46" s="29"/>
      <c r="D46" s="22">
        <f>+D16-D18+D40</f>
        <v>1930.7499999999991</v>
      </c>
      <c r="E46" s="14"/>
      <c r="F46" s="20">
        <f>IF(D$12=0,0,D46/D$12)</f>
        <v>0</v>
      </c>
      <c r="G46" s="14"/>
      <c r="H46" s="22">
        <f>+H16-H18+H40</f>
        <v>6414.6120283923119</v>
      </c>
      <c r="I46" s="14"/>
      <c r="J46" s="20">
        <f>IF(H$12=0,0,H46/H$12)</f>
        <v>0</v>
      </c>
      <c r="K46" s="15"/>
      <c r="L46" s="22">
        <f>+D46-H46</f>
        <v>-4483.8620283923128</v>
      </c>
      <c r="M46" s="15"/>
      <c r="N46" s="20">
        <f>IF(H46=0,0,L46/H46)</f>
        <v>-0.69900751729736321</v>
      </c>
      <c r="O46" s="28"/>
      <c r="P46" s="22">
        <f>+P16-P18+P40</f>
        <v>478.07999999999993</v>
      </c>
      <c r="Q46" s="14"/>
      <c r="R46" s="20">
        <f>IF(P$12=0,0,P46/P$12)</f>
        <v>0</v>
      </c>
      <c r="S46" s="14"/>
      <c r="T46" s="22">
        <f>+T16-T18+T40</f>
        <v>21795.877063882697</v>
      </c>
      <c r="U46" s="14"/>
      <c r="V46" s="20">
        <f>IF(T$12=0,0,T46/T$12)</f>
        <v>0</v>
      </c>
      <c r="W46" s="15"/>
      <c r="X46" s="22">
        <f>+P46-T46</f>
        <v>-21317.797063882696</v>
      </c>
      <c r="Y46" s="15"/>
      <c r="Z46" s="20">
        <f>IF(T46=0,0,X46/T46)</f>
        <v>-0.97806557641159508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2"/>
      <c r="B48" s="10" t="s">
        <v>14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9" t="s">
        <v>4</v>
      </c>
      <c r="C50" s="29"/>
      <c r="D50" s="31">
        <f>+D46-D48</f>
        <v>1930.7499999999991</v>
      </c>
      <c r="E50" s="14"/>
      <c r="F50" s="32">
        <f>IF(D$12=0,0,D50/D$12)</f>
        <v>0</v>
      </c>
      <c r="G50" s="14"/>
      <c r="H50" s="31">
        <f>+H46-H48</f>
        <v>6414.6120283923119</v>
      </c>
      <c r="I50" s="14"/>
      <c r="J50" s="32">
        <f>IF(H$12=0,0,H50/H$12)</f>
        <v>0</v>
      </c>
      <c r="K50" s="15"/>
      <c r="L50" s="31">
        <f>D50-H50</f>
        <v>-4483.8620283923128</v>
      </c>
      <c r="M50" s="15"/>
      <c r="N50" s="32">
        <f>IF(H50=0,0,L50/H50)</f>
        <v>-0.69900751729736321</v>
      </c>
      <c r="O50" s="28"/>
      <c r="P50" s="31">
        <f>+P46-P48</f>
        <v>478.07999999999993</v>
      </c>
      <c r="Q50" s="14"/>
      <c r="R50" s="32">
        <f>IF(P$12=0,0,P50/P$12)</f>
        <v>0</v>
      </c>
      <c r="S50" s="14"/>
      <c r="T50" s="31">
        <f>+T46-T48</f>
        <v>21795.877063882697</v>
      </c>
      <c r="U50" s="14"/>
      <c r="V50" s="32">
        <f>IF(T$12=0,0,T50/T$12)</f>
        <v>0</v>
      </c>
      <c r="W50" s="15"/>
      <c r="X50" s="31">
        <f>P50-T50</f>
        <v>-21317.797063882696</v>
      </c>
      <c r="Y50" s="15"/>
      <c r="Z50" s="32">
        <f>IF(T50=0,0,X50/T50)</f>
        <v>-0.97806557641159508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9" t="s">
        <v>5</v>
      </c>
      <c r="C53" s="29"/>
      <c r="D53" s="33">
        <f>SUM(D50:D52)</f>
        <v>1930.7499999999991</v>
      </c>
      <c r="E53" s="14"/>
      <c r="F53" s="35">
        <f>IF(D$12=0,0,D53/D$12)</f>
        <v>0</v>
      </c>
      <c r="G53" s="14"/>
      <c r="H53" s="33">
        <f>SUM(H50:H52)</f>
        <v>6414.6120283923119</v>
      </c>
      <c r="I53" s="14"/>
      <c r="J53" s="35">
        <f>IF(H$12=0,0,H53/H$12)</f>
        <v>0</v>
      </c>
      <c r="K53" s="15"/>
      <c r="L53" s="33">
        <f>+D53-H53</f>
        <v>-4483.8620283923128</v>
      </c>
      <c r="M53" s="15"/>
      <c r="N53" s="35">
        <f>IF(H53=0,0,L53/H53)</f>
        <v>-0.69900751729736321</v>
      </c>
      <c r="O53" s="28"/>
      <c r="P53" s="33">
        <f>SUM(P50:P52)</f>
        <v>478.07999999999993</v>
      </c>
      <c r="Q53" s="14"/>
      <c r="R53" s="35">
        <f>IF(P$12=0,0,P53/P$12)</f>
        <v>0</v>
      </c>
      <c r="S53" s="14"/>
      <c r="T53" s="33">
        <f>SUM(T50:T52)</f>
        <v>21795.877063882697</v>
      </c>
      <c r="U53" s="14"/>
      <c r="V53" s="35">
        <f>IF(T$12=0,0,T53/T$12)</f>
        <v>0</v>
      </c>
      <c r="W53" s="15"/>
      <c r="X53" s="33">
        <f>+P53-T53</f>
        <v>-21317.797063882696</v>
      </c>
      <c r="Y53" s="15"/>
      <c r="Z53" s="35">
        <f>IF(T53=0,0,X53/T53)</f>
        <v>-0.97806557641159508</v>
      </c>
    </row>
    <row r="54" spans="1:26" ht="15.75" thickTop="1" x14ac:dyDescent="0.25">
      <c r="A54" s="9"/>
      <c r="C54" s="9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25">
      <c r="A55" s="9"/>
      <c r="B55" s="61">
        <v>43732.706612233793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25">
      <c r="A56" s="9"/>
      <c r="B56" s="62" t="s">
        <v>314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25">
      <c r="A57" s="9"/>
      <c r="B57" s="58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25"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302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506601.3</v>
      </c>
      <c r="E12" s="4"/>
      <c r="F12" s="12"/>
      <c r="G12" s="4"/>
      <c r="H12" s="4">
        <f>SUM(OSRRefH13x_0)</f>
        <v>473845.99999999994</v>
      </c>
      <c r="I12" s="4"/>
      <c r="J12" s="12"/>
      <c r="K12" s="4"/>
      <c r="L12" s="4">
        <f t="shared" ref="L12:L18" si="0">+D12-H12</f>
        <v>32755.300000000047</v>
      </c>
      <c r="M12" s="4"/>
      <c r="N12" s="12">
        <f t="shared" ref="N12:N18" si="1">IF(H12=0,0,L12/H12)</f>
        <v>6.9126467248853116E-2</v>
      </c>
      <c r="O12" s="10"/>
      <c r="P12" s="4">
        <f>SUM(OSRRefP13x_0)</f>
        <v>1016035.16</v>
      </c>
      <c r="Q12" s="4"/>
      <c r="R12" s="12"/>
      <c r="S12" s="4"/>
      <c r="T12" s="4">
        <f>SUM(OSRRefT13x_0)</f>
        <v>971649</v>
      </c>
      <c r="U12" s="4"/>
      <c r="V12" s="12"/>
      <c r="W12" s="4"/>
      <c r="X12" s="4">
        <f t="shared" ref="X12:X18" si="2">+P12-T12</f>
        <v>44386.160000000033</v>
      </c>
      <c r="Y12" s="4"/>
      <c r="Z12" s="12">
        <f t="shared" ref="Z12:Z18" si="3">IF(T12=0,0,X12/T12)</f>
        <v>4.5681269676601355E-2</v>
      </c>
    </row>
    <row r="13" spans="1:26" s="24" customFormat="1" hidden="1" outlineLevel="1" x14ac:dyDescent="0.25">
      <c r="A13" s="46"/>
      <c r="B13" s="11" t="str">
        <f>CONCATENATE("          ", "4053", " - ", "TAXABLE SALES-FOOD")</f>
        <v xml:space="preserve">          4053 - TAXABLE SALES-FOOD</v>
      </c>
      <c r="C13" s="11"/>
      <c r="D13" s="2">
        <f>--288.29</f>
        <v>288.29000000000002</v>
      </c>
      <c r="E13" s="2"/>
      <c r="F13" s="21"/>
      <c r="G13" s="2"/>
      <c r="H13" s="2"/>
      <c r="I13" s="2"/>
      <c r="J13" s="21"/>
      <c r="K13" s="2"/>
      <c r="L13" s="2">
        <f t="shared" si="0"/>
        <v>288.29000000000002</v>
      </c>
      <c r="M13" s="2"/>
      <c r="N13" s="21">
        <f t="shared" si="1"/>
        <v>0</v>
      </c>
      <c r="O13" s="11"/>
      <c r="P13" s="2">
        <f>--1432.39</f>
        <v>1432.39</v>
      </c>
      <c r="Q13" s="2"/>
      <c r="R13" s="21"/>
      <c r="S13" s="2"/>
      <c r="T13" s="2"/>
      <c r="U13" s="2"/>
      <c r="V13" s="21"/>
      <c r="W13" s="2"/>
      <c r="X13" s="2">
        <f t="shared" si="2"/>
        <v>1432.39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"4055", " - ", "TAXABLE SALES-FOOD")</f>
        <v xml:space="preserve">          4055 - TAXABLE SALES-FOOD</v>
      </c>
      <c r="C14" s="11"/>
      <c r="D14" s="2">
        <f>--45.65</f>
        <v>45.65</v>
      </c>
      <c r="E14" s="2"/>
      <c r="F14" s="21"/>
      <c r="G14" s="2"/>
      <c r="H14" s="2"/>
      <c r="I14" s="2"/>
      <c r="J14" s="21"/>
      <c r="K14" s="2"/>
      <c r="L14" s="2">
        <f t="shared" si="0"/>
        <v>45.65</v>
      </c>
      <c r="M14" s="2"/>
      <c r="N14" s="21">
        <f t="shared" si="1"/>
        <v>0</v>
      </c>
      <c r="O14" s="11"/>
      <c r="P14" s="2">
        <f>--45.65</f>
        <v>45.65</v>
      </c>
      <c r="Q14" s="2"/>
      <c r="R14" s="21"/>
      <c r="S14" s="2"/>
      <c r="T14" s="2"/>
      <c r="U14" s="2"/>
      <c r="V14" s="21"/>
      <c r="W14" s="2"/>
      <c r="X14" s="2">
        <f t="shared" si="2"/>
        <v>45.65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1"/>
      <c r="G15" s="2"/>
      <c r="H15" s="2">
        <v>473845.99999999994</v>
      </c>
      <c r="I15" s="2"/>
      <c r="J15" s="21"/>
      <c r="K15" s="2"/>
      <c r="L15" s="2">
        <f t="shared" si="0"/>
        <v>-473845.99999999994</v>
      </c>
      <c r="M15" s="2"/>
      <c r="N15" s="21">
        <f t="shared" si="1"/>
        <v>-1</v>
      </c>
      <c r="O15" s="11"/>
      <c r="P15" s="2">
        <f>0</f>
        <v>0</v>
      </c>
      <c r="Q15" s="2"/>
      <c r="R15" s="21"/>
      <c r="S15" s="2"/>
      <c r="T15" s="2">
        <v>971649</v>
      </c>
      <c r="U15" s="2"/>
      <c r="V15" s="21"/>
      <c r="W15" s="2"/>
      <c r="X15" s="2">
        <f t="shared" si="2"/>
        <v>-971649</v>
      </c>
      <c r="Y15" s="2"/>
      <c r="Z15" s="21">
        <f t="shared" si="3"/>
        <v>-1</v>
      </c>
    </row>
    <row r="16" spans="1:26" s="24" customFormat="1" hidden="1" outlineLevel="1" x14ac:dyDescent="0.25">
      <c r="A16" s="46"/>
      <c r="B16" s="11" t="str">
        <f>CONCATENATE("          ", "4151", " - ", "NON-TAXABLE SALES-FOOD")</f>
        <v xml:space="preserve">          4151 - NON-TAXABLE SALES-FOOD</v>
      </c>
      <c r="C16" s="11"/>
      <c r="D16" s="2">
        <f>--405256.16</f>
        <v>405256.16</v>
      </c>
      <c r="E16" s="2"/>
      <c r="F16" s="21"/>
      <c r="G16" s="2"/>
      <c r="H16" s="2"/>
      <c r="I16" s="2"/>
      <c r="J16" s="21"/>
      <c r="K16" s="2"/>
      <c r="L16" s="2">
        <f t="shared" si="0"/>
        <v>405256.16</v>
      </c>
      <c r="M16" s="2"/>
      <c r="N16" s="21">
        <f t="shared" si="1"/>
        <v>0</v>
      </c>
      <c r="O16" s="11"/>
      <c r="P16" s="2">
        <f>--894534.21</f>
        <v>894534.21</v>
      </c>
      <c r="Q16" s="2"/>
      <c r="R16" s="21"/>
      <c r="S16" s="2"/>
      <c r="T16" s="2"/>
      <c r="U16" s="2"/>
      <c r="V16" s="21"/>
      <c r="W16" s="2"/>
      <c r="X16" s="2">
        <f t="shared" si="2"/>
        <v>894534.21</v>
      </c>
      <c r="Y16" s="2"/>
      <c r="Z16" s="21">
        <f t="shared" si="3"/>
        <v>0</v>
      </c>
    </row>
    <row r="17" spans="1:26" s="24" customFormat="1" hidden="1" outlineLevel="1" x14ac:dyDescent="0.25">
      <c r="A17" s="46"/>
      <c r="B17" s="11" t="str">
        <f>CONCATENATE("          ", "4153", " - ", "NON-TAXABLE SALES-FOOD")</f>
        <v xml:space="preserve">          4153 - NON-TAXABLE SALES-FOOD</v>
      </c>
      <c r="C17" s="11"/>
      <c r="D17" s="2">
        <f>--100740.21</f>
        <v>100740.21</v>
      </c>
      <c r="E17" s="2"/>
      <c r="F17" s="21"/>
      <c r="G17" s="2"/>
      <c r="H17" s="2"/>
      <c r="I17" s="2"/>
      <c r="J17" s="21"/>
      <c r="K17" s="2"/>
      <c r="L17" s="2">
        <f t="shared" si="0"/>
        <v>100740.21</v>
      </c>
      <c r="M17" s="2"/>
      <c r="N17" s="21">
        <f t="shared" si="1"/>
        <v>0</v>
      </c>
      <c r="O17" s="11"/>
      <c r="P17" s="2">
        <f>--119751.92</f>
        <v>119751.92</v>
      </c>
      <c r="Q17" s="2"/>
      <c r="R17" s="21"/>
      <c r="S17" s="2"/>
      <c r="T17" s="2"/>
      <c r="U17" s="2"/>
      <c r="V17" s="21"/>
      <c r="W17" s="2"/>
      <c r="X17" s="2">
        <f t="shared" si="2"/>
        <v>119751.92</v>
      </c>
      <c r="Y17" s="2"/>
      <c r="Z17" s="21">
        <f t="shared" si="3"/>
        <v>0</v>
      </c>
    </row>
    <row r="18" spans="1:26" s="24" customFormat="1" hidden="1" outlineLevel="1" x14ac:dyDescent="0.25">
      <c r="A18" s="46"/>
      <c r="B18" s="11" t="str">
        <f>CONCATENATE("          ", "4155", " - ", "NON-TAXABLE SALES-FOOD")</f>
        <v xml:space="preserve">          4155 - NON-TAXABLE SALES-FOOD</v>
      </c>
      <c r="C18" s="11"/>
      <c r="D18" s="2">
        <f>--270.99</f>
        <v>270.99</v>
      </c>
      <c r="E18" s="2"/>
      <c r="F18" s="21"/>
      <c r="G18" s="2"/>
      <c r="H18" s="2"/>
      <c r="I18" s="2"/>
      <c r="J18" s="21"/>
      <c r="K18" s="2"/>
      <c r="L18" s="2">
        <f t="shared" si="0"/>
        <v>270.99</v>
      </c>
      <c r="M18" s="2"/>
      <c r="N18" s="21">
        <f t="shared" si="1"/>
        <v>0</v>
      </c>
      <c r="O18" s="11"/>
      <c r="P18" s="2">
        <f>--270.99</f>
        <v>270.99</v>
      </c>
      <c r="Q18" s="2"/>
      <c r="R18" s="21"/>
      <c r="S18" s="2"/>
      <c r="T18" s="2"/>
      <c r="U18" s="2"/>
      <c r="V18" s="21"/>
      <c r="W18" s="2"/>
      <c r="X18" s="2">
        <f t="shared" si="2"/>
        <v>270.99</v>
      </c>
      <c r="Y18" s="2"/>
      <c r="Z18" s="21">
        <f t="shared" si="3"/>
        <v>0</v>
      </c>
    </row>
    <row r="19" spans="1:26" x14ac:dyDescent="0.25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25">
      <c r="A20" s="10"/>
      <c r="B20" s="28" t="s">
        <v>8</v>
      </c>
      <c r="C20" s="10"/>
      <c r="D20" s="4">
        <f>SUM(OSRRefD16x_0)</f>
        <v>142443.63</v>
      </c>
      <c r="E20" s="4"/>
      <c r="F20" s="12">
        <f t="shared" ref="F20:F23" si="4">IF(D$12=0,0,D20/D$12)</f>
        <v>0.28117501869813599</v>
      </c>
      <c r="G20" s="4"/>
      <c r="H20" s="4">
        <f>SUM(OSRRefH16x_0)</f>
        <v>172896.83000000002</v>
      </c>
      <c r="I20" s="4"/>
      <c r="J20" s="12">
        <f t="shared" ref="J20:J23" si="5">IF(H$12=0,0,H20/H$12)</f>
        <v>0.36487979216876376</v>
      </c>
      <c r="K20" s="4"/>
      <c r="L20" s="4">
        <f t="shared" ref="L20:L23" si="6">+D20-H20</f>
        <v>-30453.200000000012</v>
      </c>
      <c r="M20" s="4"/>
      <c r="N20" s="12">
        <f t="shared" ref="N20:N23" si="7">IF(H20=0,0,L20/H20)</f>
        <v>-0.17613509744510647</v>
      </c>
      <c r="O20" s="10"/>
      <c r="P20" s="4">
        <f>SUM(OSRRefP16x_0)</f>
        <v>300851.09999999998</v>
      </c>
      <c r="Q20" s="4"/>
      <c r="R20" s="12">
        <f t="shared" ref="R20:R23" si="8">IF(P$12=0,0,P20/P$12)</f>
        <v>0.29610304037116192</v>
      </c>
      <c r="S20" s="4"/>
      <c r="T20" s="4">
        <f>SUM(OSRRefT16x_0)</f>
        <v>325589.83</v>
      </c>
      <c r="U20" s="4"/>
      <c r="V20" s="12">
        <f t="shared" ref="V20:V23" si="9">IF(T$12=0,0,T20/T$12)</f>
        <v>0.33508996561515531</v>
      </c>
      <c r="W20" s="4"/>
      <c r="X20" s="4">
        <f t="shared" ref="X20:X23" si="10">+P20-T20</f>
        <v>-24738.73000000004</v>
      </c>
      <c r="Y20" s="4"/>
      <c r="Z20" s="12">
        <f t="shared" ref="Z20:Z23" si="11">IF(T20=0,0,X20/T20)</f>
        <v>-7.5981273739416363E-2</v>
      </c>
    </row>
    <row r="21" spans="1:26" s="24" customFormat="1" hidden="1" outlineLevel="1" x14ac:dyDescent="0.25">
      <c r="A21" s="46"/>
      <c r="B21" s="11" t="str">
        <f>CONCATENATE("          ", "5000", " - ", "PURCHASES @ COST")</f>
        <v xml:space="preserve">          5000 - PURCHASES @ COST</v>
      </c>
      <c r="C21" s="11"/>
      <c r="D21" s="2"/>
      <c r="E21" s="2"/>
      <c r="F21" s="21">
        <f t="shared" si="4"/>
        <v>0</v>
      </c>
      <c r="G21" s="2"/>
      <c r="H21" s="2">
        <v>172896.83000000002</v>
      </c>
      <c r="I21" s="2"/>
      <c r="J21" s="21">
        <f t="shared" si="5"/>
        <v>0.36487979216876376</v>
      </c>
      <c r="K21" s="2"/>
      <c r="L21" s="2">
        <f t="shared" si="6"/>
        <v>-172896.83000000002</v>
      </c>
      <c r="M21" s="2"/>
      <c r="N21" s="21">
        <f t="shared" si="7"/>
        <v>-1</v>
      </c>
      <c r="O21" s="11"/>
      <c r="P21" s="2"/>
      <c r="Q21" s="2"/>
      <c r="R21" s="21">
        <f t="shared" si="8"/>
        <v>0</v>
      </c>
      <c r="S21" s="2"/>
      <c r="T21" s="2">
        <v>325589.83</v>
      </c>
      <c r="U21" s="2"/>
      <c r="V21" s="21">
        <f t="shared" si="9"/>
        <v>0.33508996561515531</v>
      </c>
      <c r="W21" s="2"/>
      <c r="X21" s="2">
        <f t="shared" si="10"/>
        <v>-325589.83</v>
      </c>
      <c r="Y21" s="2"/>
      <c r="Z21" s="21">
        <f t="shared" si="11"/>
        <v>-1</v>
      </c>
    </row>
    <row r="22" spans="1:26" s="24" customFormat="1" hidden="1" outlineLevel="1" x14ac:dyDescent="0.25">
      <c r="A22" s="46"/>
      <c r="B22" s="11" t="str">
        <f>CONCATENATE("          ", "5053", " - ", "PURCHASES @ COST-FOOD")</f>
        <v xml:space="preserve">          5053 - PURCHASES @ COST-FOOD</v>
      </c>
      <c r="C22" s="11"/>
      <c r="D22" s="2">
        <v>170925.58000000002</v>
      </c>
      <c r="E22" s="2"/>
      <c r="F22" s="21">
        <f t="shared" si="4"/>
        <v>0.33739664702794886</v>
      </c>
      <c r="G22" s="2"/>
      <c r="H22" s="2"/>
      <c r="I22" s="2"/>
      <c r="J22" s="21">
        <f t="shared" si="5"/>
        <v>0</v>
      </c>
      <c r="K22" s="2"/>
      <c r="L22" s="2">
        <f t="shared" si="6"/>
        <v>170925.58000000002</v>
      </c>
      <c r="M22" s="2"/>
      <c r="N22" s="21">
        <f t="shared" si="7"/>
        <v>0</v>
      </c>
      <c r="O22" s="11"/>
      <c r="P22" s="2">
        <v>325136.05</v>
      </c>
      <c r="Q22" s="2"/>
      <c r="R22" s="21">
        <f t="shared" si="8"/>
        <v>0.32000472306489863</v>
      </c>
      <c r="S22" s="2"/>
      <c r="T22" s="2"/>
      <c r="U22" s="2"/>
      <c r="V22" s="21">
        <f t="shared" si="9"/>
        <v>0</v>
      </c>
      <c r="W22" s="2"/>
      <c r="X22" s="2">
        <f t="shared" si="10"/>
        <v>325136.05</v>
      </c>
      <c r="Y22" s="2"/>
      <c r="Z22" s="21">
        <f t="shared" si="11"/>
        <v>0</v>
      </c>
    </row>
    <row r="23" spans="1:26" s="24" customFormat="1" hidden="1" outlineLevel="1" x14ac:dyDescent="0.25">
      <c r="A23" s="46"/>
      <c r="B23" s="11" t="str">
        <f>CONCATENATE("          ", "5059", " - ", "PURCHASES @ COST-FOOD")</f>
        <v xml:space="preserve">          5059 - PURCHASES @ COST-FOOD</v>
      </c>
      <c r="C23" s="11"/>
      <c r="D23" s="2">
        <v>-28481.95</v>
      </c>
      <c r="E23" s="2"/>
      <c r="F23" s="21">
        <f t="shared" si="4"/>
        <v>-5.6221628329812819E-2</v>
      </c>
      <c r="G23" s="2"/>
      <c r="H23" s="2"/>
      <c r="I23" s="2"/>
      <c r="J23" s="21">
        <f t="shared" si="5"/>
        <v>0</v>
      </c>
      <c r="K23" s="2"/>
      <c r="L23" s="2">
        <f t="shared" si="6"/>
        <v>-28481.95</v>
      </c>
      <c r="M23" s="2"/>
      <c r="N23" s="21">
        <f t="shared" si="7"/>
        <v>0</v>
      </c>
      <c r="O23" s="11"/>
      <c r="P23" s="2">
        <v>-24284.95</v>
      </c>
      <c r="Q23" s="2"/>
      <c r="R23" s="21">
        <f t="shared" si="8"/>
        <v>-2.3901682693736701E-2</v>
      </c>
      <c r="S23" s="2"/>
      <c r="T23" s="2"/>
      <c r="U23" s="2"/>
      <c r="V23" s="21">
        <f t="shared" si="9"/>
        <v>0</v>
      </c>
      <c r="W23" s="2"/>
      <c r="X23" s="2">
        <f t="shared" si="10"/>
        <v>-24284.95</v>
      </c>
      <c r="Y23" s="2"/>
      <c r="Z23" s="21">
        <f t="shared" si="11"/>
        <v>0</v>
      </c>
    </row>
    <row r="24" spans="1:26" x14ac:dyDescent="0.25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25">
      <c r="A25" s="10"/>
      <c r="B25" s="29" t="s">
        <v>6</v>
      </c>
      <c r="C25" s="29"/>
      <c r="D25" s="22">
        <f>D12-D20</f>
        <v>364157.67</v>
      </c>
      <c r="E25" s="14"/>
      <c r="F25" s="20">
        <f>IF(D$12=0,0,D25/D$12)</f>
        <v>0.71882498130186401</v>
      </c>
      <c r="G25" s="14"/>
      <c r="H25" s="22">
        <f>H12-H20</f>
        <v>300949.16999999993</v>
      </c>
      <c r="I25" s="14"/>
      <c r="J25" s="20">
        <f>IF(H$12=0,0,H25/H$12)</f>
        <v>0.63512020783123624</v>
      </c>
      <c r="K25" s="15"/>
      <c r="L25" s="22">
        <f>+D25-H25</f>
        <v>63208.500000000058</v>
      </c>
      <c r="M25" s="15"/>
      <c r="N25" s="20">
        <f>IF(H25=0,0,L25/H25)</f>
        <v>0.21003048454993273</v>
      </c>
      <c r="O25" s="28"/>
      <c r="P25" s="22">
        <f>P12-P20</f>
        <v>715184.06</v>
      </c>
      <c r="Q25" s="14"/>
      <c r="R25" s="20">
        <f>IF(P$12=0,0,P25/P$12)</f>
        <v>0.70389695962883803</v>
      </c>
      <c r="S25" s="14"/>
      <c r="T25" s="22">
        <f>T12-T20</f>
        <v>646059.16999999993</v>
      </c>
      <c r="U25" s="14"/>
      <c r="V25" s="20">
        <f>IF(T$12=0,0,T25/T$12)</f>
        <v>0.66491003438484464</v>
      </c>
      <c r="W25" s="15"/>
      <c r="X25" s="22">
        <f>+P25-T25</f>
        <v>69124.89000000013</v>
      </c>
      <c r="Y25" s="15"/>
      <c r="Z25" s="20">
        <f>IF(T25=0,0,X25/T25)</f>
        <v>0.10699467356836702</v>
      </c>
    </row>
    <row r="26" spans="1:26" x14ac:dyDescent="0.25">
      <c r="A26" s="9"/>
      <c r="B26" s="10"/>
      <c r="C26" s="9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6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25">
      <c r="A27" s="10"/>
      <c r="B27" s="28" t="s">
        <v>9</v>
      </c>
      <c r="C27" s="10"/>
      <c r="D27" s="19">
        <f>SUM(OSRRefD22x_0)</f>
        <v>370140.71000000008</v>
      </c>
      <c r="E27" s="19"/>
      <c r="F27" s="34">
        <f t="shared" ref="F27:F38" si="12">IF(D$12=0,0,D27/D$12)</f>
        <v>0.73063513654623491</v>
      </c>
      <c r="G27" s="19"/>
      <c r="H27" s="19">
        <f>SUM(OSRRefH22x_0)</f>
        <v>379975.27304068033</v>
      </c>
      <c r="I27" s="19"/>
      <c r="J27" s="34">
        <f t="shared" ref="J27:J38" si="13">IF(H$12=0,0,H27/H$12)</f>
        <v>0.80189612878589323</v>
      </c>
      <c r="K27" s="4"/>
      <c r="L27" s="19">
        <f t="shared" ref="L27:L38" si="14">+D27-H27</f>
        <v>-9834.563040680252</v>
      </c>
      <c r="M27" s="4"/>
      <c r="N27" s="34">
        <f t="shared" ref="N27:N38" si="15">IF(H27=0,0,L27/H27)</f>
        <v>-2.5882113228003021E-2</v>
      </c>
      <c r="O27" s="10"/>
      <c r="P27" s="19">
        <f>SUM(OSRRefP22x_0)</f>
        <v>775760.4099999998</v>
      </c>
      <c r="Q27" s="19"/>
      <c r="R27" s="34">
        <f t="shared" ref="R27:R38" si="16">IF(P$12=0,0,P27/P$12)</f>
        <v>0.76351728812219433</v>
      </c>
      <c r="S27" s="19"/>
      <c r="T27" s="19">
        <f>SUM(OSRRefT22x_0)</f>
        <v>784025.97327546251</v>
      </c>
      <c r="U27" s="19"/>
      <c r="V27" s="34">
        <f t="shared" ref="V27:V38" si="17">IF(T$12=0,0,T27/T$12)</f>
        <v>0.806902465062448</v>
      </c>
      <c r="W27" s="4"/>
      <c r="X27" s="19">
        <f t="shared" ref="X27:X38" si="18">+P27-T27</f>
        <v>-8265.563275462715</v>
      </c>
      <c r="Y27" s="4"/>
      <c r="Z27" s="34">
        <f t="shared" ref="Z27:Z38" si="19">IF(T27=0,0,X27/T27)</f>
        <v>-1.0542461037268037E-2</v>
      </c>
    </row>
    <row r="28" spans="1:26" s="26" customFormat="1" outlineLevel="1" collapsed="1" x14ac:dyDescent="0.25">
      <c r="A28" s="25"/>
      <c r="B28" s="13" t="str">
        <f>CONCATENATE("     ","*Benefits                                         ")</f>
        <v xml:space="preserve">     *Benefits                                         </v>
      </c>
      <c r="C28" s="13"/>
      <c r="D28" s="1">
        <f>SUM(OSRRefD22_0x_0)</f>
        <v>86552.31</v>
      </c>
      <c r="E28" s="1"/>
      <c r="F28" s="5">
        <f t="shared" si="12"/>
        <v>0.17084896939664387</v>
      </c>
      <c r="G28" s="1"/>
      <c r="H28" s="1">
        <f>SUM(OSRRefH22_0x_0)</f>
        <v>81223.277221911078</v>
      </c>
      <c r="I28" s="1"/>
      <c r="J28" s="5">
        <f t="shared" si="13"/>
        <v>0.17141281602442796</v>
      </c>
      <c r="K28" s="1"/>
      <c r="L28" s="1">
        <f t="shared" si="14"/>
        <v>5329.0327780889202</v>
      </c>
      <c r="M28" s="1"/>
      <c r="N28" s="5">
        <f t="shared" si="15"/>
        <v>6.560967447212708E-2</v>
      </c>
      <c r="O28" s="13"/>
      <c r="P28" s="1">
        <f>SUM(OSRRefP22_0x_0)</f>
        <v>187486.28999999998</v>
      </c>
      <c r="Q28" s="1"/>
      <c r="R28" s="5">
        <f t="shared" si="16"/>
        <v>0.18452736419082189</v>
      </c>
      <c r="S28" s="1"/>
      <c r="T28" s="1">
        <f>SUM(OSRRefT22_0x_0)</f>
        <v>172720.71739823185</v>
      </c>
      <c r="U28" s="1"/>
      <c r="V28" s="5">
        <f t="shared" si="17"/>
        <v>0.1777604025715375</v>
      </c>
      <c r="W28" s="1"/>
      <c r="X28" s="1">
        <f t="shared" si="18"/>
        <v>14765.57260176813</v>
      </c>
      <c r="Y28" s="1"/>
      <c r="Z28" s="5">
        <f t="shared" si="19"/>
        <v>8.5488138447943285E-2</v>
      </c>
    </row>
    <row r="29" spans="1:26" s="24" customFormat="1" hidden="1" outlineLevel="2" x14ac:dyDescent="0.25">
      <c r="A29" s="27"/>
      <c r="B29" s="11" t="str">
        <f>CONCATENATE("          ", "6111", " - ", "F.I.C.A.")</f>
        <v xml:space="preserve">          6111 - F.I.C.A.</v>
      </c>
      <c r="C29" s="11"/>
      <c r="D29" s="6">
        <v>12899.09</v>
      </c>
      <c r="E29" s="2"/>
      <c r="F29" s="7">
        <f t="shared" si="12"/>
        <v>2.5462015198144974E-2</v>
      </c>
      <c r="G29" s="2"/>
      <c r="H29" s="6">
        <v>14161.246144760309</v>
      </c>
      <c r="I29" s="2"/>
      <c r="J29" s="7">
        <f t="shared" si="13"/>
        <v>2.9885756437239758E-2</v>
      </c>
      <c r="K29" s="2"/>
      <c r="L29" s="6">
        <f t="shared" si="14"/>
        <v>-1262.156144760309</v>
      </c>
      <c r="M29" s="2"/>
      <c r="N29" s="7">
        <f t="shared" si="15"/>
        <v>-8.9127477332022045E-2</v>
      </c>
      <c r="O29" s="11"/>
      <c r="P29" s="6">
        <v>26033.929999999997</v>
      </c>
      <c r="Q29" s="2"/>
      <c r="R29" s="7">
        <f t="shared" si="16"/>
        <v>2.5623060131108058E-2</v>
      </c>
      <c r="S29" s="2"/>
      <c r="T29" s="6">
        <v>29928.660638265697</v>
      </c>
      <c r="U29" s="2"/>
      <c r="V29" s="7">
        <f t="shared" si="17"/>
        <v>3.0801926043525694E-2</v>
      </c>
      <c r="W29" s="2"/>
      <c r="X29" s="6">
        <f t="shared" si="18"/>
        <v>-3894.7306382657007</v>
      </c>
      <c r="Y29" s="2"/>
      <c r="Z29" s="7">
        <f t="shared" si="19"/>
        <v>-0.13013381004046803</v>
      </c>
    </row>
    <row r="30" spans="1:26" s="24" customFormat="1" hidden="1" outlineLevel="2" x14ac:dyDescent="0.25">
      <c r="A30" s="27"/>
      <c r="B30" s="11" t="str">
        <f>CONCATENATE("          ", "6112", " - ", "COMPENSATION INSURANCE")</f>
        <v xml:space="preserve">          6112 - COMPENSATION INSURANCE</v>
      </c>
      <c r="C30" s="11"/>
      <c r="D30" s="6">
        <v>6934.63</v>
      </c>
      <c r="E30" s="2"/>
      <c r="F30" s="7">
        <f t="shared" si="12"/>
        <v>1.3688535738064628E-2</v>
      </c>
      <c r="G30" s="2"/>
      <c r="H30" s="6">
        <v>7889.0838679015405</v>
      </c>
      <c r="I30" s="2"/>
      <c r="J30" s="7">
        <f t="shared" si="13"/>
        <v>1.6649046035846122E-2</v>
      </c>
      <c r="K30" s="2"/>
      <c r="L30" s="6">
        <f t="shared" si="14"/>
        <v>-954.45386790154043</v>
      </c>
      <c r="M30" s="2"/>
      <c r="N30" s="7">
        <f t="shared" si="15"/>
        <v>-0.1209841198145889</v>
      </c>
      <c r="O30" s="11"/>
      <c r="P30" s="6">
        <v>13989.39</v>
      </c>
      <c r="Q30" s="2"/>
      <c r="R30" s="7">
        <f t="shared" si="16"/>
        <v>1.3768608165095389E-2</v>
      </c>
      <c r="S30" s="2"/>
      <c r="T30" s="6">
        <v>16682.439131378462</v>
      </c>
      <c r="U30" s="2"/>
      <c r="V30" s="7">
        <f t="shared" si="17"/>
        <v>1.7169203211631425E-2</v>
      </c>
      <c r="W30" s="2"/>
      <c r="X30" s="6">
        <f t="shared" si="18"/>
        <v>-2693.0491313784623</v>
      </c>
      <c r="Y30" s="2"/>
      <c r="Z30" s="7">
        <f t="shared" si="19"/>
        <v>-0.16143017877481908</v>
      </c>
    </row>
    <row r="31" spans="1:26" s="24" customFormat="1" hidden="1" outlineLevel="2" x14ac:dyDescent="0.25">
      <c r="A31" s="27"/>
      <c r="B31" s="11" t="str">
        <f>CONCATENATE("          ", "6113", " - ", "GROUP INSURANCE")</f>
        <v xml:space="preserve">          6113 - GROUP INSURANCE</v>
      </c>
      <c r="C31" s="11"/>
      <c r="D31" s="6">
        <v>45625.93</v>
      </c>
      <c r="E31" s="2"/>
      <c r="F31" s="7">
        <f t="shared" si="12"/>
        <v>9.00627969174181E-2</v>
      </c>
      <c r="G31" s="2"/>
      <c r="H31" s="6">
        <v>44401.692307692305</v>
      </c>
      <c r="I31" s="2"/>
      <c r="J31" s="7">
        <f t="shared" si="13"/>
        <v>9.3704900553539153E-2</v>
      </c>
      <c r="K31" s="2"/>
      <c r="L31" s="6">
        <f t="shared" si="14"/>
        <v>1224.2376923076954</v>
      </c>
      <c r="M31" s="2"/>
      <c r="N31" s="7">
        <f t="shared" si="15"/>
        <v>2.7571870095041494E-2</v>
      </c>
      <c r="O31" s="11"/>
      <c r="P31" s="6">
        <v>90086.96</v>
      </c>
      <c r="Q31" s="2"/>
      <c r="R31" s="7">
        <f t="shared" si="16"/>
        <v>8.8665199342117265E-2</v>
      </c>
      <c r="S31" s="2"/>
      <c r="T31" s="6">
        <v>94296.384615384595</v>
      </c>
      <c r="U31" s="2"/>
      <c r="V31" s="7">
        <f t="shared" si="17"/>
        <v>9.704778640783307E-2</v>
      </c>
      <c r="W31" s="2"/>
      <c r="X31" s="6">
        <f t="shared" si="18"/>
        <v>-4209.4246153845888</v>
      </c>
      <c r="Y31" s="2"/>
      <c r="Z31" s="7">
        <f t="shared" si="19"/>
        <v>-4.4640360630515782E-2</v>
      </c>
    </row>
    <row r="32" spans="1:26" s="24" customFormat="1" hidden="1" outlineLevel="2" x14ac:dyDescent="0.25">
      <c r="A32" s="27"/>
      <c r="B32" s="11" t="str">
        <f>CONCATENATE("          ", "6114", " - ", "STATE UNEMPLOYMENT INSURANCE")</f>
        <v xml:space="preserve">          6114 - STATE UNEMPLOYMENT INSURANCE</v>
      </c>
      <c r="C32" s="11"/>
      <c r="D32" s="6">
        <v>466.53</v>
      </c>
      <c r="E32" s="2"/>
      <c r="F32" s="7">
        <f t="shared" si="12"/>
        <v>9.2090170317367913E-4</v>
      </c>
      <c r="G32" s="2"/>
      <c r="H32" s="6">
        <v>530.50614887999996</v>
      </c>
      <c r="I32" s="2"/>
      <c r="J32" s="7">
        <f t="shared" si="13"/>
        <v>1.1195750283425417E-3</v>
      </c>
      <c r="K32" s="2"/>
      <c r="L32" s="6">
        <f t="shared" si="14"/>
        <v>-63.976148879999982</v>
      </c>
      <c r="M32" s="2"/>
      <c r="N32" s="7">
        <f t="shared" si="15"/>
        <v>-0.1205945473300656</v>
      </c>
      <c r="O32" s="11"/>
      <c r="P32" s="6">
        <v>940.55</v>
      </c>
      <c r="Q32" s="2"/>
      <c r="R32" s="7">
        <f t="shared" si="16"/>
        <v>9.2570615371223954E-4</v>
      </c>
      <c r="S32" s="2"/>
      <c r="T32" s="6">
        <v>1119.7516046799999</v>
      </c>
      <c r="U32" s="2"/>
      <c r="V32" s="7">
        <f t="shared" si="17"/>
        <v>1.1524239768476064E-3</v>
      </c>
      <c r="W32" s="2"/>
      <c r="X32" s="6">
        <f t="shared" si="18"/>
        <v>-179.20160467999995</v>
      </c>
      <c r="Y32" s="2"/>
      <c r="Z32" s="7">
        <f t="shared" si="19"/>
        <v>-0.16003692598521596</v>
      </c>
    </row>
    <row r="33" spans="1:26" s="24" customFormat="1" hidden="1" outlineLevel="2" x14ac:dyDescent="0.25">
      <c r="A33" s="27"/>
      <c r="B33" s="11" t="str">
        <f>CONCATENATE("          ", "6115", " - ", "P.E.R.S.")</f>
        <v xml:space="preserve">          6115 - P.E.R.S.</v>
      </c>
      <c r="C33" s="11"/>
      <c r="D33" s="6">
        <v>4215.32</v>
      </c>
      <c r="E33" s="2"/>
      <c r="F33" s="7">
        <f t="shared" si="12"/>
        <v>8.3207840169379748E-3</v>
      </c>
      <c r="G33" s="2"/>
      <c r="H33" s="6">
        <v>3642.2280791384651</v>
      </c>
      <c r="I33" s="2"/>
      <c r="J33" s="7">
        <f t="shared" si="13"/>
        <v>7.686522792507409E-3</v>
      </c>
      <c r="K33" s="2"/>
      <c r="L33" s="6">
        <f t="shared" si="14"/>
        <v>573.09192086153462</v>
      </c>
      <c r="M33" s="2"/>
      <c r="N33" s="7">
        <f t="shared" si="15"/>
        <v>0.15734652207642474</v>
      </c>
      <c r="O33" s="11"/>
      <c r="P33" s="6">
        <v>8177.86</v>
      </c>
      <c r="Q33" s="2"/>
      <c r="R33" s="7">
        <f t="shared" si="16"/>
        <v>8.0487962640977892E-3</v>
      </c>
      <c r="S33" s="2"/>
      <c r="T33" s="6">
        <v>8195.0131780615447</v>
      </c>
      <c r="U33" s="2"/>
      <c r="V33" s="7">
        <f t="shared" si="17"/>
        <v>8.4341291742816033E-3</v>
      </c>
      <c r="W33" s="2"/>
      <c r="X33" s="6">
        <f t="shared" si="18"/>
        <v>-17.153178061545077</v>
      </c>
      <c r="Y33" s="2"/>
      <c r="Z33" s="7">
        <f t="shared" si="19"/>
        <v>-2.0931239143659932E-3</v>
      </c>
    </row>
    <row r="34" spans="1:26" s="24" customFormat="1" hidden="1" outlineLevel="2" x14ac:dyDescent="0.25">
      <c r="A34" s="27"/>
      <c r="B34" s="11" t="str">
        <f>CONCATENATE("          ", "6116", " - ", "EDUCATIONAL BENEFITS")</f>
        <v xml:space="preserve">          6116 - EDUCATIONAL BENEFITS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7"/>
      <c r="B35" s="11" t="str">
        <f>CONCATENATE("          ", "6117", " - ", "RETIREMENT STAFF HOURLY")</f>
        <v xml:space="preserve">          6117 - RETIREMENT STAFF HOURLY</v>
      </c>
      <c r="C35" s="11"/>
      <c r="D35" s="6">
        <v>1165.05</v>
      </c>
      <c r="E35" s="2"/>
      <c r="F35" s="7">
        <f t="shared" si="12"/>
        <v>2.2997374858690651E-3</v>
      </c>
      <c r="G35" s="2"/>
      <c r="H35" s="6"/>
      <c r="I35" s="2"/>
      <c r="J35" s="7">
        <f t="shared" si="13"/>
        <v>0</v>
      </c>
      <c r="K35" s="2"/>
      <c r="L35" s="6">
        <f t="shared" si="14"/>
        <v>1165.05</v>
      </c>
      <c r="M35" s="2"/>
      <c r="N35" s="7">
        <f t="shared" si="15"/>
        <v>0</v>
      </c>
      <c r="O35" s="11"/>
      <c r="P35" s="6">
        <v>2547.31</v>
      </c>
      <c r="Q35" s="2"/>
      <c r="R35" s="7">
        <f t="shared" si="16"/>
        <v>2.5071081201559994E-3</v>
      </c>
      <c r="S35" s="2"/>
      <c r="T35" s="6"/>
      <c r="U35" s="2"/>
      <c r="V35" s="7">
        <f t="shared" si="17"/>
        <v>0</v>
      </c>
      <c r="W35" s="2"/>
      <c r="X35" s="6">
        <f t="shared" si="18"/>
        <v>2547.31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"6118", " - ", "VACATION")</f>
        <v xml:space="preserve">          6118 - VACATION</v>
      </c>
      <c r="C36" s="11"/>
      <c r="D36" s="6">
        <v>7453.46</v>
      </c>
      <c r="E36" s="2"/>
      <c r="F36" s="7">
        <f t="shared" si="12"/>
        <v>1.4712674444380621E-2</v>
      </c>
      <c r="G36" s="2"/>
      <c r="H36" s="6">
        <v>3611.6687587692322</v>
      </c>
      <c r="I36" s="2"/>
      <c r="J36" s="7">
        <f t="shared" si="13"/>
        <v>7.6220306993606208E-3</v>
      </c>
      <c r="K36" s="2"/>
      <c r="L36" s="6">
        <f t="shared" si="14"/>
        <v>3841.7912412307678</v>
      </c>
      <c r="M36" s="2"/>
      <c r="N36" s="7">
        <f t="shared" si="15"/>
        <v>1.0637163864772459</v>
      </c>
      <c r="O36" s="11"/>
      <c r="P36" s="6">
        <v>18398.12</v>
      </c>
      <c r="Q36" s="2"/>
      <c r="R36" s="7">
        <f t="shared" si="16"/>
        <v>1.8107759184239253E-2</v>
      </c>
      <c r="S36" s="2"/>
      <c r="T36" s="6">
        <v>8005.5963872307675</v>
      </c>
      <c r="U36" s="2"/>
      <c r="V36" s="7">
        <f t="shared" si="17"/>
        <v>8.2391855363724634E-3</v>
      </c>
      <c r="W36" s="2"/>
      <c r="X36" s="6">
        <f t="shared" si="18"/>
        <v>10392.523612769231</v>
      </c>
      <c r="Y36" s="2"/>
      <c r="Z36" s="7">
        <f t="shared" si="19"/>
        <v>1.2981573277096137</v>
      </c>
    </row>
    <row r="37" spans="1:26" s="24" customFormat="1" hidden="1" outlineLevel="2" x14ac:dyDescent="0.25">
      <c r="A37" s="27"/>
      <c r="B37" s="11" t="str">
        <f>CONCATENATE("          ", "6119", " - ", "SICK LEAVE")</f>
        <v xml:space="preserve">          6119 - SICK LEAVE</v>
      </c>
      <c r="C37" s="11"/>
      <c r="D37" s="6">
        <v>4745.12</v>
      </c>
      <c r="E37" s="2"/>
      <c r="F37" s="7">
        <f t="shared" si="12"/>
        <v>9.3665768327084835E-3</v>
      </c>
      <c r="G37" s="2"/>
      <c r="H37" s="6">
        <v>5486.8519147692323</v>
      </c>
      <c r="I37" s="2"/>
      <c r="J37" s="7">
        <f t="shared" si="13"/>
        <v>1.1579399034220471E-2</v>
      </c>
      <c r="K37" s="2"/>
      <c r="L37" s="6">
        <f t="shared" si="14"/>
        <v>-741.73191476923239</v>
      </c>
      <c r="M37" s="2"/>
      <c r="N37" s="7">
        <f t="shared" si="15"/>
        <v>-0.13518351256622685</v>
      </c>
      <c r="O37" s="11"/>
      <c r="P37" s="6">
        <v>21174.42</v>
      </c>
      <c r="Q37" s="2"/>
      <c r="R37" s="7">
        <f t="shared" si="16"/>
        <v>2.0840243363231641E-2</v>
      </c>
      <c r="S37" s="2"/>
      <c r="T37" s="6">
        <v>11492.871843230769</v>
      </c>
      <c r="U37" s="2"/>
      <c r="V37" s="7">
        <f t="shared" si="17"/>
        <v>1.1828213524874485E-2</v>
      </c>
      <c r="W37" s="2"/>
      <c r="X37" s="6">
        <f t="shared" si="18"/>
        <v>9681.5481567692295</v>
      </c>
      <c r="Y37" s="2"/>
      <c r="Z37" s="7">
        <f t="shared" si="19"/>
        <v>0.84239590320252311</v>
      </c>
    </row>
    <row r="38" spans="1:26" s="24" customFormat="1" hidden="1" outlineLevel="2" x14ac:dyDescent="0.25">
      <c r="A38" s="27"/>
      <c r="B38" s="11" t="str">
        <f>CONCATENATE("          ", "6156", " - ", "EMPLOYEE MEALS")</f>
        <v xml:space="preserve">          6156 - EMPLOYEE MEALS</v>
      </c>
      <c r="C38" s="11"/>
      <c r="D38" s="6">
        <v>3047.18</v>
      </c>
      <c r="E38" s="2"/>
      <c r="F38" s="7">
        <f t="shared" si="12"/>
        <v>6.0149470599463522E-3</v>
      </c>
      <c r="G38" s="2"/>
      <c r="H38" s="6">
        <v>1500</v>
      </c>
      <c r="I38" s="2"/>
      <c r="J38" s="7">
        <f t="shared" si="13"/>
        <v>3.1655854433718976E-3</v>
      </c>
      <c r="K38" s="2"/>
      <c r="L38" s="6">
        <f t="shared" si="14"/>
        <v>1547.1799999999998</v>
      </c>
      <c r="M38" s="2"/>
      <c r="N38" s="7">
        <f t="shared" si="15"/>
        <v>1.0314533333333333</v>
      </c>
      <c r="O38" s="11"/>
      <c r="P38" s="6">
        <v>6137.75</v>
      </c>
      <c r="Q38" s="2"/>
      <c r="R38" s="7">
        <f t="shared" si="16"/>
        <v>6.0408834670642696E-3</v>
      </c>
      <c r="S38" s="2"/>
      <c r="T38" s="6">
        <v>3000</v>
      </c>
      <c r="U38" s="2"/>
      <c r="V38" s="7">
        <f t="shared" si="17"/>
        <v>3.0875346961711484E-3</v>
      </c>
      <c r="W38" s="2"/>
      <c r="X38" s="6">
        <f t="shared" si="18"/>
        <v>3137.75</v>
      </c>
      <c r="Y38" s="2"/>
      <c r="Z38" s="7">
        <f t="shared" si="19"/>
        <v>1.0459166666666666</v>
      </c>
    </row>
    <row r="39" spans="1:26" s="26" customFormat="1" outlineLevel="1" collapsed="1" x14ac:dyDescent="0.25">
      <c r="A39" s="25"/>
      <c r="B39" s="13" t="str">
        <f>CONCATENATE("     ","*Payroll                                          ")</f>
        <v xml:space="preserve">     *Payroll                                          </v>
      </c>
      <c r="C39" s="13"/>
      <c r="D39" s="1">
        <f>SUM(OSRRefD22_1x_0)</f>
        <v>192867.7</v>
      </c>
      <c r="E39" s="1"/>
      <c r="F39" s="5">
        <f t="shared" ref="F39:F49" si="20">IF(D$12=0,0,D39/D$12)</f>
        <v>0.38070905068739463</v>
      </c>
      <c r="G39" s="1"/>
      <c r="H39" s="1">
        <f>SUM(OSRRefH22_1x_0)</f>
        <v>196031.99581876921</v>
      </c>
      <c r="I39" s="1"/>
      <c r="J39" s="5">
        <f t="shared" ref="J39:J49" si="21">IF(H$12=0,0,H39/H$12)</f>
        <v>0.41370402159935765</v>
      </c>
      <c r="K39" s="1"/>
      <c r="L39" s="1">
        <f t="shared" ref="L39:L49" si="22">+D39-H39</f>
        <v>-3164.2958187691984</v>
      </c>
      <c r="M39" s="1"/>
      <c r="N39" s="5">
        <f t="shared" ref="N39:N49" si="23">IF(H39=0,0,L39/H39)</f>
        <v>-1.6141731381924904E-2</v>
      </c>
      <c r="O39" s="13"/>
      <c r="P39" s="1">
        <f>SUM(OSRRefP22_1x_0)</f>
        <v>398288.76</v>
      </c>
      <c r="Q39" s="1"/>
      <c r="R39" s="5">
        <f t="shared" ref="R39:R49" si="24">IF(P$12=0,0,P39/P$12)</f>
        <v>0.39200293029229422</v>
      </c>
      <c r="S39" s="1"/>
      <c r="T39" s="1">
        <f>SUM(OSRRefT22_1x_0)</f>
        <v>413821.25587723067</v>
      </c>
      <c r="U39" s="1"/>
      <c r="V39" s="5">
        <f t="shared" ref="V39:V49" si="25">IF(T$12=0,0,T39/T$12)</f>
        <v>0.4258958285113561</v>
      </c>
      <c r="W39" s="1"/>
      <c r="X39" s="1">
        <f t="shared" ref="X39:X49" si="26">+P39-T39</f>
        <v>-15532.495877230656</v>
      </c>
      <c r="Y39" s="1"/>
      <c r="Z39" s="5">
        <f t="shared" ref="Z39:Z49" si="27">IF(T39=0,0,X39/T39)</f>
        <v>-3.7534311388390154E-2</v>
      </c>
    </row>
    <row r="40" spans="1:26" s="24" customFormat="1" hidden="1" outlineLevel="2" x14ac:dyDescent="0.25">
      <c r="A40" s="27"/>
      <c r="B40" s="11" t="str">
        <f>CONCATENATE("          ", "6001", " - ", "ADMINISTRATIVE SALARIES")</f>
        <v xml:space="preserve">          6001 - ADMINISTRATIVE SALARIES</v>
      </c>
      <c r="C40" s="11"/>
      <c r="D40" s="6">
        <v>5294.28</v>
      </c>
      <c r="E40" s="2"/>
      <c r="F40" s="7">
        <f t="shared" si="20"/>
        <v>1.0450585105091519E-2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5294.28</v>
      </c>
      <c r="M40" s="2"/>
      <c r="N40" s="7">
        <f t="shared" si="23"/>
        <v>0</v>
      </c>
      <c r="O40" s="11"/>
      <c r="P40" s="6">
        <v>13031.81</v>
      </c>
      <c r="Q40" s="2"/>
      <c r="R40" s="7">
        <f t="shared" si="24"/>
        <v>1.2826140780403701E-2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13031.81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"6002", " - ", "STAFF SALARIES")</f>
        <v xml:space="preserve">          6002 - STAFF SALARIES</v>
      </c>
      <c r="C41" s="11"/>
      <c r="D41" s="6">
        <v>37442.700000000004</v>
      </c>
      <c r="E41" s="2"/>
      <c r="F41" s="7">
        <f t="shared" si="20"/>
        <v>7.3909601100510411E-2</v>
      </c>
      <c r="G41" s="2"/>
      <c r="H41" s="6">
        <v>39678.938974769218</v>
      </c>
      <c r="I41" s="2"/>
      <c r="J41" s="7">
        <f t="shared" si="21"/>
        <v>8.3738047751314187E-2</v>
      </c>
      <c r="K41" s="2"/>
      <c r="L41" s="6">
        <f t="shared" si="22"/>
        <v>-2236.2389747692141</v>
      </c>
      <c r="M41" s="2"/>
      <c r="N41" s="7">
        <f t="shared" si="23"/>
        <v>-5.6358335997622792E-2</v>
      </c>
      <c r="O41" s="11"/>
      <c r="P41" s="6">
        <v>82827.11</v>
      </c>
      <c r="Q41" s="2"/>
      <c r="R41" s="7">
        <f t="shared" si="24"/>
        <v>8.1519924960077164E-2</v>
      </c>
      <c r="S41" s="2"/>
      <c r="T41" s="6">
        <v>89277.61269323068</v>
      </c>
      <c r="U41" s="2"/>
      <c r="V41" s="7">
        <f t="shared" si="25"/>
        <v>9.1882575593893151E-2</v>
      </c>
      <c r="W41" s="2"/>
      <c r="X41" s="6">
        <f t="shared" si="26"/>
        <v>-6450.5026932306791</v>
      </c>
      <c r="Y41" s="2"/>
      <c r="Z41" s="7">
        <f t="shared" si="27"/>
        <v>-7.2252186171189781E-2</v>
      </c>
    </row>
    <row r="42" spans="1:26" s="24" customFormat="1" hidden="1" outlineLevel="2" x14ac:dyDescent="0.25">
      <c r="A42" s="27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"6004", " - ", "STAFF HOURLY")</f>
        <v xml:space="preserve">          6004 - STAFF HOURLY</v>
      </c>
      <c r="C43" s="11"/>
      <c r="D43" s="6">
        <v>37745.11</v>
      </c>
      <c r="E43" s="2"/>
      <c r="F43" s="7">
        <f t="shared" si="20"/>
        <v>7.4506539955582429E-2</v>
      </c>
      <c r="G43" s="2"/>
      <c r="H43" s="6">
        <v>78137.003039999996</v>
      </c>
      <c r="I43" s="2"/>
      <c r="J43" s="7">
        <f t="shared" si="21"/>
        <v>0.1648995729414198</v>
      </c>
      <c r="K43" s="2"/>
      <c r="L43" s="6">
        <f t="shared" si="22"/>
        <v>-40391.893039999995</v>
      </c>
      <c r="M43" s="2"/>
      <c r="N43" s="7">
        <f t="shared" si="23"/>
        <v>-0.51693680930304586</v>
      </c>
      <c r="O43" s="11"/>
      <c r="P43" s="6">
        <v>83517.600000000006</v>
      </c>
      <c r="Q43" s="2"/>
      <c r="R43" s="7">
        <f t="shared" si="24"/>
        <v>8.2199517583623788E-2</v>
      </c>
      <c r="S43" s="2"/>
      <c r="T43" s="6">
        <v>163375.62948</v>
      </c>
      <c r="U43" s="2"/>
      <c r="V43" s="7">
        <f t="shared" si="25"/>
        <v>0.16814264150943398</v>
      </c>
      <c r="W43" s="2"/>
      <c r="X43" s="6">
        <f t="shared" si="26"/>
        <v>-79858.029479999997</v>
      </c>
      <c r="Y43" s="2"/>
      <c r="Z43" s="7">
        <f t="shared" si="27"/>
        <v>-0.48880013337470263</v>
      </c>
    </row>
    <row r="44" spans="1:26" s="24" customFormat="1" hidden="1" outlineLevel="2" x14ac:dyDescent="0.25">
      <c r="A44" s="27"/>
      <c r="B44" s="11" t="str">
        <f>CONCATENATE("          ", "6005", " - ", "TEMPORARY WAGES-HOURLY")</f>
        <v xml:space="preserve">          6005 - TEMPORARY WAGES-HOURLY</v>
      </c>
      <c r="C44" s="11"/>
      <c r="D44" s="6">
        <v>30349.040000000001</v>
      </c>
      <c r="E44" s="2"/>
      <c r="F44" s="7">
        <f t="shared" si="20"/>
        <v>5.9907149863215908E-2</v>
      </c>
      <c r="G44" s="2"/>
      <c r="H44" s="6">
        <v>17072.061304000003</v>
      </c>
      <c r="I44" s="2"/>
      <c r="J44" s="7">
        <f t="shared" si="21"/>
        <v>3.6028712501530044E-2</v>
      </c>
      <c r="K44" s="2"/>
      <c r="L44" s="6">
        <f t="shared" si="22"/>
        <v>13276.978695999998</v>
      </c>
      <c r="M44" s="2"/>
      <c r="N44" s="7">
        <f t="shared" si="23"/>
        <v>0.77770214501802359</v>
      </c>
      <c r="O44" s="11"/>
      <c r="P44" s="6">
        <v>64524.450000000004</v>
      </c>
      <c r="Q44" s="2"/>
      <c r="R44" s="7">
        <f t="shared" si="24"/>
        <v>6.3506119217370399E-2</v>
      </c>
      <c r="S44" s="2"/>
      <c r="T44" s="6">
        <v>32172.458703999997</v>
      </c>
      <c r="U44" s="2"/>
      <c r="V44" s="7">
        <f t="shared" si="25"/>
        <v>3.3111194169911151E-2</v>
      </c>
      <c r="W44" s="2"/>
      <c r="X44" s="6">
        <f t="shared" si="26"/>
        <v>32351.991296000007</v>
      </c>
      <c r="Y44" s="2"/>
      <c r="Z44" s="7">
        <f t="shared" si="27"/>
        <v>1.0055803192927151</v>
      </c>
    </row>
    <row r="45" spans="1:26" s="24" customFormat="1" hidden="1" outlineLevel="2" x14ac:dyDescent="0.25">
      <c r="A45" s="27"/>
      <c r="B45" s="11" t="str">
        <f>CONCATENATE("          ", "6006", " - ", "TEMPORARY PART TIME")</f>
        <v xml:space="preserve">          6006 - TEMPORARY PART TIME</v>
      </c>
      <c r="C45" s="11"/>
      <c r="D45" s="6">
        <v>4951.3100000000004</v>
      </c>
      <c r="E45" s="2"/>
      <c r="F45" s="7">
        <f t="shared" si="20"/>
        <v>9.7735832892651489E-3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4951.3100000000004</v>
      </c>
      <c r="M45" s="2"/>
      <c r="N45" s="7">
        <f t="shared" si="23"/>
        <v>0</v>
      </c>
      <c r="O45" s="11"/>
      <c r="P45" s="6">
        <v>11275.88</v>
      </c>
      <c r="Q45" s="2"/>
      <c r="R45" s="7">
        <f t="shared" si="24"/>
        <v>1.1097923028569207E-2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11275.88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"6007", " - ", "STUDENT HOURLY")</f>
        <v xml:space="preserve">          6007 - STUDENT HOURLY</v>
      </c>
      <c r="C46" s="11"/>
      <c r="D46" s="6">
        <v>67318.759999999995</v>
      </c>
      <c r="E46" s="2"/>
      <c r="F46" s="7">
        <f t="shared" si="20"/>
        <v>0.13288311735481137</v>
      </c>
      <c r="G46" s="2"/>
      <c r="H46" s="6">
        <v>59744.992500000008</v>
      </c>
      <c r="I46" s="2"/>
      <c r="J46" s="7">
        <f t="shared" si="21"/>
        <v>0.12608525238157547</v>
      </c>
      <c r="K46" s="2"/>
      <c r="L46" s="6">
        <f t="shared" si="22"/>
        <v>7573.7674999999872</v>
      </c>
      <c r="M46" s="2"/>
      <c r="N46" s="7">
        <f t="shared" si="23"/>
        <v>0.12676823919594576</v>
      </c>
      <c r="O46" s="11"/>
      <c r="P46" s="6">
        <v>124075.41</v>
      </c>
      <c r="Q46" s="2"/>
      <c r="R46" s="7">
        <f t="shared" si="24"/>
        <v>0.12211724050966898</v>
      </c>
      <c r="S46" s="2"/>
      <c r="T46" s="6">
        <v>122711.39249999999</v>
      </c>
      <c r="U46" s="2"/>
      <c r="V46" s="7">
        <f t="shared" si="25"/>
        <v>0.12629189398640867</v>
      </c>
      <c r="W46" s="2"/>
      <c r="X46" s="6">
        <f t="shared" si="26"/>
        <v>1364.0175000000163</v>
      </c>
      <c r="Y46" s="2"/>
      <c r="Z46" s="7">
        <f t="shared" si="27"/>
        <v>1.1115654970666366E-2</v>
      </c>
    </row>
    <row r="47" spans="1:26" s="24" customFormat="1" hidden="1" outlineLevel="2" x14ac:dyDescent="0.25">
      <c r="A47" s="27"/>
      <c r="B47" s="11" t="str">
        <f>CONCATENATE("          ", "6008", " - ", "STUDENT HOURLY-FICA EXEMPT")</f>
        <v xml:space="preserve">          6008 - STUDENT HOURLY-FICA EXEMPT</v>
      </c>
      <c r="C47" s="11"/>
      <c r="D47" s="6">
        <v>9766.5</v>
      </c>
      <c r="E47" s="2"/>
      <c r="F47" s="7">
        <f t="shared" si="20"/>
        <v>1.9278474018917836E-2</v>
      </c>
      <c r="G47" s="2"/>
      <c r="H47" s="6">
        <v>1399</v>
      </c>
      <c r="I47" s="2"/>
      <c r="J47" s="7">
        <f t="shared" si="21"/>
        <v>2.9524360235181897E-3</v>
      </c>
      <c r="K47" s="2"/>
      <c r="L47" s="6">
        <f t="shared" si="22"/>
        <v>8367.5</v>
      </c>
      <c r="M47" s="2"/>
      <c r="N47" s="7">
        <f t="shared" si="23"/>
        <v>5.9810578984989275</v>
      </c>
      <c r="O47" s="11"/>
      <c r="P47" s="6">
        <v>19036.5</v>
      </c>
      <c r="Q47" s="2"/>
      <c r="R47" s="7">
        <f t="shared" si="24"/>
        <v>1.8736064212580988E-2</v>
      </c>
      <c r="S47" s="2"/>
      <c r="T47" s="6">
        <v>6284.1624999999995</v>
      </c>
      <c r="U47" s="2"/>
      <c r="V47" s="7">
        <f t="shared" si="25"/>
        <v>6.4675232517092075E-3</v>
      </c>
      <c r="W47" s="2"/>
      <c r="X47" s="6">
        <f t="shared" si="26"/>
        <v>12752.337500000001</v>
      </c>
      <c r="Y47" s="2"/>
      <c r="Z47" s="7">
        <f t="shared" si="27"/>
        <v>2.0292819448892359</v>
      </c>
    </row>
    <row r="48" spans="1:26" s="24" customFormat="1" hidden="1" outlineLevel="2" x14ac:dyDescent="0.25">
      <c r="A48" s="27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20"/>
        <v>0</v>
      </c>
      <c r="G48" s="2"/>
      <c r="H48" s="6">
        <v>0</v>
      </c>
      <c r="I48" s="2"/>
      <c r="J48" s="7">
        <f t="shared" si="21"/>
        <v>0</v>
      </c>
      <c r="K48" s="2"/>
      <c r="L48" s="6">
        <f t="shared" si="22"/>
        <v>0</v>
      </c>
      <c r="M48" s="2"/>
      <c r="N48" s="7">
        <f t="shared" si="23"/>
        <v>0</v>
      </c>
      <c r="O48" s="11"/>
      <c r="P48" s="6"/>
      <c r="Q48" s="2"/>
      <c r="R48" s="7">
        <f t="shared" si="24"/>
        <v>0</v>
      </c>
      <c r="S48" s="2"/>
      <c r="T48" s="6">
        <v>0</v>
      </c>
      <c r="U48" s="2"/>
      <c r="V48" s="7">
        <f t="shared" si="25"/>
        <v>0</v>
      </c>
      <c r="W48" s="2"/>
      <c r="X48" s="6">
        <f t="shared" si="26"/>
        <v>0</v>
      </c>
      <c r="Y48" s="2"/>
      <c r="Z48" s="7">
        <f t="shared" si="27"/>
        <v>0</v>
      </c>
    </row>
    <row r="49" spans="1:26" s="24" customFormat="1" hidden="1" outlineLevel="2" x14ac:dyDescent="0.25">
      <c r="A49" s="27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20"/>
        <v>0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/>
      <c r="Q49" s="2"/>
      <c r="R49" s="7">
        <f t="shared" si="24"/>
        <v>0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0</v>
      </c>
      <c r="Y49" s="2"/>
      <c r="Z49" s="7">
        <f t="shared" si="27"/>
        <v>0</v>
      </c>
    </row>
    <row r="50" spans="1:26" s="26" customFormat="1" outlineLevel="1" collapsed="1" x14ac:dyDescent="0.25">
      <c r="A50" s="25"/>
      <c r="B50" s="13" t="str">
        <f>CONCATENATE("     ","Advertising/Promo                                 ")</f>
        <v xml:space="preserve">     Advertising/Promo                                 </v>
      </c>
      <c r="C50" s="13"/>
      <c r="D50" s="1">
        <f>SUM(OSRRefD22_2x_0)</f>
        <v>5519.13</v>
      </c>
      <c r="E50" s="1"/>
      <c r="F50" s="5">
        <f t="shared" ref="F50:F54" si="28">IF(D$12=0,0,D50/D$12)</f>
        <v>1.0894425261048482E-2</v>
      </c>
      <c r="G50" s="1"/>
      <c r="H50" s="1">
        <f>SUM(OSRRefH22_2x_0)</f>
        <v>2025</v>
      </c>
      <c r="I50" s="1"/>
      <c r="J50" s="5">
        <f t="shared" ref="J50:J54" si="29">IF(H$12=0,0,H50/H$12)</f>
        <v>4.2735403485520615E-3</v>
      </c>
      <c r="K50" s="1"/>
      <c r="L50" s="1">
        <f t="shared" ref="L50:L54" si="30">+D50-H50</f>
        <v>3494.13</v>
      </c>
      <c r="M50" s="1"/>
      <c r="N50" s="5">
        <f t="shared" ref="N50:N54" si="31">IF(H50=0,0,L50/H50)</f>
        <v>1.7254962962962963</v>
      </c>
      <c r="O50" s="13"/>
      <c r="P50" s="1">
        <f>SUM(OSRRefP22_2x_0)</f>
        <v>6787.2</v>
      </c>
      <c r="Q50" s="1"/>
      <c r="R50" s="5">
        <f t="shared" ref="R50:R54" si="32">IF(P$12=0,0,P50/P$12)</f>
        <v>6.6800837876516E-3</v>
      </c>
      <c r="S50" s="1"/>
      <c r="T50" s="1">
        <f>SUM(OSRRefT22_2x_0)</f>
        <v>5200</v>
      </c>
      <c r="U50" s="1"/>
      <c r="V50" s="5">
        <f t="shared" ref="V50:V54" si="33">IF(T$12=0,0,T50/T$12)</f>
        <v>5.3517268066966567E-3</v>
      </c>
      <c r="W50" s="1"/>
      <c r="X50" s="1">
        <f t="shared" ref="X50:X54" si="34">+P50-T50</f>
        <v>1587.1999999999998</v>
      </c>
      <c r="Y50" s="1"/>
      <c r="Z50" s="5">
        <f t="shared" ref="Z50:Z54" si="35">IF(T50=0,0,X50/T50)</f>
        <v>0.30523076923076919</v>
      </c>
    </row>
    <row r="51" spans="1:26" s="24" customFormat="1" hidden="1" outlineLevel="2" x14ac:dyDescent="0.25">
      <c r="A51" s="27"/>
      <c r="B51" s="11" t="str">
        <f>CONCATENATE("          ", "6362", " - ", "ADVERTISING EXPENSE")</f>
        <v xml:space="preserve">          6362 - ADVERTISING EXPENSE</v>
      </c>
      <c r="C51" s="11"/>
      <c r="D51" s="6">
        <v>5519.13</v>
      </c>
      <c r="E51" s="2"/>
      <c r="F51" s="7">
        <f t="shared" si="28"/>
        <v>1.0894425261048482E-2</v>
      </c>
      <c r="G51" s="2"/>
      <c r="H51" s="6">
        <v>2025</v>
      </c>
      <c r="I51" s="2"/>
      <c r="J51" s="7">
        <f t="shared" si="29"/>
        <v>4.2735403485520615E-3</v>
      </c>
      <c r="K51" s="2"/>
      <c r="L51" s="6">
        <f t="shared" si="30"/>
        <v>3494.13</v>
      </c>
      <c r="M51" s="2"/>
      <c r="N51" s="7">
        <f t="shared" si="31"/>
        <v>1.7254962962962963</v>
      </c>
      <c r="O51" s="11"/>
      <c r="P51" s="6">
        <v>6787.2</v>
      </c>
      <c r="Q51" s="2"/>
      <c r="R51" s="7">
        <f t="shared" si="32"/>
        <v>6.6800837876516E-3</v>
      </c>
      <c r="S51" s="2"/>
      <c r="T51" s="6">
        <v>5200</v>
      </c>
      <c r="U51" s="2"/>
      <c r="V51" s="7">
        <f t="shared" si="33"/>
        <v>5.3517268066966567E-3</v>
      </c>
      <c r="W51" s="2"/>
      <c r="X51" s="6">
        <f t="shared" si="34"/>
        <v>1587.1999999999998</v>
      </c>
      <c r="Y51" s="2"/>
      <c r="Z51" s="7">
        <f t="shared" si="35"/>
        <v>0.30523076923076919</v>
      </c>
    </row>
    <row r="52" spans="1:26" s="26" customFormat="1" outlineLevel="1" collapsed="1" x14ac:dyDescent="0.25">
      <c r="A52" s="25"/>
      <c r="B52" s="13" t="str">
        <f>CONCATENATE("     ","Bad Debts/Over/Short                              ")</f>
        <v xml:space="preserve">     Bad Debts/Over/Short                              </v>
      </c>
      <c r="C52" s="13"/>
      <c r="D52" s="1">
        <f>SUM(OSRRefD22_3x_0)</f>
        <v>-0.28999999999999998</v>
      </c>
      <c r="E52" s="1"/>
      <c r="F52" s="5">
        <f t="shared" si="28"/>
        <v>-5.7244227363806605E-7</v>
      </c>
      <c r="G52" s="1"/>
      <c r="H52" s="1">
        <f>SUM(OSRRefH22_3x_0)</f>
        <v>115</v>
      </c>
      <c r="I52" s="1"/>
      <c r="J52" s="5">
        <f t="shared" si="29"/>
        <v>2.4269488399184549E-4</v>
      </c>
      <c r="K52" s="1"/>
      <c r="L52" s="1">
        <f t="shared" si="30"/>
        <v>-115.29</v>
      </c>
      <c r="M52" s="1"/>
      <c r="N52" s="5">
        <f t="shared" si="31"/>
        <v>-1.0025217391304349</v>
      </c>
      <c r="O52" s="13"/>
      <c r="P52" s="1">
        <f>SUM(OSRRefP22_3x_0)</f>
        <v>-2.39</v>
      </c>
      <c r="Q52" s="1"/>
      <c r="R52" s="5">
        <f t="shared" si="32"/>
        <v>-2.3522808009911782E-6</v>
      </c>
      <c r="S52" s="1"/>
      <c r="T52" s="1">
        <f>SUM(OSRRefT22_3x_0)</f>
        <v>158</v>
      </c>
      <c r="U52" s="1"/>
      <c r="V52" s="5">
        <f t="shared" si="33"/>
        <v>1.6261016066501381E-4</v>
      </c>
      <c r="W52" s="1"/>
      <c r="X52" s="1">
        <f t="shared" si="34"/>
        <v>-160.38999999999999</v>
      </c>
      <c r="Y52" s="1"/>
      <c r="Z52" s="5">
        <f t="shared" si="35"/>
        <v>-1.015126582278481</v>
      </c>
    </row>
    <row r="53" spans="1:26" s="24" customFormat="1" hidden="1" outlineLevel="2" x14ac:dyDescent="0.25">
      <c r="A53" s="27"/>
      <c r="B53" s="11" t="str">
        <f>CONCATENATE("          ", "6272", " - ", "CASH (OVER/SHORT)")</f>
        <v xml:space="preserve">          6272 - CASH (OVER/SHORT)</v>
      </c>
      <c r="C53" s="11"/>
      <c r="D53" s="6">
        <v>-0.28999999999999998</v>
      </c>
      <c r="E53" s="2"/>
      <c r="F53" s="7">
        <f t="shared" si="28"/>
        <v>-5.7244227363806605E-7</v>
      </c>
      <c r="G53" s="2"/>
      <c r="H53" s="6">
        <v>65</v>
      </c>
      <c r="I53" s="2"/>
      <c r="J53" s="7">
        <f t="shared" si="29"/>
        <v>1.3717536921278224E-4</v>
      </c>
      <c r="K53" s="2"/>
      <c r="L53" s="6">
        <f t="shared" si="30"/>
        <v>-65.290000000000006</v>
      </c>
      <c r="M53" s="2"/>
      <c r="N53" s="7">
        <f t="shared" si="31"/>
        <v>-1.0044615384615385</v>
      </c>
      <c r="O53" s="11"/>
      <c r="P53" s="6">
        <v>-2.39</v>
      </c>
      <c r="Q53" s="2"/>
      <c r="R53" s="7">
        <f t="shared" si="32"/>
        <v>-2.3522808009911782E-6</v>
      </c>
      <c r="S53" s="2"/>
      <c r="T53" s="6">
        <v>108</v>
      </c>
      <c r="U53" s="2"/>
      <c r="V53" s="7">
        <f t="shared" si="33"/>
        <v>1.1115124906216134E-4</v>
      </c>
      <c r="W53" s="2"/>
      <c r="X53" s="6">
        <f t="shared" si="34"/>
        <v>-110.39</v>
      </c>
      <c r="Y53" s="2"/>
      <c r="Z53" s="7">
        <f t="shared" si="35"/>
        <v>-1.0221296296296296</v>
      </c>
    </row>
    <row r="54" spans="1:26" s="24" customFormat="1" hidden="1" outlineLevel="2" x14ac:dyDescent="0.25">
      <c r="A54" s="27"/>
      <c r="B54" s="11" t="str">
        <f>CONCATENATE("          ", "6342", " - ", "BAD DEBT")</f>
        <v xml:space="preserve">          6342 - BAD DEBT</v>
      </c>
      <c r="C54" s="11"/>
      <c r="D54" s="6"/>
      <c r="E54" s="2"/>
      <c r="F54" s="7">
        <f t="shared" si="28"/>
        <v>0</v>
      </c>
      <c r="G54" s="2"/>
      <c r="H54" s="6">
        <v>50</v>
      </c>
      <c r="I54" s="2"/>
      <c r="J54" s="7">
        <f t="shared" si="29"/>
        <v>1.0551951477906325E-4</v>
      </c>
      <c r="K54" s="2"/>
      <c r="L54" s="6">
        <f t="shared" si="30"/>
        <v>-50</v>
      </c>
      <c r="M54" s="2"/>
      <c r="N54" s="7">
        <f t="shared" si="31"/>
        <v>-1</v>
      </c>
      <c r="O54" s="11"/>
      <c r="P54" s="6"/>
      <c r="Q54" s="2"/>
      <c r="R54" s="7">
        <f t="shared" si="32"/>
        <v>0</v>
      </c>
      <c r="S54" s="2"/>
      <c r="T54" s="6">
        <v>50</v>
      </c>
      <c r="U54" s="2"/>
      <c r="V54" s="7">
        <f t="shared" si="33"/>
        <v>5.1458911602852471E-5</v>
      </c>
      <c r="W54" s="2"/>
      <c r="X54" s="6">
        <f t="shared" si="34"/>
        <v>-50</v>
      </c>
      <c r="Y54" s="2"/>
      <c r="Z54" s="7">
        <f t="shared" si="35"/>
        <v>-1</v>
      </c>
    </row>
    <row r="55" spans="1:26" s="26" customFormat="1" outlineLevel="1" collapsed="1" x14ac:dyDescent="0.25">
      <c r="A55" s="25"/>
      <c r="B55" s="13" t="str">
        <f>CONCATENATE("     ","Bank/card Fees                                    ")</f>
        <v xml:space="preserve">     Bank/card Fees                                    </v>
      </c>
      <c r="C55" s="13"/>
      <c r="D55" s="1">
        <f>SUM(OSRRefD22_4x_0)</f>
        <v>187.39</v>
      </c>
      <c r="E55" s="1"/>
      <c r="F55" s="5">
        <f t="shared" ref="F55:F59" si="36">IF(D$12=0,0,D55/D$12)</f>
        <v>3.6989640571392137E-4</v>
      </c>
      <c r="G55" s="1"/>
      <c r="H55" s="1">
        <f>SUM(OSRRefH22_4x_0)</f>
        <v>424</v>
      </c>
      <c r="I55" s="1"/>
      <c r="J55" s="5">
        <f t="shared" ref="J55:J59" si="37">IF(H$12=0,0,H55/H$12)</f>
        <v>8.9480548532645636E-4</v>
      </c>
      <c r="K55" s="1"/>
      <c r="L55" s="1">
        <f t="shared" ref="L55:L59" si="38">+D55-H55</f>
        <v>-236.61</v>
      </c>
      <c r="M55" s="1"/>
      <c r="N55" s="5">
        <f t="shared" ref="N55:N59" si="39">IF(H55=0,0,L55/H55)</f>
        <v>-0.55804245283018872</v>
      </c>
      <c r="O55" s="13"/>
      <c r="P55" s="1">
        <f>SUM(OSRRefP22_4x_0)</f>
        <v>560.77</v>
      </c>
      <c r="Q55" s="1"/>
      <c r="R55" s="5">
        <f t="shared" ref="R55:R59" si="40">IF(P$12=0,0,P55/P$12)</f>
        <v>5.5191987647356614E-4</v>
      </c>
      <c r="S55" s="1"/>
      <c r="T55" s="1">
        <f>SUM(OSRRefT22_4x_0)</f>
        <v>839</v>
      </c>
      <c r="U55" s="1"/>
      <c r="V55" s="5">
        <f t="shared" ref="V55:V59" si="41">IF(T$12=0,0,T55/T$12)</f>
        <v>8.6348053669586442E-4</v>
      </c>
      <c r="W55" s="1"/>
      <c r="X55" s="1">
        <f t="shared" ref="X55:X59" si="42">+P55-T55</f>
        <v>-278.23</v>
      </c>
      <c r="Y55" s="1"/>
      <c r="Z55" s="5">
        <f t="shared" ref="Z55:Z59" si="43">IF(T55=0,0,X55/T55)</f>
        <v>-0.33162097735399287</v>
      </c>
    </row>
    <row r="56" spans="1:26" s="24" customFormat="1" hidden="1" outlineLevel="2" x14ac:dyDescent="0.25">
      <c r="A56" s="27"/>
      <c r="B56" s="11" t="str">
        <f>CONCATENATE("          ", "6381", " - ", "BANK/CREDIT CARD FEES")</f>
        <v xml:space="preserve">          6381 - BANK/CREDIT CARD FEES</v>
      </c>
      <c r="C56" s="11"/>
      <c r="D56" s="6">
        <v>187.39</v>
      </c>
      <c r="E56" s="2"/>
      <c r="F56" s="7">
        <f t="shared" si="36"/>
        <v>3.6989640571392137E-4</v>
      </c>
      <c r="G56" s="2"/>
      <c r="H56" s="6">
        <v>424</v>
      </c>
      <c r="I56" s="2"/>
      <c r="J56" s="7">
        <f t="shared" si="37"/>
        <v>8.9480548532645636E-4</v>
      </c>
      <c r="K56" s="2"/>
      <c r="L56" s="6">
        <f t="shared" si="38"/>
        <v>-236.61</v>
      </c>
      <c r="M56" s="2"/>
      <c r="N56" s="7">
        <f t="shared" si="39"/>
        <v>-0.55804245283018872</v>
      </c>
      <c r="O56" s="11"/>
      <c r="P56" s="6">
        <v>560.77</v>
      </c>
      <c r="Q56" s="2"/>
      <c r="R56" s="7">
        <f t="shared" si="40"/>
        <v>5.5191987647356614E-4</v>
      </c>
      <c r="S56" s="2"/>
      <c r="T56" s="6">
        <v>839</v>
      </c>
      <c r="U56" s="2"/>
      <c r="V56" s="7">
        <f t="shared" si="41"/>
        <v>8.6348053669586442E-4</v>
      </c>
      <c r="W56" s="2"/>
      <c r="X56" s="6">
        <f t="shared" si="42"/>
        <v>-278.23</v>
      </c>
      <c r="Y56" s="2"/>
      <c r="Z56" s="7">
        <f t="shared" si="43"/>
        <v>-0.33162097735399287</v>
      </c>
    </row>
    <row r="57" spans="1:26" s="26" customFormat="1" outlineLevel="1" collapsed="1" x14ac:dyDescent="0.25">
      <c r="A57" s="25"/>
      <c r="B57" s="13" t="str">
        <f>CONCATENATE("     ","Donations                                         ")</f>
        <v xml:space="preserve">     Donations                                         </v>
      </c>
      <c r="C57" s="13"/>
      <c r="D57" s="1">
        <f>SUM(OSRRefD22_5x_0)</f>
        <v>7780.75</v>
      </c>
      <c r="E57" s="1"/>
      <c r="F57" s="5">
        <f t="shared" si="36"/>
        <v>1.5358724898653043E-2</v>
      </c>
      <c r="G57" s="1"/>
      <c r="H57" s="1">
        <f>SUM(OSRRefH22_5x_0)</f>
        <v>8907</v>
      </c>
      <c r="I57" s="1"/>
      <c r="J57" s="5">
        <f t="shared" si="37"/>
        <v>1.8797246362742329E-2</v>
      </c>
      <c r="K57" s="1"/>
      <c r="L57" s="1">
        <f t="shared" si="38"/>
        <v>-1126.25</v>
      </c>
      <c r="M57" s="1"/>
      <c r="N57" s="5">
        <f t="shared" si="39"/>
        <v>-0.12644549230941957</v>
      </c>
      <c r="O57" s="13"/>
      <c r="P57" s="1">
        <f>SUM(OSRRefP22_5x_0)</f>
        <v>7780.75</v>
      </c>
      <c r="Q57" s="1"/>
      <c r="R57" s="5">
        <f t="shared" si="40"/>
        <v>7.6579534905071587E-3</v>
      </c>
      <c r="S57" s="1"/>
      <c r="T57" s="1">
        <f>SUM(OSRRefT22_5x_0)</f>
        <v>9007</v>
      </c>
      <c r="U57" s="1"/>
      <c r="V57" s="5">
        <f t="shared" si="41"/>
        <v>9.2698083361378442E-3</v>
      </c>
      <c r="W57" s="1"/>
      <c r="X57" s="1">
        <f t="shared" si="42"/>
        <v>-1226.25</v>
      </c>
      <c r="Y57" s="1"/>
      <c r="Z57" s="5">
        <f t="shared" si="43"/>
        <v>-0.13614411013656044</v>
      </c>
    </row>
    <row r="58" spans="1:26" s="24" customFormat="1" hidden="1" outlineLevel="2" x14ac:dyDescent="0.25">
      <c r="A58" s="27"/>
      <c r="B58" s="11" t="str">
        <f>CONCATENATE("          ", "6396", " - ", "COUPONS-CHARTROOM")</f>
        <v xml:space="preserve">          6396 - COUPONS-CHARTROOM</v>
      </c>
      <c r="C58" s="11"/>
      <c r="D58" s="6"/>
      <c r="E58" s="2"/>
      <c r="F58" s="7">
        <f t="shared" si="36"/>
        <v>0</v>
      </c>
      <c r="G58" s="2"/>
      <c r="H58" s="6">
        <v>100</v>
      </c>
      <c r="I58" s="2"/>
      <c r="J58" s="7">
        <f t="shared" si="37"/>
        <v>2.1103902955812651E-4</v>
      </c>
      <c r="K58" s="2"/>
      <c r="L58" s="6">
        <f t="shared" si="38"/>
        <v>-100</v>
      </c>
      <c r="M58" s="2"/>
      <c r="N58" s="7">
        <f t="shared" si="39"/>
        <v>-1</v>
      </c>
      <c r="O58" s="11"/>
      <c r="P58" s="6"/>
      <c r="Q58" s="2"/>
      <c r="R58" s="7">
        <f t="shared" si="40"/>
        <v>0</v>
      </c>
      <c r="S58" s="2"/>
      <c r="T58" s="6">
        <v>200</v>
      </c>
      <c r="U58" s="2"/>
      <c r="V58" s="7">
        <f t="shared" si="41"/>
        <v>2.0583564641140988E-4</v>
      </c>
      <c r="W58" s="2"/>
      <c r="X58" s="6">
        <f t="shared" si="42"/>
        <v>-200</v>
      </c>
      <c r="Y58" s="2"/>
      <c r="Z58" s="7">
        <f t="shared" si="43"/>
        <v>-1</v>
      </c>
    </row>
    <row r="59" spans="1:26" s="24" customFormat="1" hidden="1" outlineLevel="2" x14ac:dyDescent="0.25">
      <c r="A59" s="27"/>
      <c r="B59" s="11" t="str">
        <f>CONCATENATE("          ", "6399", " - ", "DONATION-ON CAMPUS")</f>
        <v xml:space="preserve">          6399 - DONATION-ON CAMPUS</v>
      </c>
      <c r="C59" s="11"/>
      <c r="D59" s="6">
        <v>7780.75</v>
      </c>
      <c r="E59" s="2"/>
      <c r="F59" s="7">
        <f t="shared" si="36"/>
        <v>1.5358724898653043E-2</v>
      </c>
      <c r="G59" s="2"/>
      <c r="H59" s="6">
        <v>8807</v>
      </c>
      <c r="I59" s="2"/>
      <c r="J59" s="7">
        <f t="shared" si="37"/>
        <v>1.8586207333184203E-2</v>
      </c>
      <c r="K59" s="2"/>
      <c r="L59" s="6">
        <f t="shared" si="38"/>
        <v>-1026.25</v>
      </c>
      <c r="M59" s="2"/>
      <c r="N59" s="7">
        <f t="shared" si="39"/>
        <v>-0.11652662654706483</v>
      </c>
      <c r="O59" s="11"/>
      <c r="P59" s="6">
        <v>7780.75</v>
      </c>
      <c r="Q59" s="2"/>
      <c r="R59" s="7">
        <f t="shared" si="40"/>
        <v>7.6579534905071587E-3</v>
      </c>
      <c r="S59" s="2"/>
      <c r="T59" s="6">
        <v>8807</v>
      </c>
      <c r="U59" s="2"/>
      <c r="V59" s="7">
        <f t="shared" si="41"/>
        <v>9.063972689726434E-3</v>
      </c>
      <c r="W59" s="2"/>
      <c r="X59" s="6">
        <f t="shared" si="42"/>
        <v>-1026.25</v>
      </c>
      <c r="Y59" s="2"/>
      <c r="Z59" s="7">
        <f t="shared" si="43"/>
        <v>-0.11652662654706483</v>
      </c>
    </row>
    <row r="60" spans="1:26" s="26" customFormat="1" outlineLevel="1" collapsed="1" x14ac:dyDescent="0.25">
      <c r="A60" s="25"/>
      <c r="B60" s="13" t="str">
        <f>CONCATENATE("     ","Employees' Appreciation                           ")</f>
        <v xml:space="preserve">     Employees' Appreciation                           </v>
      </c>
      <c r="C60" s="13"/>
      <c r="D60" s="1">
        <f>SUM(OSRRefD22_6x_0)</f>
        <v>113.06</v>
      </c>
      <c r="E60" s="1"/>
      <c r="F60" s="5">
        <f t="shared" ref="F60:F75" si="44">IF(D$12=0,0,D60/D$12)</f>
        <v>2.2317352916386121E-4</v>
      </c>
      <c r="G60" s="1"/>
      <c r="H60" s="1">
        <f>SUM(OSRRefH22_6x_0)</f>
        <v>605</v>
      </c>
      <c r="I60" s="1"/>
      <c r="J60" s="5">
        <f t="shared" ref="J60:J75" si="45">IF(H$12=0,0,H60/H$12)</f>
        <v>1.2767861288266653E-3</v>
      </c>
      <c r="K60" s="1"/>
      <c r="L60" s="1">
        <f t="shared" ref="L60:L75" si="46">+D60-H60</f>
        <v>-491.94</v>
      </c>
      <c r="M60" s="1"/>
      <c r="N60" s="5">
        <f t="shared" ref="N60:N75" si="47">IF(H60=0,0,L60/H60)</f>
        <v>-0.81312396694214872</v>
      </c>
      <c r="O60" s="13"/>
      <c r="P60" s="1">
        <f>SUM(OSRRefP22_6x_0)</f>
        <v>113.06</v>
      </c>
      <c r="Q60" s="1"/>
      <c r="R60" s="5">
        <f t="shared" ref="R60:R75" si="48">IF(P$12=0,0,P60/P$12)</f>
        <v>1.1127567671969147E-4</v>
      </c>
      <c r="S60" s="1"/>
      <c r="T60" s="1">
        <f>SUM(OSRRefT22_6x_0)</f>
        <v>1200</v>
      </c>
      <c r="U60" s="1"/>
      <c r="V60" s="5">
        <f t="shared" ref="V60:V75" si="49">IF(T$12=0,0,T60/T$12)</f>
        <v>1.2350138784684593E-3</v>
      </c>
      <c r="W60" s="1"/>
      <c r="X60" s="1">
        <f t="shared" ref="X60:X75" si="50">+P60-T60</f>
        <v>-1086.94</v>
      </c>
      <c r="Y60" s="1"/>
      <c r="Z60" s="5">
        <f t="shared" ref="Z60:Z75" si="51">IF(T60=0,0,X60/T60)</f>
        <v>-0.90578333333333338</v>
      </c>
    </row>
    <row r="61" spans="1:26" s="24" customFormat="1" hidden="1" outlineLevel="2" x14ac:dyDescent="0.25">
      <c r="A61" s="27"/>
      <c r="B61" s="11" t="str">
        <f>CONCATENATE("          ", "6277", " - ", "EMPLOYEE APPRECIATION")</f>
        <v xml:space="preserve">          6277 - EMPLOYEE APPRECIATION</v>
      </c>
      <c r="C61" s="11"/>
      <c r="D61" s="6">
        <v>113.06</v>
      </c>
      <c r="E61" s="2"/>
      <c r="F61" s="7">
        <f t="shared" si="44"/>
        <v>2.2317352916386121E-4</v>
      </c>
      <c r="G61" s="2"/>
      <c r="H61" s="6">
        <v>605</v>
      </c>
      <c r="I61" s="2"/>
      <c r="J61" s="7">
        <f t="shared" si="45"/>
        <v>1.2767861288266653E-3</v>
      </c>
      <c r="K61" s="2"/>
      <c r="L61" s="6">
        <f t="shared" si="46"/>
        <v>-491.94</v>
      </c>
      <c r="M61" s="2"/>
      <c r="N61" s="7">
        <f t="shared" si="47"/>
        <v>-0.81312396694214872</v>
      </c>
      <c r="O61" s="11"/>
      <c r="P61" s="6">
        <v>113.06</v>
      </c>
      <c r="Q61" s="2"/>
      <c r="R61" s="7">
        <f t="shared" si="48"/>
        <v>1.1127567671969147E-4</v>
      </c>
      <c r="S61" s="2"/>
      <c r="T61" s="6">
        <v>1200</v>
      </c>
      <c r="U61" s="2"/>
      <c r="V61" s="7">
        <f t="shared" si="49"/>
        <v>1.2350138784684593E-3</v>
      </c>
      <c r="W61" s="2"/>
      <c r="X61" s="6">
        <f t="shared" si="50"/>
        <v>-1086.94</v>
      </c>
      <c r="Y61" s="2"/>
      <c r="Z61" s="7">
        <f t="shared" si="51"/>
        <v>-0.90578333333333338</v>
      </c>
    </row>
    <row r="62" spans="1:26" s="26" customFormat="1" outlineLevel="1" collapsed="1" x14ac:dyDescent="0.25">
      <c r="A62" s="25"/>
      <c r="B62" s="13" t="str">
        <f>CONCATENATE("     ","Equipment Rental                                  ")</f>
        <v xml:space="preserve">     Equipment Rental                                  </v>
      </c>
      <c r="C62" s="13"/>
      <c r="D62" s="1">
        <f>SUM(OSRRefD22_7x_0)</f>
        <v>2449.44</v>
      </c>
      <c r="E62" s="1"/>
      <c r="F62" s="5">
        <f t="shared" si="44"/>
        <v>4.8350448370345677E-3</v>
      </c>
      <c r="G62" s="1"/>
      <c r="H62" s="1">
        <f>SUM(OSRRefH22_7x_0)</f>
        <v>870</v>
      </c>
      <c r="I62" s="1"/>
      <c r="J62" s="5">
        <f t="shared" si="45"/>
        <v>1.8360395571557005E-3</v>
      </c>
      <c r="K62" s="1"/>
      <c r="L62" s="1">
        <f t="shared" si="46"/>
        <v>1579.44</v>
      </c>
      <c r="M62" s="1"/>
      <c r="N62" s="5">
        <f t="shared" si="47"/>
        <v>1.8154482758620691</v>
      </c>
      <c r="O62" s="13"/>
      <c r="P62" s="1">
        <f>SUM(OSRRefP22_7x_0)</f>
        <v>2701.07</v>
      </c>
      <c r="Q62" s="1"/>
      <c r="R62" s="5">
        <f t="shared" si="48"/>
        <v>2.6584414657461262E-3</v>
      </c>
      <c r="S62" s="1"/>
      <c r="T62" s="1">
        <f>SUM(OSRRefT22_7x_0)</f>
        <v>1540</v>
      </c>
      <c r="U62" s="1"/>
      <c r="V62" s="5">
        <f t="shared" si="49"/>
        <v>1.584934477367856E-3</v>
      </c>
      <c r="W62" s="1"/>
      <c r="X62" s="1">
        <f t="shared" si="50"/>
        <v>1161.0700000000002</v>
      </c>
      <c r="Y62" s="1"/>
      <c r="Z62" s="5">
        <f t="shared" si="51"/>
        <v>0.75394155844155852</v>
      </c>
    </row>
    <row r="63" spans="1:26" s="24" customFormat="1" hidden="1" outlineLevel="2" x14ac:dyDescent="0.25">
      <c r="A63" s="27"/>
      <c r="B63" s="11" t="str">
        <f>CONCATENATE("          ", "6351", " - ", "EQUIPMENT RENTAL")</f>
        <v xml:space="preserve">          6351 - EQUIPMENT RENTAL</v>
      </c>
      <c r="C63" s="11"/>
      <c r="D63" s="6">
        <v>2449.44</v>
      </c>
      <c r="E63" s="2"/>
      <c r="F63" s="7">
        <f t="shared" si="44"/>
        <v>4.8350448370345677E-3</v>
      </c>
      <c r="G63" s="2"/>
      <c r="H63" s="6">
        <v>870</v>
      </c>
      <c r="I63" s="2"/>
      <c r="J63" s="7">
        <f t="shared" si="45"/>
        <v>1.8360395571557005E-3</v>
      </c>
      <c r="K63" s="2"/>
      <c r="L63" s="6">
        <f t="shared" si="46"/>
        <v>1579.44</v>
      </c>
      <c r="M63" s="2"/>
      <c r="N63" s="7">
        <f t="shared" si="47"/>
        <v>1.8154482758620691</v>
      </c>
      <c r="O63" s="11"/>
      <c r="P63" s="6">
        <v>2701.07</v>
      </c>
      <c r="Q63" s="2"/>
      <c r="R63" s="7">
        <f t="shared" si="48"/>
        <v>2.6584414657461262E-3</v>
      </c>
      <c r="S63" s="2"/>
      <c r="T63" s="6">
        <v>1540</v>
      </c>
      <c r="U63" s="2"/>
      <c r="V63" s="7">
        <f t="shared" si="49"/>
        <v>1.584934477367856E-3</v>
      </c>
      <c r="W63" s="2"/>
      <c r="X63" s="6">
        <f t="shared" si="50"/>
        <v>1161.0700000000002</v>
      </c>
      <c r="Y63" s="2"/>
      <c r="Z63" s="7">
        <f t="shared" si="51"/>
        <v>0.75394155844155852</v>
      </c>
    </row>
    <row r="64" spans="1:26" s="26" customFormat="1" outlineLevel="1" collapsed="1" x14ac:dyDescent="0.25">
      <c r="A64" s="25"/>
      <c r="B64" s="13" t="str">
        <f>CONCATENATE("     ","Freight out/Postage                               ")</f>
        <v xml:space="preserve">     Freight out/Postage                               </v>
      </c>
      <c r="C64" s="13"/>
      <c r="D64" s="1">
        <f>SUM(OSRRefD22_8x_0)</f>
        <v>0</v>
      </c>
      <c r="E64" s="1"/>
      <c r="F64" s="5">
        <f t="shared" si="44"/>
        <v>0</v>
      </c>
      <c r="G64" s="1"/>
      <c r="H64" s="1">
        <f>SUM(OSRRefH22_8x_0)</f>
        <v>1</v>
      </c>
      <c r="I64" s="1"/>
      <c r="J64" s="5">
        <f t="shared" si="45"/>
        <v>2.1103902955812651E-6</v>
      </c>
      <c r="K64" s="1"/>
      <c r="L64" s="1">
        <f t="shared" si="46"/>
        <v>-1</v>
      </c>
      <c r="M64" s="1"/>
      <c r="N64" s="5">
        <f t="shared" si="47"/>
        <v>-1</v>
      </c>
      <c r="O64" s="13"/>
      <c r="P64" s="1">
        <f>SUM(OSRRefP22_8x_0)</f>
        <v>0</v>
      </c>
      <c r="Q64" s="1"/>
      <c r="R64" s="5">
        <f t="shared" si="48"/>
        <v>0</v>
      </c>
      <c r="S64" s="1"/>
      <c r="T64" s="1">
        <f>SUM(OSRRefT22_8x_0)</f>
        <v>2</v>
      </c>
      <c r="U64" s="1"/>
      <c r="V64" s="5">
        <f t="shared" si="49"/>
        <v>2.0583564641140988E-6</v>
      </c>
      <c r="W64" s="1"/>
      <c r="X64" s="1">
        <f t="shared" si="50"/>
        <v>-2</v>
      </c>
      <c r="Y64" s="1"/>
      <c r="Z64" s="5">
        <f t="shared" si="51"/>
        <v>-1</v>
      </c>
    </row>
    <row r="65" spans="1:26" s="24" customFormat="1" hidden="1" outlineLevel="2" x14ac:dyDescent="0.25">
      <c r="A65" s="27"/>
      <c r="B65" s="11" t="str">
        <f>CONCATENATE("          ", "6307", " - ", "POSTAGE")</f>
        <v xml:space="preserve">          6307 - POSTAGE</v>
      </c>
      <c r="C65" s="11"/>
      <c r="D65" s="6"/>
      <c r="E65" s="2"/>
      <c r="F65" s="7">
        <f t="shared" si="44"/>
        <v>0</v>
      </c>
      <c r="G65" s="2"/>
      <c r="H65" s="6">
        <v>1</v>
      </c>
      <c r="I65" s="2"/>
      <c r="J65" s="7">
        <f t="shared" si="45"/>
        <v>2.1103902955812651E-6</v>
      </c>
      <c r="K65" s="2"/>
      <c r="L65" s="6">
        <f t="shared" si="46"/>
        <v>-1</v>
      </c>
      <c r="M65" s="2"/>
      <c r="N65" s="7">
        <f t="shared" si="47"/>
        <v>-1</v>
      </c>
      <c r="O65" s="11"/>
      <c r="P65" s="6"/>
      <c r="Q65" s="2"/>
      <c r="R65" s="7">
        <f t="shared" si="48"/>
        <v>0</v>
      </c>
      <c r="S65" s="2"/>
      <c r="T65" s="6">
        <v>2</v>
      </c>
      <c r="U65" s="2"/>
      <c r="V65" s="7">
        <f t="shared" si="49"/>
        <v>2.0583564641140988E-6</v>
      </c>
      <c r="W65" s="2"/>
      <c r="X65" s="6">
        <f t="shared" si="50"/>
        <v>-2</v>
      </c>
      <c r="Y65" s="2"/>
      <c r="Z65" s="7">
        <f t="shared" si="51"/>
        <v>-1</v>
      </c>
    </row>
    <row r="66" spans="1:26" s="26" customFormat="1" outlineLevel="1" collapsed="1" x14ac:dyDescent="0.25">
      <c r="A66" s="25"/>
      <c r="B66" s="13" t="str">
        <f>CONCATENATE("     ","General                                           ")</f>
        <v xml:space="preserve">     General                                           </v>
      </c>
      <c r="C66" s="13"/>
      <c r="D66" s="1">
        <f>SUM(OSRRefD22_9x_0)</f>
        <v>485</v>
      </c>
      <c r="E66" s="1"/>
      <c r="F66" s="5">
        <f t="shared" si="44"/>
        <v>9.5736035418780016E-4</v>
      </c>
      <c r="G66" s="1"/>
      <c r="H66" s="1">
        <f>SUM(OSRRefH22_9x_0)</f>
        <v>849</v>
      </c>
      <c r="I66" s="1"/>
      <c r="J66" s="5">
        <f t="shared" si="45"/>
        <v>1.791721360948494E-3</v>
      </c>
      <c r="K66" s="1"/>
      <c r="L66" s="1">
        <f t="shared" si="46"/>
        <v>-364</v>
      </c>
      <c r="M66" s="1"/>
      <c r="N66" s="5">
        <f t="shared" si="47"/>
        <v>-0.4287396937573616</v>
      </c>
      <c r="O66" s="13"/>
      <c r="P66" s="1">
        <f>SUM(OSRRefP22_9x_0)</f>
        <v>6110.86</v>
      </c>
      <c r="Q66" s="1"/>
      <c r="R66" s="5">
        <f t="shared" si="48"/>
        <v>6.0144178475083476E-3</v>
      </c>
      <c r="S66" s="1"/>
      <c r="T66" s="1">
        <f>SUM(OSRRefT22_9x_0)</f>
        <v>4624</v>
      </c>
      <c r="U66" s="1"/>
      <c r="V66" s="5">
        <f t="shared" si="49"/>
        <v>4.7589201450317963E-3</v>
      </c>
      <c r="W66" s="1"/>
      <c r="X66" s="1">
        <f t="shared" si="50"/>
        <v>1486.8599999999997</v>
      </c>
      <c r="Y66" s="1"/>
      <c r="Z66" s="5">
        <f t="shared" si="51"/>
        <v>0.32155276816608991</v>
      </c>
    </row>
    <row r="67" spans="1:26" s="24" customFormat="1" hidden="1" outlineLevel="2" x14ac:dyDescent="0.25">
      <c r="A67" s="27"/>
      <c r="B67" s="11" t="str">
        <f>CONCATENATE("          ", "6279", " - ", "GENERAL EXPENSE")</f>
        <v xml:space="preserve">          6279 - GENERAL EXPENSE</v>
      </c>
      <c r="C67" s="11"/>
      <c r="D67" s="6">
        <v>485</v>
      </c>
      <c r="E67" s="2"/>
      <c r="F67" s="7">
        <f t="shared" si="44"/>
        <v>9.5736035418780016E-4</v>
      </c>
      <c r="G67" s="2"/>
      <c r="H67" s="6">
        <v>849</v>
      </c>
      <c r="I67" s="2"/>
      <c r="J67" s="7">
        <f t="shared" si="45"/>
        <v>1.791721360948494E-3</v>
      </c>
      <c r="K67" s="2"/>
      <c r="L67" s="6">
        <f t="shared" si="46"/>
        <v>-364</v>
      </c>
      <c r="M67" s="2"/>
      <c r="N67" s="7">
        <f t="shared" si="47"/>
        <v>-0.4287396937573616</v>
      </c>
      <c r="O67" s="11"/>
      <c r="P67" s="6">
        <v>6110.86</v>
      </c>
      <c r="Q67" s="2"/>
      <c r="R67" s="7">
        <f t="shared" si="48"/>
        <v>6.0144178475083476E-3</v>
      </c>
      <c r="S67" s="2"/>
      <c r="T67" s="6">
        <v>4624</v>
      </c>
      <c r="U67" s="2"/>
      <c r="V67" s="7">
        <f t="shared" si="49"/>
        <v>4.7589201450317963E-3</v>
      </c>
      <c r="W67" s="2"/>
      <c r="X67" s="6">
        <f t="shared" si="50"/>
        <v>1486.8599999999997</v>
      </c>
      <c r="Y67" s="2"/>
      <c r="Z67" s="7">
        <f t="shared" si="51"/>
        <v>0.32155276816608991</v>
      </c>
    </row>
    <row r="68" spans="1:26" s="26" customFormat="1" outlineLevel="1" collapsed="1" x14ac:dyDescent="0.25">
      <c r="A68" s="25"/>
      <c r="B68" s="13" t="str">
        <f>CONCATENATE("     ","Insurance                                         ")</f>
        <v xml:space="preserve">     Insurance                                         </v>
      </c>
      <c r="C68" s="13"/>
      <c r="D68" s="1">
        <f>SUM(OSRRefD22_10x_0)</f>
        <v>5.9</v>
      </c>
      <c r="E68" s="1"/>
      <c r="F68" s="5">
        <f t="shared" si="44"/>
        <v>1.1646239360222725E-5</v>
      </c>
      <c r="G68" s="1"/>
      <c r="H68" s="1">
        <f>SUM(OSRRefH22_10x_0)</f>
        <v>5</v>
      </c>
      <c r="I68" s="1"/>
      <c r="J68" s="5">
        <f t="shared" si="45"/>
        <v>1.0551951477906325E-5</v>
      </c>
      <c r="K68" s="1"/>
      <c r="L68" s="1">
        <f t="shared" si="46"/>
        <v>0.90000000000000036</v>
      </c>
      <c r="M68" s="1"/>
      <c r="N68" s="5">
        <f t="shared" si="47"/>
        <v>0.18000000000000008</v>
      </c>
      <c r="O68" s="13"/>
      <c r="P68" s="1">
        <f>SUM(OSRRefP22_10x_0)</f>
        <v>11.8</v>
      </c>
      <c r="Q68" s="1"/>
      <c r="R68" s="5">
        <f t="shared" si="48"/>
        <v>1.1613771318701215E-5</v>
      </c>
      <c r="S68" s="1"/>
      <c r="T68" s="1">
        <f>SUM(OSRRefT22_10x_0)</f>
        <v>10</v>
      </c>
      <c r="U68" s="1"/>
      <c r="V68" s="5">
        <f t="shared" si="49"/>
        <v>1.0291782320570494E-5</v>
      </c>
      <c r="W68" s="1"/>
      <c r="X68" s="1">
        <f t="shared" si="50"/>
        <v>1.8000000000000007</v>
      </c>
      <c r="Y68" s="1"/>
      <c r="Z68" s="5">
        <f t="shared" si="51"/>
        <v>0.18000000000000008</v>
      </c>
    </row>
    <row r="69" spans="1:26" s="24" customFormat="1" hidden="1" outlineLevel="2" x14ac:dyDescent="0.25">
      <c r="A69" s="27"/>
      <c r="B69" s="11" t="str">
        <f>CONCATENATE("          ", "6314", " - ", "LIABILITY INSURANCE")</f>
        <v xml:space="preserve">          6314 - LIABILITY INSURANCE</v>
      </c>
      <c r="C69" s="11"/>
      <c r="D69" s="6">
        <v>5.9</v>
      </c>
      <c r="E69" s="2"/>
      <c r="F69" s="7">
        <f t="shared" si="44"/>
        <v>1.1646239360222725E-5</v>
      </c>
      <c r="G69" s="2"/>
      <c r="H69" s="6">
        <v>5</v>
      </c>
      <c r="I69" s="2"/>
      <c r="J69" s="7">
        <f t="shared" si="45"/>
        <v>1.0551951477906325E-5</v>
      </c>
      <c r="K69" s="2"/>
      <c r="L69" s="6">
        <f t="shared" si="46"/>
        <v>0.90000000000000036</v>
      </c>
      <c r="M69" s="2"/>
      <c r="N69" s="7">
        <f t="shared" si="47"/>
        <v>0.18000000000000008</v>
      </c>
      <c r="O69" s="11"/>
      <c r="P69" s="6">
        <v>11.8</v>
      </c>
      <c r="Q69" s="2"/>
      <c r="R69" s="7">
        <f t="shared" si="48"/>
        <v>1.1613771318701215E-5</v>
      </c>
      <c r="S69" s="2"/>
      <c r="T69" s="6">
        <v>10</v>
      </c>
      <c r="U69" s="2"/>
      <c r="V69" s="7">
        <f t="shared" si="49"/>
        <v>1.0291782320570494E-5</v>
      </c>
      <c r="W69" s="2"/>
      <c r="X69" s="6">
        <f t="shared" si="50"/>
        <v>1.8000000000000007</v>
      </c>
      <c r="Y69" s="2"/>
      <c r="Z69" s="7">
        <f t="shared" si="51"/>
        <v>0.18000000000000008</v>
      </c>
    </row>
    <row r="70" spans="1:26" s="26" customFormat="1" outlineLevel="1" collapsed="1" x14ac:dyDescent="0.25">
      <c r="A70" s="25"/>
      <c r="B70" s="13" t="str">
        <f>CONCATENATE("     ","R/H Commissions                                   ")</f>
        <v xml:space="preserve">     R/H Commissions                                   </v>
      </c>
      <c r="C70" s="13"/>
      <c r="D70" s="1">
        <f>SUM(OSRRefD22_11x_0)</f>
        <v>32320.179999999997</v>
      </c>
      <c r="E70" s="1"/>
      <c r="F70" s="5">
        <f t="shared" si="44"/>
        <v>6.3798059736522583E-2</v>
      </c>
      <c r="G70" s="1"/>
      <c r="H70" s="1">
        <f>SUM(OSRRefH22_11x_0)</f>
        <v>37900</v>
      </c>
      <c r="I70" s="1"/>
      <c r="J70" s="5">
        <f t="shared" si="45"/>
        <v>7.9983792202529949E-2</v>
      </c>
      <c r="K70" s="1"/>
      <c r="L70" s="1">
        <f t="shared" si="46"/>
        <v>-5579.8200000000033</v>
      </c>
      <c r="M70" s="1"/>
      <c r="N70" s="5">
        <f t="shared" si="47"/>
        <v>-0.14722480211081804</v>
      </c>
      <c r="O70" s="13"/>
      <c r="P70" s="1">
        <f>SUM(OSRRefP22_11x_0)</f>
        <v>72032.83</v>
      </c>
      <c r="Q70" s="1"/>
      <c r="R70" s="5">
        <f t="shared" si="48"/>
        <v>7.0896001276176304E-2</v>
      </c>
      <c r="S70" s="1"/>
      <c r="T70" s="1">
        <f>SUM(OSRRefT22_11x_0)</f>
        <v>77724</v>
      </c>
      <c r="U70" s="1"/>
      <c r="V70" s="5">
        <f t="shared" si="49"/>
        <v>7.9991848908402108E-2</v>
      </c>
      <c r="W70" s="1"/>
      <c r="X70" s="1">
        <f t="shared" si="50"/>
        <v>-5691.1699999999983</v>
      </c>
      <c r="Y70" s="1"/>
      <c r="Z70" s="5">
        <f t="shared" si="51"/>
        <v>-7.3222814060007177E-2</v>
      </c>
    </row>
    <row r="71" spans="1:26" s="24" customFormat="1" hidden="1" outlineLevel="2" x14ac:dyDescent="0.25">
      <c r="A71" s="27"/>
      <c r="B71" s="11" t="str">
        <f>CONCATENATE("          ", "6387", " - ", "COMMISSION DUE HOUSING")</f>
        <v xml:space="preserve">          6387 - COMMISSION DUE HOUSING</v>
      </c>
      <c r="C71" s="11"/>
      <c r="D71" s="6">
        <v>32320.179999999997</v>
      </c>
      <c r="E71" s="2"/>
      <c r="F71" s="7">
        <f t="shared" si="44"/>
        <v>6.3798059736522583E-2</v>
      </c>
      <c r="G71" s="2"/>
      <c r="H71" s="6">
        <v>37900</v>
      </c>
      <c r="I71" s="2"/>
      <c r="J71" s="7">
        <f t="shared" si="45"/>
        <v>7.9983792202529949E-2</v>
      </c>
      <c r="K71" s="2"/>
      <c r="L71" s="6">
        <f t="shared" si="46"/>
        <v>-5579.8200000000033</v>
      </c>
      <c r="M71" s="2"/>
      <c r="N71" s="7">
        <f t="shared" si="47"/>
        <v>-0.14722480211081804</v>
      </c>
      <c r="O71" s="11"/>
      <c r="P71" s="6">
        <v>72032.83</v>
      </c>
      <c r="Q71" s="2"/>
      <c r="R71" s="7">
        <f t="shared" si="48"/>
        <v>7.0896001276176304E-2</v>
      </c>
      <c r="S71" s="2"/>
      <c r="T71" s="6">
        <v>77724</v>
      </c>
      <c r="U71" s="2"/>
      <c r="V71" s="7">
        <f t="shared" si="49"/>
        <v>7.9991848908402108E-2</v>
      </c>
      <c r="W71" s="2"/>
      <c r="X71" s="6">
        <f t="shared" si="50"/>
        <v>-5691.1699999999983</v>
      </c>
      <c r="Y71" s="2"/>
      <c r="Z71" s="7">
        <f t="shared" si="51"/>
        <v>-7.3222814060007177E-2</v>
      </c>
    </row>
    <row r="72" spans="1:26" s="26" customFormat="1" outlineLevel="1" collapsed="1" x14ac:dyDescent="0.25">
      <c r="A72" s="25"/>
      <c r="B72" s="13" t="str">
        <f>CONCATENATE("     ","Repair and Maintenance                            ")</f>
        <v xml:space="preserve">     Repair and Maintenance                            </v>
      </c>
      <c r="C72" s="13"/>
      <c r="D72" s="1">
        <f>SUM(OSRRefD22_12x_0)</f>
        <v>20.39</v>
      </c>
      <c r="E72" s="1"/>
      <c r="F72" s="5">
        <f t="shared" si="44"/>
        <v>4.0248613653379886E-5</v>
      </c>
      <c r="G72" s="1"/>
      <c r="H72" s="1">
        <f>SUM(OSRRefH22_12x_0)</f>
        <v>3837</v>
      </c>
      <c r="I72" s="1"/>
      <c r="J72" s="5">
        <f t="shared" si="45"/>
        <v>8.0975675641453138E-3</v>
      </c>
      <c r="K72" s="1"/>
      <c r="L72" s="1">
        <f t="shared" si="46"/>
        <v>-3816.61</v>
      </c>
      <c r="M72" s="1"/>
      <c r="N72" s="5">
        <f t="shared" si="47"/>
        <v>-0.99468595256710979</v>
      </c>
      <c r="O72" s="13"/>
      <c r="P72" s="1">
        <f>SUM(OSRRefP22_12x_0)</f>
        <v>29.21</v>
      </c>
      <c r="Q72" s="1"/>
      <c r="R72" s="5">
        <f t="shared" si="48"/>
        <v>2.8749005103327329E-5</v>
      </c>
      <c r="S72" s="1"/>
      <c r="T72" s="1">
        <f>SUM(OSRRefT22_12x_0)</f>
        <v>5874</v>
      </c>
      <c r="U72" s="1"/>
      <c r="V72" s="5">
        <f t="shared" si="49"/>
        <v>6.0453929351031079E-3</v>
      </c>
      <c r="W72" s="1"/>
      <c r="X72" s="1">
        <f t="shared" si="50"/>
        <v>-5844.79</v>
      </c>
      <c r="Y72" s="1"/>
      <c r="Z72" s="5">
        <f t="shared" si="51"/>
        <v>-0.99502723867892406</v>
      </c>
    </row>
    <row r="73" spans="1:26" s="24" customFormat="1" hidden="1" outlineLevel="2" x14ac:dyDescent="0.25">
      <c r="A73" s="27"/>
      <c r="B73" s="11" t="str">
        <f>CONCATENATE("          ", "6371", " - ", "COMPUTER SOFTWARE MAINTENANCE")</f>
        <v xml:space="preserve">          6371 - COMPUTER SOFTWARE MAINTENANCE</v>
      </c>
      <c r="C73" s="11"/>
      <c r="D73" s="6"/>
      <c r="E73" s="2"/>
      <c r="F73" s="7">
        <f t="shared" si="44"/>
        <v>0</v>
      </c>
      <c r="G73" s="2"/>
      <c r="H73" s="6">
        <v>1497</v>
      </c>
      <c r="I73" s="2"/>
      <c r="J73" s="7">
        <f t="shared" si="45"/>
        <v>3.1592542724851536E-3</v>
      </c>
      <c r="K73" s="2"/>
      <c r="L73" s="6">
        <f t="shared" si="46"/>
        <v>-1497</v>
      </c>
      <c r="M73" s="2"/>
      <c r="N73" s="7">
        <f t="shared" si="47"/>
        <v>-1</v>
      </c>
      <c r="O73" s="11"/>
      <c r="P73" s="6"/>
      <c r="Q73" s="2"/>
      <c r="R73" s="7">
        <f t="shared" si="48"/>
        <v>0</v>
      </c>
      <c r="S73" s="2"/>
      <c r="T73" s="6">
        <v>2994</v>
      </c>
      <c r="U73" s="2"/>
      <c r="V73" s="7">
        <f t="shared" si="49"/>
        <v>3.081359626778806E-3</v>
      </c>
      <c r="W73" s="2"/>
      <c r="X73" s="6">
        <f t="shared" si="50"/>
        <v>-2994</v>
      </c>
      <c r="Y73" s="2"/>
      <c r="Z73" s="7">
        <f t="shared" si="51"/>
        <v>-1</v>
      </c>
    </row>
    <row r="74" spans="1:26" s="24" customFormat="1" hidden="1" outlineLevel="2" x14ac:dyDescent="0.25">
      <c r="A74" s="27"/>
      <c r="B74" s="11" t="str">
        <f>CONCATENATE("          ", "6373", " - ", "MAINTENANCE CONTRACTS")</f>
        <v xml:space="preserve">          6373 - MAINTENANCE CONTRACTS</v>
      </c>
      <c r="C74" s="11"/>
      <c r="D74" s="6">
        <v>20.39</v>
      </c>
      <c r="E74" s="2"/>
      <c r="F74" s="7">
        <f t="shared" si="44"/>
        <v>4.0248613653379886E-5</v>
      </c>
      <c r="G74" s="2"/>
      <c r="H74" s="6">
        <v>1830</v>
      </c>
      <c r="I74" s="2"/>
      <c r="J74" s="7">
        <f t="shared" si="45"/>
        <v>3.8620142409137152E-3</v>
      </c>
      <c r="K74" s="2"/>
      <c r="L74" s="6">
        <f t="shared" si="46"/>
        <v>-1809.61</v>
      </c>
      <c r="M74" s="2"/>
      <c r="N74" s="7">
        <f t="shared" si="47"/>
        <v>-0.98885792349726775</v>
      </c>
      <c r="O74" s="11"/>
      <c r="P74" s="6">
        <v>29.21</v>
      </c>
      <c r="Q74" s="2"/>
      <c r="R74" s="7">
        <f t="shared" si="48"/>
        <v>2.8749005103327329E-5</v>
      </c>
      <c r="S74" s="2"/>
      <c r="T74" s="6">
        <v>1860</v>
      </c>
      <c r="U74" s="2"/>
      <c r="V74" s="7">
        <f t="shared" si="49"/>
        <v>1.9142715116261119E-3</v>
      </c>
      <c r="W74" s="2"/>
      <c r="X74" s="6">
        <f t="shared" si="50"/>
        <v>-1830.79</v>
      </c>
      <c r="Y74" s="2"/>
      <c r="Z74" s="7">
        <f t="shared" si="51"/>
        <v>-0.98429569892473112</v>
      </c>
    </row>
    <row r="75" spans="1:26" s="24" customFormat="1" hidden="1" outlineLevel="2" x14ac:dyDescent="0.25">
      <c r="A75" s="27"/>
      <c r="B75" s="11" t="str">
        <f>CONCATENATE("          ", "6375", " - ", "OUTSIDE REPAIRS &amp; MAINTENANCE")</f>
        <v xml:space="preserve">          6375 - OUTSIDE REPAIRS &amp; MAINTENANCE</v>
      </c>
      <c r="C75" s="11"/>
      <c r="D75" s="6"/>
      <c r="E75" s="2"/>
      <c r="F75" s="7">
        <f t="shared" si="44"/>
        <v>0</v>
      </c>
      <c r="G75" s="2"/>
      <c r="H75" s="6">
        <v>510</v>
      </c>
      <c r="I75" s="2"/>
      <c r="J75" s="7">
        <f t="shared" si="45"/>
        <v>1.0762990507464452E-3</v>
      </c>
      <c r="K75" s="2"/>
      <c r="L75" s="6">
        <f t="shared" si="46"/>
        <v>-510</v>
      </c>
      <c r="M75" s="2"/>
      <c r="N75" s="7">
        <f t="shared" si="47"/>
        <v>-1</v>
      </c>
      <c r="O75" s="11"/>
      <c r="P75" s="6"/>
      <c r="Q75" s="2"/>
      <c r="R75" s="7">
        <f t="shared" si="48"/>
        <v>0</v>
      </c>
      <c r="S75" s="2"/>
      <c r="T75" s="6">
        <v>1020</v>
      </c>
      <c r="U75" s="2"/>
      <c r="V75" s="7">
        <f t="shared" si="49"/>
        <v>1.0497617966981905E-3</v>
      </c>
      <c r="W75" s="2"/>
      <c r="X75" s="6">
        <f t="shared" si="50"/>
        <v>-1020</v>
      </c>
      <c r="Y75" s="2"/>
      <c r="Z75" s="7">
        <f t="shared" si="51"/>
        <v>-1</v>
      </c>
    </row>
    <row r="76" spans="1:26" s="26" customFormat="1" outlineLevel="1" collapsed="1" x14ac:dyDescent="0.25">
      <c r="A76" s="25"/>
      <c r="B76" s="13" t="str">
        <f>CONCATENATE("     ","Services                                          ")</f>
        <v xml:space="preserve">     Services                                          </v>
      </c>
      <c r="C76" s="13"/>
      <c r="D76" s="1">
        <f>SUM(OSRRefD22_13x_0)</f>
        <v>18115.54</v>
      </c>
      <c r="E76" s="1"/>
      <c r="F76" s="5">
        <f t="shared" ref="F76:F80" si="52">IF(D$12=0,0,D76/D$12)</f>
        <v>3.5758968640625284E-2</v>
      </c>
      <c r="G76" s="1"/>
      <c r="H76" s="1">
        <f>SUM(OSRRefH22_13x_0)</f>
        <v>18639</v>
      </c>
      <c r="I76" s="1"/>
      <c r="J76" s="5">
        <f t="shared" ref="J76:J80" si="53">IF(H$12=0,0,H76/H$12)</f>
        <v>3.9335564719339203E-2</v>
      </c>
      <c r="K76" s="1"/>
      <c r="L76" s="1">
        <f t="shared" ref="L76:L80" si="54">+D76-H76</f>
        <v>-523.45999999999913</v>
      </c>
      <c r="M76" s="1"/>
      <c r="N76" s="5">
        <f t="shared" ref="N76:N80" si="55">IF(H76=0,0,L76/H76)</f>
        <v>-2.8084124684800638E-2</v>
      </c>
      <c r="O76" s="13"/>
      <c r="P76" s="1">
        <f>SUM(OSRRefP22_13x_0)</f>
        <v>37677.18</v>
      </c>
      <c r="Q76" s="1"/>
      <c r="R76" s="5">
        <f t="shared" ref="R76:R80" si="56">IF(P$12=0,0,P76/P$12)</f>
        <v>3.7082555292673139E-2</v>
      </c>
      <c r="S76" s="1"/>
      <c r="T76" s="1">
        <f>SUM(OSRRefT22_13x_0)</f>
        <v>34226</v>
      </c>
      <c r="U76" s="1"/>
      <c r="V76" s="5">
        <f t="shared" ref="V76:V80" si="57">IF(T$12=0,0,T76/T$12)</f>
        <v>3.5224654170384576E-2</v>
      </c>
      <c r="W76" s="1"/>
      <c r="X76" s="1">
        <f t="shared" ref="X76:X80" si="58">+P76-T76</f>
        <v>3451.1800000000003</v>
      </c>
      <c r="Y76" s="1"/>
      <c r="Z76" s="5">
        <f t="shared" ref="Z76:Z80" si="59">IF(T76=0,0,X76/T76)</f>
        <v>0.10083503769064454</v>
      </c>
    </row>
    <row r="77" spans="1:26" s="24" customFormat="1" hidden="1" outlineLevel="2" x14ac:dyDescent="0.25">
      <c r="A77" s="27"/>
      <c r="B77" s="11" t="str">
        <f>CONCATENATE("          ", "6282", " - ", "JANITORIAL/EXTERMINATOR EXPENS")</f>
        <v xml:space="preserve">          6282 - JANITORIAL/EXTERMINATOR EXPENS</v>
      </c>
      <c r="C77" s="11"/>
      <c r="D77" s="6">
        <v>1658.3</v>
      </c>
      <c r="E77" s="2"/>
      <c r="F77" s="7">
        <f t="shared" si="52"/>
        <v>3.2733828357724309E-3</v>
      </c>
      <c r="G77" s="2"/>
      <c r="H77" s="6">
        <v>1630</v>
      </c>
      <c r="I77" s="2"/>
      <c r="J77" s="7">
        <f t="shared" si="53"/>
        <v>3.4399361817974618E-3</v>
      </c>
      <c r="K77" s="2"/>
      <c r="L77" s="6">
        <f t="shared" si="54"/>
        <v>28.299999999999955</v>
      </c>
      <c r="M77" s="2"/>
      <c r="N77" s="7">
        <f t="shared" si="55"/>
        <v>1.7361963190184022E-2</v>
      </c>
      <c r="O77" s="11"/>
      <c r="P77" s="6">
        <v>3166.6</v>
      </c>
      <c r="Q77" s="2"/>
      <c r="R77" s="7">
        <f t="shared" si="56"/>
        <v>3.1166244286270563E-3</v>
      </c>
      <c r="S77" s="2"/>
      <c r="T77" s="6">
        <v>3260</v>
      </c>
      <c r="U77" s="2"/>
      <c r="V77" s="7">
        <f t="shared" si="57"/>
        <v>3.3551210365059809E-3</v>
      </c>
      <c r="W77" s="2"/>
      <c r="X77" s="6">
        <f t="shared" si="58"/>
        <v>-93.400000000000091</v>
      </c>
      <c r="Y77" s="2"/>
      <c r="Z77" s="7">
        <f t="shared" si="59"/>
        <v>-2.8650306748466286E-2</v>
      </c>
    </row>
    <row r="78" spans="1:26" s="24" customFormat="1" hidden="1" outlineLevel="2" x14ac:dyDescent="0.25">
      <c r="A78" s="27"/>
      <c r="B78" s="11" t="str">
        <f>CONCATENATE("          ", "6284", " - ", "TRASH REMOVAL EXPENSE")</f>
        <v xml:space="preserve">          6284 - TRASH REMOVAL EXPENSE</v>
      </c>
      <c r="C78" s="11"/>
      <c r="D78" s="6"/>
      <c r="E78" s="2"/>
      <c r="F78" s="7">
        <f t="shared" si="52"/>
        <v>0</v>
      </c>
      <c r="G78" s="2"/>
      <c r="H78" s="6">
        <v>550</v>
      </c>
      <c r="I78" s="2"/>
      <c r="J78" s="7">
        <f t="shared" si="53"/>
        <v>1.1607146625696957E-3</v>
      </c>
      <c r="K78" s="2"/>
      <c r="L78" s="6">
        <f t="shared" si="54"/>
        <v>-550</v>
      </c>
      <c r="M78" s="2"/>
      <c r="N78" s="7">
        <f t="shared" si="55"/>
        <v>-1</v>
      </c>
      <c r="O78" s="11"/>
      <c r="P78" s="6"/>
      <c r="Q78" s="2"/>
      <c r="R78" s="7">
        <f t="shared" si="56"/>
        <v>0</v>
      </c>
      <c r="S78" s="2"/>
      <c r="T78" s="6">
        <v>1100</v>
      </c>
      <c r="U78" s="2"/>
      <c r="V78" s="7">
        <f t="shared" si="57"/>
        <v>1.1320960552627544E-3</v>
      </c>
      <c r="W78" s="2"/>
      <c r="X78" s="6">
        <f t="shared" si="58"/>
        <v>-1100</v>
      </c>
      <c r="Y78" s="2"/>
      <c r="Z78" s="7">
        <f t="shared" si="59"/>
        <v>-1</v>
      </c>
    </row>
    <row r="79" spans="1:26" s="24" customFormat="1" hidden="1" outlineLevel="2" x14ac:dyDescent="0.25">
      <c r="A79" s="27"/>
      <c r="B79" s="11" t="str">
        <f>CONCATENATE("          ", "6285", " - ", "JANITORIAL SERVICES")</f>
        <v xml:space="preserve">          6285 - JANITORIAL SERVICES</v>
      </c>
      <c r="C79" s="11"/>
      <c r="D79" s="6">
        <v>11660.97</v>
      </c>
      <c r="E79" s="2"/>
      <c r="F79" s="7">
        <f t="shared" si="52"/>
        <v>2.3018041998707859E-2</v>
      </c>
      <c r="G79" s="2"/>
      <c r="H79" s="6">
        <v>11659</v>
      </c>
      <c r="I79" s="2"/>
      <c r="J79" s="7">
        <f t="shared" si="53"/>
        <v>2.4605040456181969E-2</v>
      </c>
      <c r="K79" s="2"/>
      <c r="L79" s="6">
        <f t="shared" si="54"/>
        <v>1.9699999999993452</v>
      </c>
      <c r="M79" s="2"/>
      <c r="N79" s="7">
        <f t="shared" si="55"/>
        <v>1.6896817908905953E-4</v>
      </c>
      <c r="O79" s="11"/>
      <c r="P79" s="6">
        <v>24671.98</v>
      </c>
      <c r="Q79" s="2"/>
      <c r="R79" s="7">
        <f t="shared" si="56"/>
        <v>2.4282604550811018E-2</v>
      </c>
      <c r="S79" s="2"/>
      <c r="T79" s="6">
        <v>21866</v>
      </c>
      <c r="U79" s="2"/>
      <c r="V79" s="7">
        <f t="shared" si="57"/>
        <v>2.2504011222159441E-2</v>
      </c>
      <c r="W79" s="2"/>
      <c r="X79" s="6">
        <f t="shared" si="58"/>
        <v>2805.9799999999996</v>
      </c>
      <c r="Y79" s="2"/>
      <c r="Z79" s="7">
        <f t="shared" si="59"/>
        <v>0.12832616848074635</v>
      </c>
    </row>
    <row r="80" spans="1:26" s="24" customFormat="1" hidden="1" outlineLevel="2" x14ac:dyDescent="0.25">
      <c r="A80" s="27"/>
      <c r="B80" s="11" t="str">
        <f>CONCATENATE("          ", "6286", " - ", "LAUNDRY EXPENSE")</f>
        <v xml:space="preserve">          6286 - LAUNDRY EXPENSE</v>
      </c>
      <c r="C80" s="11"/>
      <c r="D80" s="6">
        <v>4796.2700000000004</v>
      </c>
      <c r="E80" s="2"/>
      <c r="F80" s="7">
        <f t="shared" si="52"/>
        <v>9.4675438061449912E-3</v>
      </c>
      <c r="G80" s="2"/>
      <c r="H80" s="6">
        <v>4800</v>
      </c>
      <c r="I80" s="2"/>
      <c r="J80" s="7">
        <f t="shared" si="53"/>
        <v>1.0129873418790073E-2</v>
      </c>
      <c r="K80" s="2"/>
      <c r="L80" s="6">
        <f t="shared" si="54"/>
        <v>-3.7299999999995634</v>
      </c>
      <c r="M80" s="2"/>
      <c r="N80" s="7">
        <f t="shared" si="55"/>
        <v>-7.7708333333324244E-4</v>
      </c>
      <c r="O80" s="11"/>
      <c r="P80" s="6">
        <v>9838.6</v>
      </c>
      <c r="Q80" s="2"/>
      <c r="R80" s="7">
        <f t="shared" si="56"/>
        <v>9.6833263132350654E-3</v>
      </c>
      <c r="S80" s="2"/>
      <c r="T80" s="6">
        <v>8000</v>
      </c>
      <c r="U80" s="2"/>
      <c r="V80" s="7">
        <f t="shared" si="57"/>
        <v>8.2334258564563945E-3</v>
      </c>
      <c r="W80" s="2"/>
      <c r="X80" s="6">
        <f t="shared" si="58"/>
        <v>1838.6000000000004</v>
      </c>
      <c r="Y80" s="2"/>
      <c r="Z80" s="7">
        <f t="shared" si="59"/>
        <v>0.22982500000000006</v>
      </c>
    </row>
    <row r="81" spans="1:26" s="26" customFormat="1" outlineLevel="1" collapsed="1" x14ac:dyDescent="0.25">
      <c r="A81" s="25"/>
      <c r="B81" s="13" t="str">
        <f>CONCATENATE("     ","Supplies                                          ")</f>
        <v xml:space="preserve">     Supplies                                          </v>
      </c>
      <c r="C81" s="13"/>
      <c r="D81" s="1">
        <f>SUM(OSRRefD22_14x_0)</f>
        <v>22655.909999999996</v>
      </c>
      <c r="E81" s="1"/>
      <c r="F81" s="5">
        <f t="shared" ref="F81:F90" si="60">IF(D$12=0,0,D81/D$12)</f>
        <v>4.472138148875654E-2</v>
      </c>
      <c r="G81" s="1"/>
      <c r="H81" s="1">
        <f>SUM(OSRRefH22_14x_0)</f>
        <v>24961</v>
      </c>
      <c r="I81" s="1"/>
      <c r="J81" s="5">
        <f t="shared" ref="J81:J90" si="61">IF(H$12=0,0,H81/H$12)</f>
        <v>5.2677452168003958E-2</v>
      </c>
      <c r="K81" s="1"/>
      <c r="L81" s="1">
        <f t="shared" ref="L81:L90" si="62">+D81-H81</f>
        <v>-2305.0900000000038</v>
      </c>
      <c r="M81" s="1"/>
      <c r="N81" s="5">
        <f t="shared" ref="N81:N90" si="63">IF(H81=0,0,L81/H81)</f>
        <v>-9.2347662353271256E-2</v>
      </c>
      <c r="O81" s="13"/>
      <c r="P81" s="1">
        <f>SUM(OSRRefP22_14x_0)</f>
        <v>50774.19</v>
      </c>
      <c r="Q81" s="1"/>
      <c r="R81" s="5">
        <f t="shared" ref="R81:R90" si="64">IF(P$12=0,0,P81/P$12)</f>
        <v>4.9972867080702206E-2</v>
      </c>
      <c r="S81" s="1"/>
      <c r="T81" s="1">
        <f>SUM(OSRRefT22_14x_0)</f>
        <v>49916</v>
      </c>
      <c r="U81" s="1"/>
      <c r="V81" s="5">
        <f t="shared" ref="V81:V90" si="65">IF(T$12=0,0,T81/T$12)</f>
        <v>5.1372460631359682E-2</v>
      </c>
      <c r="W81" s="1"/>
      <c r="X81" s="1">
        <f t="shared" ref="X81:X90" si="66">+P81-T81</f>
        <v>858.19000000000233</v>
      </c>
      <c r="Y81" s="1"/>
      <c r="Z81" s="5">
        <f t="shared" ref="Z81:Z90" si="67">IF(T81=0,0,X81/T81)</f>
        <v>1.7192683708630547E-2</v>
      </c>
    </row>
    <row r="82" spans="1:26" s="24" customFormat="1" hidden="1" outlineLevel="2" x14ac:dyDescent="0.25">
      <c r="A82" s="27"/>
      <c r="B82" s="11" t="str">
        <f>CONCATENATE("          ", "6234", " - ", "EXPENDABLE SUPPLIES &amp; EQUIPMEN")</f>
        <v xml:space="preserve">          6234 - EXPENDABLE SUPPLIES &amp; EQUIPMEN</v>
      </c>
      <c r="C82" s="11"/>
      <c r="D82" s="6"/>
      <c r="E82" s="2"/>
      <c r="F82" s="7">
        <f t="shared" si="60"/>
        <v>0</v>
      </c>
      <c r="G82" s="2"/>
      <c r="H82" s="6"/>
      <c r="I82" s="2"/>
      <c r="J82" s="7">
        <f t="shared" si="61"/>
        <v>0</v>
      </c>
      <c r="K82" s="2"/>
      <c r="L82" s="6">
        <f t="shared" si="62"/>
        <v>0</v>
      </c>
      <c r="M82" s="2"/>
      <c r="N82" s="7">
        <f t="shared" si="63"/>
        <v>0</v>
      </c>
      <c r="O82" s="11"/>
      <c r="P82" s="6"/>
      <c r="Q82" s="2"/>
      <c r="R82" s="7">
        <f t="shared" si="64"/>
        <v>0</v>
      </c>
      <c r="S82" s="2"/>
      <c r="T82" s="6">
        <v>200</v>
      </c>
      <c r="U82" s="2"/>
      <c r="V82" s="7">
        <f t="shared" si="65"/>
        <v>2.0583564641140988E-4</v>
      </c>
      <c r="W82" s="2"/>
      <c r="X82" s="6">
        <f t="shared" si="66"/>
        <v>-200</v>
      </c>
      <c r="Y82" s="2"/>
      <c r="Z82" s="7">
        <f t="shared" si="67"/>
        <v>-1</v>
      </c>
    </row>
    <row r="83" spans="1:26" s="24" customFormat="1" hidden="1" outlineLevel="2" x14ac:dyDescent="0.25">
      <c r="A83" s="27"/>
      <c r="B83" s="11" t="str">
        <f>CONCATENATE("          ", "6237", " - ", "JANITORIAL SUPPLIES")</f>
        <v xml:space="preserve">          6237 - JANITORIAL SUPPLIES</v>
      </c>
      <c r="C83" s="11"/>
      <c r="D83" s="6">
        <v>8681.9599999999991</v>
      </c>
      <c r="E83" s="2"/>
      <c r="F83" s="7">
        <f t="shared" si="60"/>
        <v>1.7137658351843943E-2</v>
      </c>
      <c r="G83" s="2"/>
      <c r="H83" s="6">
        <v>10255</v>
      </c>
      <c r="I83" s="2"/>
      <c r="J83" s="7">
        <f t="shared" si="61"/>
        <v>2.1642052481185874E-2</v>
      </c>
      <c r="K83" s="2"/>
      <c r="L83" s="6">
        <f t="shared" si="62"/>
        <v>-1573.0400000000009</v>
      </c>
      <c r="M83" s="2"/>
      <c r="N83" s="7">
        <f t="shared" si="63"/>
        <v>-0.15339249146757689</v>
      </c>
      <c r="O83" s="11"/>
      <c r="P83" s="6">
        <v>15933.409999999998</v>
      </c>
      <c r="Q83" s="2"/>
      <c r="R83" s="7">
        <f t="shared" si="64"/>
        <v>1.568194746331416E-2</v>
      </c>
      <c r="S83" s="2"/>
      <c r="T83" s="6">
        <v>18105</v>
      </c>
      <c r="U83" s="2"/>
      <c r="V83" s="7">
        <f t="shared" si="65"/>
        <v>1.863327189139288E-2</v>
      </c>
      <c r="W83" s="2"/>
      <c r="X83" s="6">
        <f t="shared" si="66"/>
        <v>-2171.590000000002</v>
      </c>
      <c r="Y83" s="2"/>
      <c r="Z83" s="7">
        <f t="shared" si="67"/>
        <v>-0.1199442143054406</v>
      </c>
    </row>
    <row r="84" spans="1:26" s="24" customFormat="1" hidden="1" outlineLevel="2" x14ac:dyDescent="0.25">
      <c r="A84" s="27"/>
      <c r="B84" s="11" t="str">
        <f>CONCATENATE("          ", "6239", " - ", "KITCHEN SUPPLIES")</f>
        <v xml:space="preserve">          6239 - KITCHEN SUPPLIES</v>
      </c>
      <c r="C84" s="11"/>
      <c r="D84" s="6">
        <v>4959.72</v>
      </c>
      <c r="E84" s="2"/>
      <c r="F84" s="7">
        <f t="shared" si="60"/>
        <v>9.7901841152006532E-3</v>
      </c>
      <c r="G84" s="2"/>
      <c r="H84" s="6">
        <v>5750</v>
      </c>
      <c r="I84" s="2"/>
      <c r="J84" s="7">
        <f t="shared" si="61"/>
        <v>1.2134744199592274E-2</v>
      </c>
      <c r="K84" s="2"/>
      <c r="L84" s="6">
        <f t="shared" si="62"/>
        <v>-790.27999999999975</v>
      </c>
      <c r="M84" s="2"/>
      <c r="N84" s="7">
        <f t="shared" si="63"/>
        <v>-0.13743999999999995</v>
      </c>
      <c r="O84" s="11"/>
      <c r="P84" s="6">
        <v>5792.69</v>
      </c>
      <c r="Q84" s="2"/>
      <c r="R84" s="7">
        <f t="shared" si="64"/>
        <v>5.7012692356040113E-3</v>
      </c>
      <c r="S84" s="2"/>
      <c r="T84" s="6">
        <v>9600</v>
      </c>
      <c r="U84" s="2"/>
      <c r="V84" s="7">
        <f t="shared" si="65"/>
        <v>9.8801110277476744E-3</v>
      </c>
      <c r="W84" s="2"/>
      <c r="X84" s="6">
        <f t="shared" si="66"/>
        <v>-3807.3100000000004</v>
      </c>
      <c r="Y84" s="2"/>
      <c r="Z84" s="7">
        <f t="shared" si="67"/>
        <v>-0.39659479166666672</v>
      </c>
    </row>
    <row r="85" spans="1:26" s="24" customFormat="1" hidden="1" outlineLevel="2" x14ac:dyDescent="0.25">
      <c r="A85" s="27"/>
      <c r="B85" s="11" t="str">
        <f>CONCATENATE("          ", "6241", " - ", "OFFICE EXPENSE")</f>
        <v xml:space="preserve">          6241 - OFFICE EXPENSE</v>
      </c>
      <c r="C85" s="11"/>
      <c r="D85" s="6">
        <v>1032.6400000000001</v>
      </c>
      <c r="E85" s="2"/>
      <c r="F85" s="7">
        <f t="shared" si="60"/>
        <v>2.038368239481423E-3</v>
      </c>
      <c r="G85" s="2"/>
      <c r="H85" s="6">
        <v>1429</v>
      </c>
      <c r="I85" s="2"/>
      <c r="J85" s="7">
        <f t="shared" si="61"/>
        <v>3.0157477323856279E-3</v>
      </c>
      <c r="K85" s="2"/>
      <c r="L85" s="6">
        <f t="shared" si="62"/>
        <v>-396.3599999999999</v>
      </c>
      <c r="M85" s="2"/>
      <c r="N85" s="7">
        <f t="shared" si="63"/>
        <v>-0.27736878936319098</v>
      </c>
      <c r="O85" s="11"/>
      <c r="P85" s="6">
        <v>21882.62</v>
      </c>
      <c r="Q85" s="2"/>
      <c r="R85" s="7">
        <f t="shared" si="64"/>
        <v>2.1537266485935385E-2</v>
      </c>
      <c r="S85" s="2"/>
      <c r="T85" s="6">
        <v>2284</v>
      </c>
      <c r="U85" s="2"/>
      <c r="V85" s="7">
        <f t="shared" si="65"/>
        <v>2.3506430820183009E-3</v>
      </c>
      <c r="W85" s="2"/>
      <c r="X85" s="6">
        <f t="shared" si="66"/>
        <v>19598.62</v>
      </c>
      <c r="Y85" s="2"/>
      <c r="Z85" s="7">
        <f t="shared" si="67"/>
        <v>8.5808318739054279</v>
      </c>
    </row>
    <row r="86" spans="1:26" s="24" customFormat="1" hidden="1" outlineLevel="2" x14ac:dyDescent="0.25">
      <c r="A86" s="27"/>
      <c r="B86" s="11" t="str">
        <f>CONCATENATE("          ", "6243", " - ", "PAPER SUPPLIES")</f>
        <v xml:space="preserve">          6243 - PAPER SUPPLIES</v>
      </c>
      <c r="C86" s="11"/>
      <c r="D86" s="6">
        <v>5324.74</v>
      </c>
      <c r="E86" s="2"/>
      <c r="F86" s="7">
        <f t="shared" si="60"/>
        <v>1.0510711283212262E-2</v>
      </c>
      <c r="G86" s="2"/>
      <c r="H86" s="6">
        <v>6859</v>
      </c>
      <c r="I86" s="2"/>
      <c r="J86" s="7">
        <f t="shared" si="61"/>
        <v>1.4475167037391897E-2</v>
      </c>
      <c r="K86" s="2"/>
      <c r="L86" s="6">
        <f t="shared" si="62"/>
        <v>-1534.2600000000002</v>
      </c>
      <c r="M86" s="2"/>
      <c r="N86" s="7">
        <f t="shared" si="63"/>
        <v>-0.22368566846479082</v>
      </c>
      <c r="O86" s="11"/>
      <c r="P86" s="6">
        <v>9921.8700000000008</v>
      </c>
      <c r="Q86" s="2"/>
      <c r="R86" s="7">
        <f t="shared" si="64"/>
        <v>9.7652821384645785E-3</v>
      </c>
      <c r="S86" s="2"/>
      <c r="T86" s="6">
        <v>11909</v>
      </c>
      <c r="U86" s="2"/>
      <c r="V86" s="7">
        <f t="shared" si="65"/>
        <v>1.2256483565567402E-2</v>
      </c>
      <c r="W86" s="2"/>
      <c r="X86" s="6">
        <f t="shared" si="66"/>
        <v>-1987.1299999999992</v>
      </c>
      <c r="Y86" s="2"/>
      <c r="Z86" s="7">
        <f t="shared" si="67"/>
        <v>-0.1668595180115878</v>
      </c>
    </row>
    <row r="87" spans="1:26" s="24" customFormat="1" hidden="1" outlineLevel="2" x14ac:dyDescent="0.25">
      <c r="A87" s="27"/>
      <c r="B87" s="11" t="str">
        <f>CONCATENATE("          ", "6244", " - ", "SAFETY SUPPLY EXPENSE")</f>
        <v xml:space="preserve">          6244 - SAFETY SUPPLY EXPENSE</v>
      </c>
      <c r="C87" s="11"/>
      <c r="D87" s="6"/>
      <c r="E87" s="2"/>
      <c r="F87" s="7">
        <f t="shared" si="60"/>
        <v>0</v>
      </c>
      <c r="G87" s="2"/>
      <c r="H87" s="6">
        <v>125</v>
      </c>
      <c r="I87" s="2"/>
      <c r="J87" s="7">
        <f t="shared" si="61"/>
        <v>2.6379878694765812E-4</v>
      </c>
      <c r="K87" s="2"/>
      <c r="L87" s="6">
        <f t="shared" si="62"/>
        <v>-125</v>
      </c>
      <c r="M87" s="2"/>
      <c r="N87" s="7">
        <f t="shared" si="63"/>
        <v>-1</v>
      </c>
      <c r="O87" s="11"/>
      <c r="P87" s="6"/>
      <c r="Q87" s="2"/>
      <c r="R87" s="7">
        <f t="shared" si="64"/>
        <v>0</v>
      </c>
      <c r="S87" s="2"/>
      <c r="T87" s="6">
        <v>250</v>
      </c>
      <c r="U87" s="2"/>
      <c r="V87" s="7">
        <f t="shared" si="65"/>
        <v>2.5729455801426233E-4</v>
      </c>
      <c r="W87" s="2"/>
      <c r="X87" s="6">
        <f t="shared" si="66"/>
        <v>-250</v>
      </c>
      <c r="Y87" s="2"/>
      <c r="Z87" s="7">
        <f t="shared" si="67"/>
        <v>-1</v>
      </c>
    </row>
    <row r="88" spans="1:26" s="24" customFormat="1" hidden="1" outlineLevel="2" x14ac:dyDescent="0.25">
      <c r="A88" s="27"/>
      <c r="B88" s="11" t="str">
        <f>CONCATENATE("          ", "6245", " - ", "PRINTING")</f>
        <v xml:space="preserve">          6245 - PRINTING</v>
      </c>
      <c r="C88" s="11"/>
      <c r="D88" s="6">
        <v>1323</v>
      </c>
      <c r="E88" s="2"/>
      <c r="F88" s="7">
        <f t="shared" si="60"/>
        <v>2.6115211311143497E-3</v>
      </c>
      <c r="G88" s="2"/>
      <c r="H88" s="6">
        <v>160</v>
      </c>
      <c r="I88" s="2"/>
      <c r="J88" s="7">
        <f t="shared" si="61"/>
        <v>3.3766244729300241E-4</v>
      </c>
      <c r="K88" s="2"/>
      <c r="L88" s="6">
        <f t="shared" si="62"/>
        <v>1163</v>
      </c>
      <c r="M88" s="2"/>
      <c r="N88" s="7">
        <f t="shared" si="63"/>
        <v>7.2687499999999998</v>
      </c>
      <c r="O88" s="11"/>
      <c r="P88" s="6">
        <v>1323</v>
      </c>
      <c r="Q88" s="2"/>
      <c r="R88" s="7">
        <f t="shared" si="64"/>
        <v>1.3021202927662463E-3</v>
      </c>
      <c r="S88" s="2"/>
      <c r="T88" s="6">
        <v>310</v>
      </c>
      <c r="U88" s="2"/>
      <c r="V88" s="7">
        <f t="shared" si="65"/>
        <v>3.1904525193768529E-4</v>
      </c>
      <c r="W88" s="2"/>
      <c r="X88" s="6">
        <f t="shared" si="66"/>
        <v>1013</v>
      </c>
      <c r="Y88" s="2"/>
      <c r="Z88" s="7">
        <f t="shared" si="67"/>
        <v>3.2677419354838708</v>
      </c>
    </row>
    <row r="89" spans="1:26" s="24" customFormat="1" hidden="1" outlineLevel="2" x14ac:dyDescent="0.25">
      <c r="A89" s="27"/>
      <c r="B89" s="11" t="str">
        <f>CONCATENATE("          ", "6247", " - ", "STORE SUPPLIES")</f>
        <v xml:space="preserve">          6247 - STORE SUPPLIES</v>
      </c>
      <c r="C89" s="11"/>
      <c r="D89" s="6">
        <v>220.25</v>
      </c>
      <c r="E89" s="2"/>
      <c r="F89" s="7">
        <f t="shared" si="60"/>
        <v>4.3476003713373811E-4</v>
      </c>
      <c r="G89" s="2"/>
      <c r="H89" s="6">
        <v>8</v>
      </c>
      <c r="I89" s="2"/>
      <c r="J89" s="7">
        <f t="shared" si="61"/>
        <v>1.6883122364650121E-5</v>
      </c>
      <c r="K89" s="2"/>
      <c r="L89" s="6">
        <f t="shared" si="62"/>
        <v>212.25</v>
      </c>
      <c r="M89" s="2"/>
      <c r="N89" s="7">
        <f t="shared" si="63"/>
        <v>26.53125</v>
      </c>
      <c r="O89" s="11"/>
      <c r="P89" s="6">
        <v>376.35</v>
      </c>
      <c r="Q89" s="2"/>
      <c r="R89" s="7">
        <f t="shared" si="64"/>
        <v>3.7041040981298324E-4</v>
      </c>
      <c r="S89" s="2"/>
      <c r="T89" s="6">
        <v>8</v>
      </c>
      <c r="U89" s="2"/>
      <c r="V89" s="7">
        <f t="shared" si="65"/>
        <v>8.2334258564563953E-6</v>
      </c>
      <c r="W89" s="2"/>
      <c r="X89" s="6">
        <f t="shared" si="66"/>
        <v>368.35</v>
      </c>
      <c r="Y89" s="2"/>
      <c r="Z89" s="7">
        <f t="shared" si="67"/>
        <v>46.043750000000003</v>
      </c>
    </row>
    <row r="90" spans="1:26" s="24" customFormat="1" hidden="1" outlineLevel="2" x14ac:dyDescent="0.25">
      <c r="A90" s="27"/>
      <c r="B90" s="11" t="str">
        <f>CONCATENATE("          ", "6248", " - ", "UNIFORMS")</f>
        <v xml:space="preserve">          6248 - UNIFORMS</v>
      </c>
      <c r="C90" s="11"/>
      <c r="D90" s="6">
        <v>1113.5999999999999</v>
      </c>
      <c r="E90" s="2"/>
      <c r="F90" s="7">
        <f t="shared" si="60"/>
        <v>2.1981783307701737E-3</v>
      </c>
      <c r="G90" s="2"/>
      <c r="H90" s="6">
        <v>375</v>
      </c>
      <c r="I90" s="2"/>
      <c r="J90" s="7">
        <f t="shared" si="61"/>
        <v>7.9139636084297441E-4</v>
      </c>
      <c r="K90" s="2"/>
      <c r="L90" s="6">
        <f t="shared" si="62"/>
        <v>738.59999999999991</v>
      </c>
      <c r="M90" s="2"/>
      <c r="N90" s="7">
        <f t="shared" si="63"/>
        <v>1.9695999999999998</v>
      </c>
      <c r="O90" s="11"/>
      <c r="P90" s="6">
        <v>-4455.75</v>
      </c>
      <c r="Q90" s="2"/>
      <c r="R90" s="7">
        <f t="shared" si="64"/>
        <v>-4.3854289451951646E-3</v>
      </c>
      <c r="S90" s="2"/>
      <c r="T90" s="6">
        <v>7250</v>
      </c>
      <c r="U90" s="2"/>
      <c r="V90" s="7">
        <f t="shared" si="65"/>
        <v>7.4615421824136084E-3</v>
      </c>
      <c r="W90" s="2"/>
      <c r="X90" s="6">
        <f t="shared" si="66"/>
        <v>-11705.75</v>
      </c>
      <c r="Y90" s="2"/>
      <c r="Z90" s="7">
        <f t="shared" si="67"/>
        <v>-1.6145862068965517</v>
      </c>
    </row>
    <row r="91" spans="1:26" s="26" customFormat="1" outlineLevel="1" collapsed="1" x14ac:dyDescent="0.25">
      <c r="A91" s="25"/>
      <c r="B91" s="13" t="str">
        <f>CONCATENATE("     ","Telephone/Data Lines                              ")</f>
        <v xml:space="preserve">     Telephone/Data Lines                              </v>
      </c>
      <c r="C91" s="13"/>
      <c r="D91" s="1">
        <f>SUM(OSRRefD22_15x_0)</f>
        <v>758.5</v>
      </c>
      <c r="E91" s="1"/>
      <c r="F91" s="5">
        <f t="shared" ref="F91:F97" si="68">IF(D$12=0,0,D91/D$12)</f>
        <v>1.4972326363947349E-3</v>
      </c>
      <c r="G91" s="1"/>
      <c r="H91" s="1">
        <f>SUM(OSRRefH22_15x_0)</f>
        <v>793</v>
      </c>
      <c r="I91" s="1"/>
      <c r="J91" s="5">
        <f t="shared" ref="J91:J97" si="69">IF(H$12=0,0,H91/H$12)</f>
        <v>1.6735395043959431E-3</v>
      </c>
      <c r="K91" s="1"/>
      <c r="L91" s="1">
        <f t="shared" ref="L91:L97" si="70">+D91-H91</f>
        <v>-34.5</v>
      </c>
      <c r="M91" s="1"/>
      <c r="N91" s="5">
        <f t="shared" ref="N91:N97" si="71">IF(H91=0,0,L91/H91)</f>
        <v>-4.3505674653215635E-2</v>
      </c>
      <c r="O91" s="13"/>
      <c r="P91" s="1">
        <f>SUM(OSRRefP22_15x_0)</f>
        <v>324.14999999999998</v>
      </c>
      <c r="Q91" s="1"/>
      <c r="R91" s="5">
        <f t="shared" ref="R91:R97" si="72">IF(P$12=0,0,P91/P$12)</f>
        <v>3.1903423499635581E-4</v>
      </c>
      <c r="S91" s="1"/>
      <c r="T91" s="1">
        <f>SUM(OSRRefT22_15x_0)</f>
        <v>1586</v>
      </c>
      <c r="U91" s="1"/>
      <c r="V91" s="5">
        <f t="shared" ref="V91:V97" si="73">IF(T$12=0,0,T91/T$12)</f>
        <v>1.6322766760424805E-3</v>
      </c>
      <c r="W91" s="1"/>
      <c r="X91" s="1">
        <f t="shared" ref="X91:X97" si="74">+P91-T91</f>
        <v>-1261.8499999999999</v>
      </c>
      <c r="Y91" s="1"/>
      <c r="Z91" s="5">
        <f t="shared" ref="Z91:Z97" si="75">IF(T91=0,0,X91/T91)</f>
        <v>-0.79561790668348042</v>
      </c>
    </row>
    <row r="92" spans="1:26" s="24" customFormat="1" hidden="1" outlineLevel="2" x14ac:dyDescent="0.25">
      <c r="A92" s="27"/>
      <c r="B92" s="11" t="str">
        <f>CONCATENATE("          ", "6309", " - ", "TELEPHONE")</f>
        <v xml:space="preserve">          6309 - TELEPHONE</v>
      </c>
      <c r="C92" s="11"/>
      <c r="D92" s="6">
        <v>758.5</v>
      </c>
      <c r="E92" s="2"/>
      <c r="F92" s="7">
        <f t="shared" si="68"/>
        <v>1.4972326363947349E-3</v>
      </c>
      <c r="G92" s="2"/>
      <c r="H92" s="6">
        <v>793</v>
      </c>
      <c r="I92" s="2"/>
      <c r="J92" s="7">
        <f t="shared" si="69"/>
        <v>1.6735395043959431E-3</v>
      </c>
      <c r="K92" s="2"/>
      <c r="L92" s="6">
        <f t="shared" si="70"/>
        <v>-34.5</v>
      </c>
      <c r="M92" s="2"/>
      <c r="N92" s="7">
        <f t="shared" si="71"/>
        <v>-4.3505674653215635E-2</v>
      </c>
      <c r="O92" s="11"/>
      <c r="P92" s="6">
        <v>324.14999999999998</v>
      </c>
      <c r="Q92" s="2"/>
      <c r="R92" s="7">
        <f t="shared" si="72"/>
        <v>3.1903423499635581E-4</v>
      </c>
      <c r="S92" s="2"/>
      <c r="T92" s="6">
        <v>1586</v>
      </c>
      <c r="U92" s="2"/>
      <c r="V92" s="7">
        <f t="shared" si="73"/>
        <v>1.6322766760424805E-3</v>
      </c>
      <c r="W92" s="2"/>
      <c r="X92" s="6">
        <f t="shared" si="74"/>
        <v>-1261.8499999999999</v>
      </c>
      <c r="Y92" s="2"/>
      <c r="Z92" s="7">
        <f t="shared" si="75"/>
        <v>-0.79561790668348042</v>
      </c>
    </row>
    <row r="93" spans="1:26" s="26" customFormat="1" outlineLevel="1" collapsed="1" x14ac:dyDescent="0.25">
      <c r="A93" s="25"/>
      <c r="B93" s="13" t="str">
        <f>CONCATENATE("     ","Training                                          ")</f>
        <v xml:space="preserve">     Training                                          </v>
      </c>
      <c r="C93" s="13"/>
      <c r="D93" s="1">
        <f>SUM(OSRRefD22_16x_0)</f>
        <v>189.9</v>
      </c>
      <c r="E93" s="1"/>
      <c r="F93" s="5">
        <f t="shared" si="68"/>
        <v>3.7485099228920261E-4</v>
      </c>
      <c r="G93" s="1"/>
      <c r="H93" s="1">
        <f>SUM(OSRRefH22_16x_0)</f>
        <v>2379</v>
      </c>
      <c r="I93" s="1"/>
      <c r="J93" s="5">
        <f t="shared" si="69"/>
        <v>5.0206185131878292E-3</v>
      </c>
      <c r="K93" s="1"/>
      <c r="L93" s="1">
        <f t="shared" si="70"/>
        <v>-2189.1</v>
      </c>
      <c r="M93" s="1"/>
      <c r="N93" s="5">
        <f t="shared" si="71"/>
        <v>-0.92017654476670863</v>
      </c>
      <c r="O93" s="13"/>
      <c r="P93" s="1">
        <f>SUM(OSRRefP22_16x_0)</f>
        <v>3396.27</v>
      </c>
      <c r="Q93" s="1"/>
      <c r="R93" s="5">
        <f t="shared" si="72"/>
        <v>3.3426697556411334E-3</v>
      </c>
      <c r="S93" s="1"/>
      <c r="T93" s="1">
        <f>SUM(OSRRefT22_16x_0)</f>
        <v>4758</v>
      </c>
      <c r="U93" s="1"/>
      <c r="V93" s="5">
        <f t="shared" si="73"/>
        <v>4.8968300281274409E-3</v>
      </c>
      <c r="W93" s="1"/>
      <c r="X93" s="1">
        <f t="shared" si="74"/>
        <v>-1361.73</v>
      </c>
      <c r="Y93" s="1"/>
      <c r="Z93" s="5">
        <f t="shared" si="75"/>
        <v>-0.28619798234552335</v>
      </c>
    </row>
    <row r="94" spans="1:26" s="24" customFormat="1" hidden="1" outlineLevel="2" x14ac:dyDescent="0.25">
      <c r="A94" s="27"/>
      <c r="B94" s="11" t="str">
        <f>CONCATENATE("          ", "6376", " - ", "TRAINING")</f>
        <v xml:space="preserve">          6376 - TRAINING</v>
      </c>
      <c r="C94" s="11"/>
      <c r="D94" s="6">
        <v>189.9</v>
      </c>
      <c r="E94" s="2"/>
      <c r="F94" s="7">
        <f t="shared" si="68"/>
        <v>3.7485099228920261E-4</v>
      </c>
      <c r="G94" s="2"/>
      <c r="H94" s="6">
        <v>2379</v>
      </c>
      <c r="I94" s="2"/>
      <c r="J94" s="7">
        <f t="shared" si="69"/>
        <v>5.0206185131878292E-3</v>
      </c>
      <c r="K94" s="2"/>
      <c r="L94" s="6">
        <f t="shared" si="70"/>
        <v>-2189.1</v>
      </c>
      <c r="M94" s="2"/>
      <c r="N94" s="7">
        <f t="shared" si="71"/>
        <v>-0.92017654476670863</v>
      </c>
      <c r="O94" s="11"/>
      <c r="P94" s="6">
        <v>3396.27</v>
      </c>
      <c r="Q94" s="2"/>
      <c r="R94" s="7">
        <f t="shared" si="72"/>
        <v>3.3426697556411334E-3</v>
      </c>
      <c r="S94" s="2"/>
      <c r="T94" s="6">
        <v>4758</v>
      </c>
      <c r="U94" s="2"/>
      <c r="V94" s="7">
        <f t="shared" si="73"/>
        <v>4.8968300281274409E-3</v>
      </c>
      <c r="W94" s="2"/>
      <c r="X94" s="6">
        <f t="shared" si="74"/>
        <v>-1361.73</v>
      </c>
      <c r="Y94" s="2"/>
      <c r="Z94" s="7">
        <f t="shared" si="75"/>
        <v>-0.28619798234552335</v>
      </c>
    </row>
    <row r="95" spans="1:26" s="26" customFormat="1" outlineLevel="1" collapsed="1" x14ac:dyDescent="0.25">
      <c r="A95" s="25"/>
      <c r="B95" s="13" t="str">
        <f>CONCATENATE("     ","Travel                                            ")</f>
        <v xml:space="preserve">     Travel                                            </v>
      </c>
      <c r="C95" s="13"/>
      <c r="D95" s="1">
        <f>SUM(OSRRefD22_17x_0)</f>
        <v>119.9</v>
      </c>
      <c r="E95" s="1"/>
      <c r="F95" s="5">
        <f t="shared" si="68"/>
        <v>2.3667527106622114E-4</v>
      </c>
      <c r="G95" s="1"/>
      <c r="H95" s="1">
        <f>SUM(OSRRefH22_17x_0)</f>
        <v>410</v>
      </c>
      <c r="I95" s="1"/>
      <c r="J95" s="5">
        <f t="shared" si="69"/>
        <v>8.6526002118831864E-4</v>
      </c>
      <c r="K95" s="1"/>
      <c r="L95" s="1">
        <f t="shared" si="70"/>
        <v>-290.10000000000002</v>
      </c>
      <c r="M95" s="1"/>
      <c r="N95" s="5">
        <f t="shared" si="71"/>
        <v>-0.70756097560975617</v>
      </c>
      <c r="O95" s="13"/>
      <c r="P95" s="1">
        <f>SUM(OSRRefP22_17x_0)</f>
        <v>1688.41</v>
      </c>
      <c r="Q95" s="1"/>
      <c r="R95" s="5">
        <f t="shared" si="72"/>
        <v>1.661763358661722E-3</v>
      </c>
      <c r="S95" s="1"/>
      <c r="T95" s="1">
        <f>SUM(OSRRefT22_17x_0)</f>
        <v>820</v>
      </c>
      <c r="U95" s="1"/>
      <c r="V95" s="5">
        <f t="shared" si="73"/>
        <v>8.4392615028678047E-4</v>
      </c>
      <c r="W95" s="1"/>
      <c r="X95" s="1">
        <f t="shared" si="74"/>
        <v>868.41000000000008</v>
      </c>
      <c r="Y95" s="1"/>
      <c r="Z95" s="5">
        <f t="shared" si="75"/>
        <v>1.0590365853658537</v>
      </c>
    </row>
    <row r="96" spans="1:26" s="24" customFormat="1" hidden="1" outlineLevel="2" x14ac:dyDescent="0.25">
      <c r="A96" s="27"/>
      <c r="B96" s="11" t="str">
        <f>CONCATENATE("          ", "6292", " - ", "TRAVEL/CONFERENCE")</f>
        <v xml:space="preserve">          6292 - TRAVEL/CONFERENCE</v>
      </c>
      <c r="C96" s="11"/>
      <c r="D96" s="6">
        <v>119.9</v>
      </c>
      <c r="E96" s="2"/>
      <c r="F96" s="7">
        <f t="shared" si="68"/>
        <v>2.3667527106622114E-4</v>
      </c>
      <c r="G96" s="2"/>
      <c r="H96" s="6">
        <v>300</v>
      </c>
      <c r="I96" s="2"/>
      <c r="J96" s="7">
        <f t="shared" si="69"/>
        <v>6.3311708867437957E-4</v>
      </c>
      <c r="K96" s="2"/>
      <c r="L96" s="6">
        <f t="shared" si="70"/>
        <v>-180.1</v>
      </c>
      <c r="M96" s="2"/>
      <c r="N96" s="7">
        <f t="shared" si="71"/>
        <v>-0.60033333333333327</v>
      </c>
      <c r="O96" s="11"/>
      <c r="P96" s="6">
        <v>1688.41</v>
      </c>
      <c r="Q96" s="2"/>
      <c r="R96" s="7">
        <f t="shared" si="72"/>
        <v>1.661763358661722E-3</v>
      </c>
      <c r="S96" s="2"/>
      <c r="T96" s="6">
        <v>600</v>
      </c>
      <c r="U96" s="2"/>
      <c r="V96" s="7">
        <f t="shared" si="73"/>
        <v>6.1750693923422965E-4</v>
      </c>
      <c r="W96" s="2"/>
      <c r="X96" s="6">
        <f t="shared" si="74"/>
        <v>1088.4100000000001</v>
      </c>
      <c r="Y96" s="2"/>
      <c r="Z96" s="7">
        <f t="shared" si="75"/>
        <v>1.8140166666666668</v>
      </c>
    </row>
    <row r="97" spans="1:26" s="24" customFormat="1" hidden="1" outlineLevel="2" x14ac:dyDescent="0.25">
      <c r="A97" s="27"/>
      <c r="B97" s="11" t="str">
        <f>CONCATENATE("          ", "6298", " - ", "VEHICLE MILEAGE")</f>
        <v xml:space="preserve">          6298 - VEHICLE MILEAGE</v>
      </c>
      <c r="C97" s="11"/>
      <c r="D97" s="6"/>
      <c r="E97" s="2"/>
      <c r="F97" s="7">
        <f t="shared" si="68"/>
        <v>0</v>
      </c>
      <c r="G97" s="2"/>
      <c r="H97" s="6">
        <v>110</v>
      </c>
      <c r="I97" s="2"/>
      <c r="J97" s="7">
        <f t="shared" si="69"/>
        <v>2.3214293251393916E-4</v>
      </c>
      <c r="K97" s="2"/>
      <c r="L97" s="6">
        <f t="shared" si="70"/>
        <v>-110</v>
      </c>
      <c r="M97" s="2"/>
      <c r="N97" s="7">
        <f t="shared" si="71"/>
        <v>-1</v>
      </c>
      <c r="O97" s="11"/>
      <c r="P97" s="6"/>
      <c r="Q97" s="2"/>
      <c r="R97" s="7">
        <f t="shared" si="72"/>
        <v>0</v>
      </c>
      <c r="S97" s="2"/>
      <c r="T97" s="6">
        <v>220</v>
      </c>
      <c r="U97" s="2"/>
      <c r="V97" s="7">
        <f t="shared" si="73"/>
        <v>2.2641921105255087E-4</v>
      </c>
      <c r="W97" s="2"/>
      <c r="X97" s="6">
        <f t="shared" si="74"/>
        <v>-220</v>
      </c>
      <c r="Y97" s="2"/>
      <c r="Z97" s="7">
        <f t="shared" si="75"/>
        <v>-1</v>
      </c>
    </row>
    <row r="98" spans="1:26" s="63" customFormat="1" x14ac:dyDescent="0.25">
      <c r="A98" s="36"/>
      <c r="B98" s="36"/>
      <c r="C98" s="36"/>
      <c r="D98" s="1"/>
      <c r="E98" s="1"/>
      <c r="F98" s="5"/>
      <c r="G98" s="1"/>
      <c r="H98" s="1"/>
      <c r="I98" s="1"/>
      <c r="J98" s="5"/>
      <c r="K98" s="1"/>
      <c r="L98" s="1"/>
      <c r="M98" s="1"/>
      <c r="N98" s="5"/>
      <c r="O98" s="36"/>
      <c r="P98" s="1"/>
      <c r="Q98" s="1"/>
      <c r="R98" s="5"/>
      <c r="S98" s="1"/>
      <c r="T98" s="1"/>
      <c r="U98" s="1"/>
      <c r="V98" s="5"/>
      <c r="W98" s="1"/>
      <c r="X98" s="1"/>
      <c r="Y98" s="1"/>
      <c r="Z98" s="5"/>
    </row>
    <row r="99" spans="1:26" s="23" customFormat="1" x14ac:dyDescent="0.25">
      <c r="A99" s="10"/>
      <c r="B99" s="28" t="s">
        <v>0</v>
      </c>
      <c r="C99" s="10"/>
      <c r="D99" s="4">
        <f>SUM(0)</f>
        <v>0</v>
      </c>
      <c r="E99" s="4"/>
      <c r="F99" s="12">
        <f>IF(D$12=0,0,D99/D$12)</f>
        <v>0</v>
      </c>
      <c r="G99" s="4"/>
      <c r="H99" s="4">
        <f>SUM(0)</f>
        <v>0</v>
      </c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>
        <f>SUM(0)</f>
        <v>0</v>
      </c>
      <c r="Q99" s="4"/>
      <c r="R99" s="12">
        <f>IF(P$12=0,0,P99/P$12)</f>
        <v>0</v>
      </c>
      <c r="S99" s="4"/>
      <c r="T99" s="4">
        <f>SUM(0)</f>
        <v>0</v>
      </c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10"/>
      <c r="B101" s="29" t="s">
        <v>3</v>
      </c>
      <c r="C101" s="29"/>
      <c r="D101" s="22">
        <f>+D25-D27+D99</f>
        <v>-5983.0400000000955</v>
      </c>
      <c r="E101" s="14"/>
      <c r="F101" s="20">
        <f>IF(D$12=0,0,D101/D$12)</f>
        <v>-1.181015524437086E-2</v>
      </c>
      <c r="G101" s="14"/>
      <c r="H101" s="22">
        <f>+H25-H27+H99</f>
        <v>-79026.103040680406</v>
      </c>
      <c r="I101" s="14"/>
      <c r="J101" s="20">
        <f>IF(H$12=0,0,H101/H$12)</f>
        <v>-0.16677592095465704</v>
      </c>
      <c r="K101" s="15"/>
      <c r="L101" s="22">
        <f>+D101-H101</f>
        <v>73043.06304068031</v>
      </c>
      <c r="M101" s="15"/>
      <c r="N101" s="20">
        <f>IF(H101=0,0,L101/H101)</f>
        <v>-0.924290332310576</v>
      </c>
      <c r="O101" s="28"/>
      <c r="P101" s="22">
        <f>+P25-P27+P99</f>
        <v>-60576.349999999744</v>
      </c>
      <c r="Q101" s="14"/>
      <c r="R101" s="20">
        <f>IF(P$12=0,0,P101/P$12)</f>
        <v>-5.9620328493356217E-2</v>
      </c>
      <c r="S101" s="14"/>
      <c r="T101" s="22">
        <f>+T25-T27+T99</f>
        <v>-137966.80327546259</v>
      </c>
      <c r="U101" s="14"/>
      <c r="V101" s="20">
        <f>IF(T$12=0,0,T101/T$12)</f>
        <v>-0.14199243067760331</v>
      </c>
      <c r="W101" s="15"/>
      <c r="X101" s="22">
        <f>+P101-T101</f>
        <v>77390.453275462845</v>
      </c>
      <c r="Y101" s="15"/>
      <c r="Z101" s="20">
        <f>IF(T101=0,0,X101/T101)</f>
        <v>-0.56093532239741872</v>
      </c>
    </row>
    <row r="102" spans="1:26" x14ac:dyDescent="0.25">
      <c r="A102" s="9"/>
      <c r="B102" s="10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x14ac:dyDescent="0.25">
      <c r="A103" s="52"/>
      <c r="B103" s="10" t="s">
        <v>14</v>
      </c>
      <c r="C103" s="10"/>
      <c r="D103" s="4">
        <v>20754.710000000003</v>
      </c>
      <c r="E103" s="4"/>
      <c r="F103" s="12">
        <f>IF(D$12=0,0,D103/D$12)</f>
        <v>4.0968528900340376E-2</v>
      </c>
      <c r="G103" s="4"/>
      <c r="H103" s="4">
        <v>36482</v>
      </c>
      <c r="I103" s="4"/>
      <c r="J103" s="12">
        <f>IF(H$12=0,0,H103/H$12)</f>
        <v>7.6991258763395715E-2</v>
      </c>
      <c r="K103" s="4"/>
      <c r="L103" s="4">
        <f>+D103-H103</f>
        <v>-15727.289999999997</v>
      </c>
      <c r="M103" s="4"/>
      <c r="N103" s="12">
        <f>IF(H103=0,0,L103/H103)</f>
        <v>-0.43109725344005256</v>
      </c>
      <c r="O103" s="10"/>
      <c r="P103" s="4">
        <v>126681.01999999999</v>
      </c>
      <c r="Q103" s="4"/>
      <c r="R103" s="12">
        <f>IF(P$12=0,0,P103/P$12)</f>
        <v>0.12468172853388261</v>
      </c>
      <c r="S103" s="4"/>
      <c r="T103" s="4">
        <v>157800</v>
      </c>
      <c r="U103" s="4"/>
      <c r="V103" s="12">
        <f>IF(T$12=0,0,T103/T$12)</f>
        <v>0.16240432501860239</v>
      </c>
      <c r="W103" s="4"/>
      <c r="X103" s="4">
        <f>+P103-T103</f>
        <v>-31118.98000000001</v>
      </c>
      <c r="Y103" s="4"/>
      <c r="Z103" s="12">
        <f>IF(T103=0,0,X103/T103)</f>
        <v>-0.19720519645120413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9" t="s">
        <v>4</v>
      </c>
      <c r="C105" s="29"/>
      <c r="D105" s="31">
        <f>+D101-D103</f>
        <v>-26737.750000000098</v>
      </c>
      <c r="E105" s="14"/>
      <c r="F105" s="32">
        <f>IF(D$12=0,0,D105/D$12)</f>
        <v>-5.2778684144711235E-2</v>
      </c>
      <c r="G105" s="14"/>
      <c r="H105" s="31">
        <f>+H101-H103</f>
        <v>-115508.10304068041</v>
      </c>
      <c r="I105" s="14"/>
      <c r="J105" s="32">
        <f>IF(H$12=0,0,H105/H$12)</f>
        <v>-0.24376717971805273</v>
      </c>
      <c r="K105" s="15"/>
      <c r="L105" s="31">
        <f>D105-H105</f>
        <v>88770.353040680304</v>
      </c>
      <c r="M105" s="15"/>
      <c r="N105" s="32">
        <f>IF(H105=0,0,L105/H105)</f>
        <v>-0.76852056872076391</v>
      </c>
      <c r="O105" s="28"/>
      <c r="P105" s="31">
        <f>+P101-P103</f>
        <v>-187257.36999999973</v>
      </c>
      <c r="Q105" s="14"/>
      <c r="R105" s="32">
        <f>IF(P$12=0,0,P105/P$12)</f>
        <v>-0.18430205702723884</v>
      </c>
      <c r="S105" s="14"/>
      <c r="T105" s="31">
        <f>+T101-T103</f>
        <v>-295766.80327546259</v>
      </c>
      <c r="U105" s="14"/>
      <c r="V105" s="32">
        <f>IF(T$12=0,0,T105/T$12)</f>
        <v>-0.30439675569620572</v>
      </c>
      <c r="W105" s="15"/>
      <c r="X105" s="31">
        <f>P105-T105</f>
        <v>108509.43327546286</v>
      </c>
      <c r="Y105" s="15"/>
      <c r="Z105" s="32">
        <f>IF(T105=0,0,X105/T105)</f>
        <v>-0.3668749571411587</v>
      </c>
    </row>
    <row r="106" spans="1:26" ht="15.75" thickTop="1" x14ac:dyDescent="0.25">
      <c r="A106" s="9"/>
      <c r="B106" s="9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ht="15.75" thickBot="1" x14ac:dyDescent="0.3">
      <c r="A108" s="10"/>
      <c r="B108" s="29" t="s">
        <v>5</v>
      </c>
      <c r="C108" s="29"/>
      <c r="D108" s="33">
        <f>SUM(D105:D107)</f>
        <v>-26737.750000000098</v>
      </c>
      <c r="E108" s="14"/>
      <c r="F108" s="35">
        <f>IF(D$12=0,0,D108/D$12)</f>
        <v>-5.2778684144711235E-2</v>
      </c>
      <c r="G108" s="14"/>
      <c r="H108" s="33">
        <f>SUM(H105:H107)</f>
        <v>-115508.10304068041</v>
      </c>
      <c r="I108" s="14"/>
      <c r="J108" s="35">
        <f>IF(H$12=0,0,H108/H$12)</f>
        <v>-0.24376717971805273</v>
      </c>
      <c r="K108" s="15"/>
      <c r="L108" s="33">
        <f>+D108-H108</f>
        <v>88770.353040680304</v>
      </c>
      <c r="M108" s="15"/>
      <c r="N108" s="35">
        <f>IF(H108=0,0,L108/H108)</f>
        <v>-0.76852056872076391</v>
      </c>
      <c r="O108" s="28"/>
      <c r="P108" s="33">
        <f>SUM(P105:P107)</f>
        <v>-187257.36999999973</v>
      </c>
      <c r="Q108" s="14"/>
      <c r="R108" s="35">
        <f>IF(P$12=0,0,P108/P$12)</f>
        <v>-0.18430205702723884</v>
      </c>
      <c r="S108" s="14"/>
      <c r="T108" s="33">
        <f>SUM(T105:T107)</f>
        <v>-295766.80327546259</v>
      </c>
      <c r="U108" s="14"/>
      <c r="V108" s="35">
        <f>IF(T$12=0,0,T108/T$12)</f>
        <v>-0.30439675569620572</v>
      </c>
      <c r="W108" s="15"/>
      <c r="X108" s="33">
        <f>+P108-T108</f>
        <v>108509.43327546286</v>
      </c>
      <c r="Y108" s="15"/>
      <c r="Z108" s="35">
        <f>IF(T108=0,0,X108/T108)</f>
        <v>-0.3668749571411587</v>
      </c>
    </row>
    <row r="109" spans="1:26" ht="15.75" thickTop="1" x14ac:dyDescent="0.25">
      <c r="A109" s="9"/>
      <c r="C109" s="9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25">
      <c r="A110" s="9"/>
      <c r="B110" s="61">
        <v>43732.705644872687</v>
      </c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25">
      <c r="A111" s="9"/>
      <c r="B111" s="62" t="s">
        <v>314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25">
      <c r="A112" s="9"/>
      <c r="B112" s="58"/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4:24" x14ac:dyDescent="0.25"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","430", " - ", "Res Hall Management")</f>
        <v>Department 430 - Res Hall Management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SUM(OSRRefD22x_0)</f>
        <v>11117.11</v>
      </c>
      <c r="E18" s="19"/>
      <c r="F18" s="34">
        <f t="shared" ref="F18:F28" si="0">IF(D$12=0,0,D18/D$12)</f>
        <v>0</v>
      </c>
      <c r="G18" s="19"/>
      <c r="H18" s="19">
        <f>SUM(OSRRefH22x_0)</f>
        <v>13408.050783619999</v>
      </c>
      <c r="I18" s="19"/>
      <c r="J18" s="34">
        <f t="shared" ref="J18:J28" si="1">IF(H$12=0,0,H18/H$12)</f>
        <v>0</v>
      </c>
      <c r="K18" s="4"/>
      <c r="L18" s="19">
        <f t="shared" ref="L18:L28" si="2">+D18-H18</f>
        <v>-2290.9407836199989</v>
      </c>
      <c r="M18" s="4"/>
      <c r="N18" s="34">
        <f t="shared" ref="N18:N28" si="3">IF(H18=0,0,L18/H18)</f>
        <v>-0.17086307477435395</v>
      </c>
      <c r="O18" s="10"/>
      <c r="P18" s="19">
        <f>SUM(OSRRefP22x_0)</f>
        <v>26034.37</v>
      </c>
      <c r="Q18" s="19"/>
      <c r="R18" s="34">
        <f t="shared" ref="R18:R28" si="4">IF(P$12=0,0,P18/P$12)</f>
        <v>0</v>
      </c>
      <c r="S18" s="19"/>
      <c r="T18" s="19">
        <f>SUM(OSRRefT22x_0)</f>
        <v>29467.614263144998</v>
      </c>
      <c r="U18" s="19"/>
      <c r="V18" s="34">
        <f t="shared" ref="V18:V28" si="5">IF(T$12=0,0,T18/T$12)</f>
        <v>0</v>
      </c>
      <c r="W18" s="4"/>
      <c r="X18" s="19">
        <f t="shared" ref="X18:X28" si="6">+P18-T18</f>
        <v>-3433.2442631449994</v>
      </c>
      <c r="Y18" s="4"/>
      <c r="Z18" s="34">
        <f t="shared" ref="Z18:Z28" si="7">IF(T18=0,0,X18/T18)</f>
        <v>-0.11650906763222231</v>
      </c>
    </row>
    <row r="19" spans="1:26" s="26" customFormat="1" outlineLevel="1" collapsed="1" x14ac:dyDescent="0.25">
      <c r="A19" s="25"/>
      <c r="B19" s="13" t="str">
        <f>CONCATENATE("     ","*Benefits                                         ")</f>
        <v xml:space="preserve">     *Benefits                                         </v>
      </c>
      <c r="C19" s="13"/>
      <c r="D19" s="1">
        <f>SUM(OSRRefD22_0x_0)</f>
        <v>5537.42</v>
      </c>
      <c r="E19" s="1"/>
      <c r="F19" s="5">
        <f t="shared" si="0"/>
        <v>0</v>
      </c>
      <c r="G19" s="1"/>
      <c r="H19" s="1">
        <f>SUM(OSRRefH22_0x_0)</f>
        <v>4452.5201836199994</v>
      </c>
      <c r="I19" s="1"/>
      <c r="J19" s="5">
        <f t="shared" si="1"/>
        <v>0</v>
      </c>
      <c r="K19" s="1"/>
      <c r="L19" s="1">
        <f t="shared" si="2"/>
        <v>1084.8998163800006</v>
      </c>
      <c r="M19" s="1"/>
      <c r="N19" s="5">
        <f t="shared" si="3"/>
        <v>0.24365971890956203</v>
      </c>
      <c r="O19" s="13"/>
      <c r="P19" s="1">
        <f>SUM(OSRRefP22_0x_0)</f>
        <v>11599.640000000001</v>
      </c>
      <c r="Q19" s="1"/>
      <c r="R19" s="5">
        <f t="shared" si="4"/>
        <v>0</v>
      </c>
      <c r="S19" s="1"/>
      <c r="T19" s="1">
        <f>SUM(OSRRefT22_0x_0)</f>
        <v>9523.9204131450006</v>
      </c>
      <c r="U19" s="1"/>
      <c r="V19" s="5">
        <f t="shared" si="5"/>
        <v>0</v>
      </c>
      <c r="W19" s="1"/>
      <c r="X19" s="1">
        <f t="shared" si="6"/>
        <v>2075.7195868550007</v>
      </c>
      <c r="Y19" s="1"/>
      <c r="Z19" s="5">
        <f t="shared" si="7"/>
        <v>0.21794801896812094</v>
      </c>
    </row>
    <row r="20" spans="1:26" s="24" customFormat="1" hidden="1" outlineLevel="2" x14ac:dyDescent="0.25">
      <c r="A20" s="27"/>
      <c r="B20" s="11" t="str">
        <f>CONCATENATE("          ", "6111", " - ", "F.I.C.A.")</f>
        <v xml:space="preserve">          6111 - F.I.C.A.</v>
      </c>
      <c r="C20" s="11"/>
      <c r="D20" s="6">
        <v>623.1</v>
      </c>
      <c r="E20" s="2"/>
      <c r="F20" s="7">
        <f t="shared" si="0"/>
        <v>0</v>
      </c>
      <c r="G20" s="2"/>
      <c r="H20" s="6">
        <v>623.33945201999995</v>
      </c>
      <c r="I20" s="2"/>
      <c r="J20" s="7">
        <f t="shared" si="1"/>
        <v>0</v>
      </c>
      <c r="K20" s="2"/>
      <c r="L20" s="6">
        <f t="shared" si="2"/>
        <v>-0.2394520199999306</v>
      </c>
      <c r="M20" s="2"/>
      <c r="N20" s="7">
        <f t="shared" si="3"/>
        <v>-3.8414385488349894E-4</v>
      </c>
      <c r="O20" s="11"/>
      <c r="P20" s="6">
        <v>1246.2</v>
      </c>
      <c r="Q20" s="2"/>
      <c r="R20" s="7">
        <f t="shared" si="4"/>
        <v>0</v>
      </c>
      <c r="S20" s="2"/>
      <c r="T20" s="6">
        <v>1402.5137670449999</v>
      </c>
      <c r="U20" s="2"/>
      <c r="V20" s="7">
        <f t="shared" si="5"/>
        <v>0</v>
      </c>
      <c r="W20" s="2"/>
      <c r="X20" s="6">
        <f t="shared" si="6"/>
        <v>-156.31376704499985</v>
      </c>
      <c r="Y20" s="2"/>
      <c r="Z20" s="7">
        <f t="shared" si="7"/>
        <v>-0.111452572315452</v>
      </c>
    </row>
    <row r="21" spans="1:26" s="24" customFormat="1" hidden="1" outlineLevel="2" x14ac:dyDescent="0.25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316.02999999999997</v>
      </c>
      <c r="E21" s="2"/>
      <c r="F21" s="7">
        <f t="shared" si="0"/>
        <v>0</v>
      </c>
      <c r="G21" s="2"/>
      <c r="H21" s="6">
        <v>316.02731920000002</v>
      </c>
      <c r="I21" s="2"/>
      <c r="J21" s="7">
        <f t="shared" si="1"/>
        <v>0</v>
      </c>
      <c r="K21" s="2"/>
      <c r="L21" s="6">
        <f t="shared" si="2"/>
        <v>2.6807999999505228E-3</v>
      </c>
      <c r="M21" s="2"/>
      <c r="N21" s="7">
        <f t="shared" si="3"/>
        <v>8.4828109377909844E-6</v>
      </c>
      <c r="O21" s="11"/>
      <c r="P21" s="6">
        <v>632.05999999999995</v>
      </c>
      <c r="Q21" s="2"/>
      <c r="R21" s="7">
        <f t="shared" si="4"/>
        <v>0</v>
      </c>
      <c r="S21" s="2"/>
      <c r="T21" s="6">
        <v>711.06146820000004</v>
      </c>
      <c r="U21" s="2"/>
      <c r="V21" s="7">
        <f t="shared" si="5"/>
        <v>0</v>
      </c>
      <c r="W21" s="2"/>
      <c r="X21" s="6">
        <f t="shared" si="6"/>
        <v>-79.00146820000009</v>
      </c>
      <c r="Y21" s="2"/>
      <c r="Z21" s="7">
        <f t="shared" si="7"/>
        <v>-0.11110357083472194</v>
      </c>
    </row>
    <row r="22" spans="1:26" s="24" customFormat="1" hidden="1" outlineLevel="2" x14ac:dyDescent="0.25">
      <c r="A22" s="27"/>
      <c r="B22" s="11" t="str">
        <f>CONCATENATE("          ", "6113", " - ", "GROUP INSURANCE")</f>
        <v xml:space="preserve">          6113 - GROUP INSURANCE</v>
      </c>
      <c r="C22" s="11"/>
      <c r="D22" s="6">
        <v>2730.6</v>
      </c>
      <c r="E22" s="2"/>
      <c r="F22" s="7">
        <f t="shared" si="0"/>
        <v>0</v>
      </c>
      <c r="G22" s="2"/>
      <c r="H22" s="6">
        <v>1977</v>
      </c>
      <c r="I22" s="2"/>
      <c r="J22" s="7">
        <f t="shared" si="1"/>
        <v>0</v>
      </c>
      <c r="K22" s="2"/>
      <c r="L22" s="6">
        <f t="shared" si="2"/>
        <v>753.59999999999991</v>
      </c>
      <c r="M22" s="2"/>
      <c r="N22" s="7">
        <f t="shared" si="3"/>
        <v>0.38118361153262514</v>
      </c>
      <c r="O22" s="11"/>
      <c r="P22" s="6">
        <v>5461.2</v>
      </c>
      <c r="Q22" s="2"/>
      <c r="R22" s="7">
        <f t="shared" si="4"/>
        <v>0</v>
      </c>
      <c r="S22" s="2"/>
      <c r="T22" s="6">
        <v>3954</v>
      </c>
      <c r="U22" s="2"/>
      <c r="V22" s="7">
        <f t="shared" si="5"/>
        <v>0</v>
      </c>
      <c r="W22" s="2"/>
      <c r="X22" s="6">
        <f t="shared" si="6"/>
        <v>1507.1999999999998</v>
      </c>
      <c r="Y22" s="2"/>
      <c r="Z22" s="7">
        <f t="shared" si="7"/>
        <v>0.38118361153262514</v>
      </c>
    </row>
    <row r="23" spans="1:26" s="24" customFormat="1" hidden="1" outlineLevel="2" x14ac:dyDescent="0.25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21.18</v>
      </c>
      <c r="E23" s="2"/>
      <c r="F23" s="7">
        <f t="shared" si="0"/>
        <v>0</v>
      </c>
      <c r="G23" s="2"/>
      <c r="H23" s="6">
        <v>21.177088399999999</v>
      </c>
      <c r="I23" s="2"/>
      <c r="J23" s="7">
        <f t="shared" si="1"/>
        <v>0</v>
      </c>
      <c r="K23" s="2"/>
      <c r="L23" s="6">
        <f t="shared" si="2"/>
        <v>2.9116000000009024E-3</v>
      </c>
      <c r="M23" s="2"/>
      <c r="N23" s="7">
        <f t="shared" si="3"/>
        <v>1.3748821108008891E-4</v>
      </c>
      <c r="O23" s="11"/>
      <c r="P23" s="6">
        <v>42.36</v>
      </c>
      <c r="Q23" s="2"/>
      <c r="R23" s="7">
        <f t="shared" si="4"/>
        <v>0</v>
      </c>
      <c r="S23" s="2"/>
      <c r="T23" s="6">
        <v>47.648448899999998</v>
      </c>
      <c r="U23" s="2"/>
      <c r="V23" s="7">
        <f t="shared" si="5"/>
        <v>0</v>
      </c>
      <c r="W23" s="2"/>
      <c r="X23" s="6">
        <f t="shared" si="6"/>
        <v>-5.2884488999999988</v>
      </c>
      <c r="Y23" s="2"/>
      <c r="Z23" s="7">
        <f t="shared" si="7"/>
        <v>-0.11098889936792883</v>
      </c>
    </row>
    <row r="24" spans="1:26" s="24" customFormat="1" hidden="1" outlineLevel="2" x14ac:dyDescent="0.25">
      <c r="A24" s="27"/>
      <c r="B24" s="11" t="str">
        <f>CONCATENATE("          ", "6115", " - ", "P.E.R.S.")</f>
        <v xml:space="preserve">          6115 - P.E.R.S.</v>
      </c>
      <c r="C24" s="11"/>
      <c r="D24" s="6">
        <v>568.92999999999995</v>
      </c>
      <c r="E24" s="2"/>
      <c r="F24" s="7">
        <f t="shared" si="0"/>
        <v>0</v>
      </c>
      <c r="G24" s="2"/>
      <c r="H24" s="6">
        <v>700.47292400000003</v>
      </c>
      <c r="I24" s="2"/>
      <c r="J24" s="7">
        <f t="shared" si="1"/>
        <v>0</v>
      </c>
      <c r="K24" s="2"/>
      <c r="L24" s="6">
        <f t="shared" si="2"/>
        <v>-131.54292400000008</v>
      </c>
      <c r="M24" s="2"/>
      <c r="N24" s="7">
        <f t="shared" si="3"/>
        <v>-0.18779158978598876</v>
      </c>
      <c r="O24" s="11"/>
      <c r="P24" s="6">
        <v>1137.8599999999999</v>
      </c>
      <c r="Q24" s="2"/>
      <c r="R24" s="7">
        <f t="shared" si="4"/>
        <v>0</v>
      </c>
      <c r="S24" s="2"/>
      <c r="T24" s="6">
        <v>1576.064079</v>
      </c>
      <c r="U24" s="2"/>
      <c r="V24" s="7">
        <f t="shared" si="5"/>
        <v>0</v>
      </c>
      <c r="W24" s="2"/>
      <c r="X24" s="6">
        <f t="shared" si="6"/>
        <v>-438.20407900000009</v>
      </c>
      <c r="Y24" s="2"/>
      <c r="Z24" s="7">
        <f t="shared" si="7"/>
        <v>-0.27803696869865663</v>
      </c>
    </row>
    <row r="25" spans="1:26" s="24" customFormat="1" hidden="1" outlineLevel="2" x14ac:dyDescent="0.25">
      <c r="A25" s="27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7"/>
      <c r="B26" s="11" t="str">
        <f>CONCATENATE("          ", "6118", " - ", "VACATION")</f>
        <v xml:space="preserve">          6118 - VACATION</v>
      </c>
      <c r="C26" s="11"/>
      <c r="D26" s="6">
        <v>752.4</v>
      </c>
      <c r="E26" s="2"/>
      <c r="F26" s="7">
        <f t="shared" si="0"/>
        <v>0</v>
      </c>
      <c r="G26" s="2"/>
      <c r="H26" s="6">
        <v>570.15237999999999</v>
      </c>
      <c r="I26" s="2"/>
      <c r="J26" s="7">
        <f t="shared" si="1"/>
        <v>0</v>
      </c>
      <c r="K26" s="2"/>
      <c r="L26" s="6">
        <f t="shared" si="2"/>
        <v>182.24761999999998</v>
      </c>
      <c r="M26" s="2"/>
      <c r="N26" s="7">
        <f t="shared" si="3"/>
        <v>0.31964721431137405</v>
      </c>
      <c r="O26" s="11"/>
      <c r="P26" s="6">
        <v>1845.25</v>
      </c>
      <c r="Q26" s="2"/>
      <c r="R26" s="7">
        <f t="shared" si="4"/>
        <v>0</v>
      </c>
      <c r="S26" s="2"/>
      <c r="T26" s="6">
        <v>1282.8428550000001</v>
      </c>
      <c r="U26" s="2"/>
      <c r="V26" s="7">
        <f t="shared" si="5"/>
        <v>0</v>
      </c>
      <c r="W26" s="2"/>
      <c r="X26" s="6">
        <f t="shared" si="6"/>
        <v>562.4071449999999</v>
      </c>
      <c r="Y26" s="2"/>
      <c r="Z26" s="7">
        <f t="shared" si="7"/>
        <v>0.43840688889365165</v>
      </c>
    </row>
    <row r="27" spans="1:26" s="24" customFormat="1" hidden="1" outlineLevel="2" x14ac:dyDescent="0.25">
      <c r="A27" s="27"/>
      <c r="B27" s="11" t="str">
        <f>CONCATENATE("          ", "6119", " - ", "SICK LEAVE")</f>
        <v xml:space="preserve">          6119 - SICK LEAVE</v>
      </c>
      <c r="C27" s="11"/>
      <c r="D27" s="6">
        <v>375.68</v>
      </c>
      <c r="E27" s="2"/>
      <c r="F27" s="7">
        <f t="shared" si="0"/>
        <v>0</v>
      </c>
      <c r="G27" s="2"/>
      <c r="H27" s="6">
        <v>244.35102000000001</v>
      </c>
      <c r="I27" s="2"/>
      <c r="J27" s="7">
        <f t="shared" si="1"/>
        <v>0</v>
      </c>
      <c r="K27" s="2"/>
      <c r="L27" s="6">
        <f t="shared" si="2"/>
        <v>131.32898</v>
      </c>
      <c r="M27" s="2"/>
      <c r="N27" s="7">
        <f t="shared" si="3"/>
        <v>0.53746033063418353</v>
      </c>
      <c r="O27" s="11"/>
      <c r="P27" s="6">
        <v>981.86</v>
      </c>
      <c r="Q27" s="2"/>
      <c r="R27" s="7">
        <f t="shared" si="4"/>
        <v>0</v>
      </c>
      <c r="S27" s="2"/>
      <c r="T27" s="6">
        <v>549.78979500000003</v>
      </c>
      <c r="U27" s="2"/>
      <c r="V27" s="7">
        <f t="shared" si="5"/>
        <v>0</v>
      </c>
      <c r="W27" s="2"/>
      <c r="X27" s="6">
        <f t="shared" si="6"/>
        <v>432.07020499999999</v>
      </c>
      <c r="Y27" s="2"/>
      <c r="Z27" s="7">
        <f t="shared" si="7"/>
        <v>0.78588254807457814</v>
      </c>
    </row>
    <row r="28" spans="1:26" s="24" customFormat="1" hidden="1" outlineLevel="2" x14ac:dyDescent="0.25">
      <c r="A28" s="27"/>
      <c r="B28" s="11" t="str">
        <f>CONCATENATE("          ", "6156", " - ", "EMPLOYEE MEALS")</f>
        <v xml:space="preserve">          6156 - EMPLOYEE MEALS</v>
      </c>
      <c r="C28" s="11"/>
      <c r="D28" s="6">
        <v>149.5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149.5</v>
      </c>
      <c r="M28" s="2"/>
      <c r="N28" s="7">
        <f t="shared" si="3"/>
        <v>0</v>
      </c>
      <c r="O28" s="11"/>
      <c r="P28" s="6">
        <v>252.85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252.85</v>
      </c>
      <c r="Y28" s="2"/>
      <c r="Z28" s="7">
        <f t="shared" si="7"/>
        <v>0</v>
      </c>
    </row>
    <row r="29" spans="1:26" s="26" customFormat="1" outlineLevel="1" collapsed="1" x14ac:dyDescent="0.25">
      <c r="A29" s="25"/>
      <c r="B29" s="13" t="str">
        <f>CONCATENATE("     ","*Payroll                                          ")</f>
        <v xml:space="preserve">     *Payroll                                          </v>
      </c>
      <c r="C29" s="13"/>
      <c r="D29" s="1">
        <f>SUM(OSRRefD22_1x_0)</f>
        <v>5294.28</v>
      </c>
      <c r="E29" s="1"/>
      <c r="F29" s="5">
        <f t="shared" ref="F29:F39" si="8">IF(D$12=0,0,D29/D$12)</f>
        <v>0</v>
      </c>
      <c r="G29" s="1"/>
      <c r="H29" s="1">
        <f>SUM(OSRRefH22_1x_0)</f>
        <v>7330.5306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-2036.2506000000003</v>
      </c>
      <c r="M29" s="1"/>
      <c r="N29" s="5">
        <f t="shared" ref="N29:N39" si="11">IF(H29=0,0,L29/H29)</f>
        <v>-0.27777670009316929</v>
      </c>
      <c r="O29" s="13"/>
      <c r="P29" s="1">
        <f>SUM(OSRRefP22_1x_0)</f>
        <v>13031.81</v>
      </c>
      <c r="Q29" s="1"/>
      <c r="R29" s="5">
        <f t="shared" ref="R29:R39" si="12">IF(P$12=0,0,P29/P$12)</f>
        <v>0</v>
      </c>
      <c r="S29" s="1"/>
      <c r="T29" s="1">
        <f>SUM(OSRRefT22_1x_0)</f>
        <v>16493.69385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-3461.8838500000002</v>
      </c>
      <c r="Y29" s="1"/>
      <c r="Z29" s="5">
        <f t="shared" ref="Z29:Z39" si="15">IF(T29=0,0,X29/T29)</f>
        <v>-0.20989136099431119</v>
      </c>
    </row>
    <row r="30" spans="1:26" s="24" customFormat="1" hidden="1" outlineLevel="2" x14ac:dyDescent="0.25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5294.28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5294.28</v>
      </c>
      <c r="M30" s="2"/>
      <c r="N30" s="7">
        <f t="shared" si="11"/>
        <v>0</v>
      </c>
      <c r="O30" s="11"/>
      <c r="P30" s="6">
        <v>13031.81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13031.81</v>
      </c>
      <c r="Y30" s="2"/>
      <c r="Z30" s="7">
        <f t="shared" si="15"/>
        <v>0</v>
      </c>
    </row>
    <row r="31" spans="1:26" s="24" customFormat="1" hidden="1" outlineLevel="2" x14ac:dyDescent="0.25">
      <c r="A31" s="27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7330.5306</v>
      </c>
      <c r="I31" s="2"/>
      <c r="J31" s="7">
        <f t="shared" si="9"/>
        <v>0</v>
      </c>
      <c r="K31" s="2"/>
      <c r="L31" s="6">
        <f t="shared" si="10"/>
        <v>-7330.5306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16493.69385</v>
      </c>
      <c r="U31" s="2"/>
      <c r="V31" s="7">
        <f t="shared" si="13"/>
        <v>0</v>
      </c>
      <c r="W31" s="2"/>
      <c r="X31" s="6">
        <f t="shared" si="14"/>
        <v>-16493.69385</v>
      </c>
      <c r="Y31" s="2"/>
      <c r="Z31" s="7">
        <f t="shared" si="15"/>
        <v>-1</v>
      </c>
    </row>
    <row r="32" spans="1:26" s="24" customFormat="1" hidden="1" outlineLevel="2" x14ac:dyDescent="0.25">
      <c r="A32" s="27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7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7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7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7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7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7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6" customFormat="1" outlineLevel="1" collapsed="1" x14ac:dyDescent="0.25">
      <c r="A40" s="25"/>
      <c r="B40" s="13" t="str">
        <f>CONCATENATE("     ","Advertising/Promo                                 ")</f>
        <v xml:space="preserve">     Advertising/Promo                                 </v>
      </c>
      <c r="C40" s="13"/>
      <c r="D40" s="1">
        <f>SUM(OSRRefD22_2x_0)</f>
        <v>0</v>
      </c>
      <c r="E40" s="1"/>
      <c r="F40" s="5">
        <f t="shared" ref="F40:F53" si="16">IF(D$12=0,0,D40/D$12)</f>
        <v>0</v>
      </c>
      <c r="G40" s="1"/>
      <c r="H40" s="1">
        <f>SUM(OSRRefH22_2x_0)</f>
        <v>125</v>
      </c>
      <c r="I40" s="1"/>
      <c r="J40" s="5">
        <f t="shared" ref="J40:J53" si="17">IF(H$12=0,0,H40/H$12)</f>
        <v>0</v>
      </c>
      <c r="K40" s="1"/>
      <c r="L40" s="1">
        <f t="shared" ref="L40:L53" si="18">+D40-H40</f>
        <v>-125</v>
      </c>
      <c r="M40" s="1"/>
      <c r="N40" s="5">
        <f t="shared" ref="N40:N53" si="19">IF(H40=0,0,L40/H40)</f>
        <v>-1</v>
      </c>
      <c r="O40" s="13"/>
      <c r="P40" s="1">
        <f>SUM(OSRRefP22_2x_0)</f>
        <v>0</v>
      </c>
      <c r="Q40" s="1"/>
      <c r="R40" s="5">
        <f t="shared" ref="R40:R53" si="20">IF(P$12=0,0,P40/P$12)</f>
        <v>0</v>
      </c>
      <c r="S40" s="1"/>
      <c r="T40" s="1">
        <f>SUM(OSRRefT22_2x_0)</f>
        <v>250</v>
      </c>
      <c r="U40" s="1"/>
      <c r="V40" s="5">
        <f t="shared" ref="V40:V53" si="21">IF(T$12=0,0,T40/T$12)</f>
        <v>0</v>
      </c>
      <c r="W40" s="1"/>
      <c r="X40" s="1">
        <f t="shared" ref="X40:X53" si="22">+P40-T40</f>
        <v>-250</v>
      </c>
      <c r="Y40" s="1"/>
      <c r="Z40" s="5">
        <f t="shared" ref="Z40:Z53" si="23">IF(T40=0,0,X40/T40)</f>
        <v>-1</v>
      </c>
    </row>
    <row r="41" spans="1:26" s="24" customFormat="1" hidden="1" outlineLevel="2" x14ac:dyDescent="0.25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125</v>
      </c>
      <c r="I41" s="2"/>
      <c r="J41" s="7">
        <f t="shared" si="17"/>
        <v>0</v>
      </c>
      <c r="K41" s="2"/>
      <c r="L41" s="6">
        <f t="shared" si="18"/>
        <v>-125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250</v>
      </c>
      <c r="U41" s="2"/>
      <c r="V41" s="7">
        <f t="shared" si="21"/>
        <v>0</v>
      </c>
      <c r="W41" s="2"/>
      <c r="X41" s="6">
        <f t="shared" si="22"/>
        <v>-250</v>
      </c>
      <c r="Y41" s="2"/>
      <c r="Z41" s="7">
        <f t="shared" si="23"/>
        <v>-1</v>
      </c>
    </row>
    <row r="42" spans="1:26" s="26" customFormat="1" outlineLevel="1" collapsed="1" x14ac:dyDescent="0.25">
      <c r="A42" s="25"/>
      <c r="B42" s="13" t="str">
        <f>CONCATENATE("     ","Donations                                         ")</f>
        <v xml:space="preserve">     Donations                                         </v>
      </c>
      <c r="C42" s="13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100</v>
      </c>
      <c r="I42" s="1"/>
      <c r="J42" s="5">
        <f t="shared" si="17"/>
        <v>0</v>
      </c>
      <c r="K42" s="1"/>
      <c r="L42" s="1">
        <f t="shared" si="18"/>
        <v>-100</v>
      </c>
      <c r="M42" s="1"/>
      <c r="N42" s="5">
        <f t="shared" si="19"/>
        <v>-1</v>
      </c>
      <c r="O42" s="13"/>
      <c r="P42" s="1">
        <f>SUM(OSRRefP22_3x_0)</f>
        <v>0</v>
      </c>
      <c r="Q42" s="1"/>
      <c r="R42" s="5">
        <f t="shared" si="20"/>
        <v>0</v>
      </c>
      <c r="S42" s="1"/>
      <c r="T42" s="1">
        <f>SUM(OSRRefT22_3x_0)</f>
        <v>200</v>
      </c>
      <c r="U42" s="1"/>
      <c r="V42" s="5">
        <f t="shared" si="21"/>
        <v>0</v>
      </c>
      <c r="W42" s="1"/>
      <c r="X42" s="1">
        <f t="shared" si="22"/>
        <v>-200</v>
      </c>
      <c r="Y42" s="1"/>
      <c r="Z42" s="5">
        <f t="shared" si="23"/>
        <v>-1</v>
      </c>
    </row>
    <row r="43" spans="1:26" s="24" customFormat="1" hidden="1" outlineLevel="2" x14ac:dyDescent="0.25">
      <c r="A43" s="27"/>
      <c r="B43" s="11" t="str">
        <f>CONCATENATE("          ", "6396", " - ", "COUPONS-CHARTROOM")</f>
        <v xml:space="preserve">          6396 - COUPONS-CHARTROOM</v>
      </c>
      <c r="C43" s="11"/>
      <c r="D43" s="6"/>
      <c r="E43" s="2"/>
      <c r="F43" s="7">
        <f t="shared" si="16"/>
        <v>0</v>
      </c>
      <c r="G43" s="2"/>
      <c r="H43" s="6">
        <v>100</v>
      </c>
      <c r="I43" s="2"/>
      <c r="J43" s="7">
        <f t="shared" si="17"/>
        <v>0</v>
      </c>
      <c r="K43" s="2"/>
      <c r="L43" s="6">
        <f t="shared" si="18"/>
        <v>-100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200</v>
      </c>
      <c r="U43" s="2"/>
      <c r="V43" s="7">
        <f t="shared" si="21"/>
        <v>0</v>
      </c>
      <c r="W43" s="2"/>
      <c r="X43" s="6">
        <f t="shared" si="22"/>
        <v>-200</v>
      </c>
      <c r="Y43" s="2"/>
      <c r="Z43" s="7">
        <f t="shared" si="23"/>
        <v>-1</v>
      </c>
    </row>
    <row r="44" spans="1:26" s="26" customFormat="1" outlineLevel="1" collapsed="1" x14ac:dyDescent="0.25">
      <c r="A44" s="25"/>
      <c r="B44" s="13" t="str">
        <f>CONCATENATE("     ","Employees' Appreciation                           ")</f>
        <v xml:space="preserve">     Employees' Appreciation                           </v>
      </c>
      <c r="C44" s="13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300</v>
      </c>
      <c r="I44" s="1"/>
      <c r="J44" s="5">
        <f t="shared" si="17"/>
        <v>0</v>
      </c>
      <c r="K44" s="1"/>
      <c r="L44" s="1">
        <f t="shared" si="18"/>
        <v>-300</v>
      </c>
      <c r="M44" s="1"/>
      <c r="N44" s="5">
        <f t="shared" si="19"/>
        <v>-1</v>
      </c>
      <c r="O44" s="13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600</v>
      </c>
      <c r="U44" s="1"/>
      <c r="V44" s="5">
        <f t="shared" si="21"/>
        <v>0</v>
      </c>
      <c r="W44" s="1"/>
      <c r="X44" s="1">
        <f t="shared" si="22"/>
        <v>-600</v>
      </c>
      <c r="Y44" s="1"/>
      <c r="Z44" s="5">
        <f t="shared" si="23"/>
        <v>-1</v>
      </c>
    </row>
    <row r="45" spans="1:26" s="24" customFormat="1" hidden="1" outlineLevel="2" x14ac:dyDescent="0.25">
      <c r="A45" s="27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>
        <v>300</v>
      </c>
      <c r="I45" s="2"/>
      <c r="J45" s="7">
        <f t="shared" si="17"/>
        <v>0</v>
      </c>
      <c r="K45" s="2"/>
      <c r="L45" s="6">
        <f t="shared" si="18"/>
        <v>-300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600</v>
      </c>
      <c r="U45" s="2"/>
      <c r="V45" s="7">
        <f t="shared" si="21"/>
        <v>0</v>
      </c>
      <c r="W45" s="2"/>
      <c r="X45" s="6">
        <f t="shared" si="22"/>
        <v>-600</v>
      </c>
      <c r="Y45" s="2"/>
      <c r="Z45" s="7">
        <f t="shared" si="23"/>
        <v>-1</v>
      </c>
    </row>
    <row r="46" spans="1:26" s="26" customFormat="1" outlineLevel="1" collapsed="1" x14ac:dyDescent="0.25">
      <c r="A46" s="25"/>
      <c r="B46" s="13" t="str">
        <f>CONCATENATE("     ","General                                           ")</f>
        <v xml:space="preserve">     General                                           </v>
      </c>
      <c r="C46" s="13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200</v>
      </c>
      <c r="I46" s="1"/>
      <c r="J46" s="5">
        <f t="shared" si="17"/>
        <v>0</v>
      </c>
      <c r="K46" s="1"/>
      <c r="L46" s="1">
        <f t="shared" si="18"/>
        <v>-200</v>
      </c>
      <c r="M46" s="1"/>
      <c r="N46" s="5">
        <f t="shared" si="19"/>
        <v>-1</v>
      </c>
      <c r="O46" s="13"/>
      <c r="P46" s="1">
        <f>SUM(OSRRefP22_5x_0)</f>
        <v>127.55</v>
      </c>
      <c r="Q46" s="1"/>
      <c r="R46" s="5">
        <f t="shared" si="20"/>
        <v>0</v>
      </c>
      <c r="S46" s="1"/>
      <c r="T46" s="1">
        <f>SUM(OSRRefT22_5x_0)</f>
        <v>400</v>
      </c>
      <c r="U46" s="1"/>
      <c r="V46" s="5">
        <f t="shared" si="21"/>
        <v>0</v>
      </c>
      <c r="W46" s="1"/>
      <c r="X46" s="1">
        <f t="shared" si="22"/>
        <v>-272.45</v>
      </c>
      <c r="Y46" s="1"/>
      <c r="Z46" s="5">
        <f t="shared" si="23"/>
        <v>-0.68112499999999998</v>
      </c>
    </row>
    <row r="47" spans="1:26" s="24" customFormat="1" hidden="1" outlineLevel="2" x14ac:dyDescent="0.25">
      <c r="A47" s="27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16"/>
        <v>0</v>
      </c>
      <c r="G47" s="2"/>
      <c r="H47" s="6">
        <v>200</v>
      </c>
      <c r="I47" s="2"/>
      <c r="J47" s="7">
        <f t="shared" si="17"/>
        <v>0</v>
      </c>
      <c r="K47" s="2"/>
      <c r="L47" s="6">
        <f t="shared" si="18"/>
        <v>-200</v>
      </c>
      <c r="M47" s="2"/>
      <c r="N47" s="7">
        <f t="shared" si="19"/>
        <v>-1</v>
      </c>
      <c r="O47" s="11"/>
      <c r="P47" s="6">
        <v>127.55</v>
      </c>
      <c r="Q47" s="2"/>
      <c r="R47" s="7">
        <f t="shared" si="20"/>
        <v>0</v>
      </c>
      <c r="S47" s="2"/>
      <c r="T47" s="6">
        <v>400</v>
      </c>
      <c r="U47" s="2"/>
      <c r="V47" s="7">
        <f t="shared" si="21"/>
        <v>0</v>
      </c>
      <c r="W47" s="2"/>
      <c r="X47" s="6">
        <f t="shared" si="22"/>
        <v>-272.45</v>
      </c>
      <c r="Y47" s="2"/>
      <c r="Z47" s="7">
        <f t="shared" si="23"/>
        <v>-0.68112499999999998</v>
      </c>
    </row>
    <row r="48" spans="1:26" s="26" customFormat="1" outlineLevel="1" collapsed="1" x14ac:dyDescent="0.25">
      <c r="A48" s="25"/>
      <c r="B48" s="13" t="str">
        <f>CONCATENATE("     ","Repair and Maintenance                            ")</f>
        <v xml:space="preserve">     Repair and Maintenance                            </v>
      </c>
      <c r="C48" s="13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3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0</v>
      </c>
      <c r="U48" s="1"/>
      <c r="V48" s="5">
        <f t="shared" si="21"/>
        <v>0</v>
      </c>
      <c r="W48" s="1"/>
      <c r="X48" s="1">
        <f t="shared" si="22"/>
        <v>0</v>
      </c>
      <c r="Y48" s="1"/>
      <c r="Z48" s="5">
        <f t="shared" si="23"/>
        <v>0</v>
      </c>
    </row>
    <row r="49" spans="1:26" s="24" customFormat="1" hidden="1" outlineLevel="2" x14ac:dyDescent="0.25">
      <c r="A49" s="27"/>
      <c r="B49" s="11" t="str">
        <f>CONCATENATE("          ", "6371", " - ", "COMPUTER SOFTWARE MAINTENANCE")</f>
        <v xml:space="preserve">          6371 - COMPUTER SOFTWARE MAINTENANCE</v>
      </c>
      <c r="C49" s="11"/>
      <c r="D49" s="6"/>
      <c r="E49" s="2"/>
      <c r="F49" s="7">
        <f t="shared" si="16"/>
        <v>0</v>
      </c>
      <c r="G49" s="2"/>
      <c r="H49" s="6">
        <v>0</v>
      </c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/>
      <c r="Q49" s="2"/>
      <c r="R49" s="7">
        <f t="shared" si="20"/>
        <v>0</v>
      </c>
      <c r="S49" s="2"/>
      <c r="T49" s="6">
        <v>0</v>
      </c>
      <c r="U49" s="2"/>
      <c r="V49" s="7">
        <f t="shared" si="21"/>
        <v>0</v>
      </c>
      <c r="W49" s="2"/>
      <c r="X49" s="6">
        <f t="shared" si="22"/>
        <v>0</v>
      </c>
      <c r="Y49" s="2"/>
      <c r="Z49" s="7">
        <f t="shared" si="23"/>
        <v>0</v>
      </c>
    </row>
    <row r="50" spans="1:26" s="26" customFormat="1" outlineLevel="1" collapsed="1" x14ac:dyDescent="0.25">
      <c r="A50" s="25"/>
      <c r="B50" s="13" t="str">
        <f>CONCATENATE("     ","Supplies                                          ")</f>
        <v xml:space="preserve">     Supplies                                          </v>
      </c>
      <c r="C50" s="13"/>
      <c r="D50" s="1">
        <f>SUM(OSRRefD22_7x_0)</f>
        <v>115.51</v>
      </c>
      <c r="E50" s="1"/>
      <c r="F50" s="5">
        <f t="shared" si="16"/>
        <v>0</v>
      </c>
      <c r="G50" s="1"/>
      <c r="H50" s="1">
        <f>SUM(OSRRefH22_7x_0)</f>
        <v>200</v>
      </c>
      <c r="I50" s="1"/>
      <c r="J50" s="5">
        <f t="shared" si="17"/>
        <v>0</v>
      </c>
      <c r="K50" s="1"/>
      <c r="L50" s="1">
        <f t="shared" si="18"/>
        <v>-84.49</v>
      </c>
      <c r="M50" s="1"/>
      <c r="N50" s="5">
        <f t="shared" si="19"/>
        <v>-0.42244999999999999</v>
      </c>
      <c r="O50" s="13"/>
      <c r="P50" s="1">
        <f>SUM(OSRRefP22_7x_0)</f>
        <v>734.35</v>
      </c>
      <c r="Q50" s="1"/>
      <c r="R50" s="5">
        <f t="shared" si="20"/>
        <v>0</v>
      </c>
      <c r="S50" s="1"/>
      <c r="T50" s="1">
        <f>SUM(OSRRefT22_7x_0)</f>
        <v>600</v>
      </c>
      <c r="U50" s="1"/>
      <c r="V50" s="5">
        <f t="shared" si="21"/>
        <v>0</v>
      </c>
      <c r="W50" s="1"/>
      <c r="X50" s="1">
        <f t="shared" si="22"/>
        <v>134.35000000000002</v>
      </c>
      <c r="Y50" s="1"/>
      <c r="Z50" s="5">
        <f t="shared" si="23"/>
        <v>0.22391666666666671</v>
      </c>
    </row>
    <row r="51" spans="1:26" s="24" customFormat="1" hidden="1" outlineLevel="2" x14ac:dyDescent="0.25">
      <c r="A51" s="27"/>
      <c r="B51" s="11" t="str">
        <f>CONCATENATE("          ", "6234", " - ", "EXPENDABLE SUPPLIES &amp; EQUIPMEN")</f>
        <v xml:space="preserve">          6234 - EXPENDABLE SUPPLIES &amp; EQUIPMEN</v>
      </c>
      <c r="C51" s="11"/>
      <c r="D51" s="6"/>
      <c r="E51" s="2"/>
      <c r="F51" s="7">
        <f t="shared" si="16"/>
        <v>0</v>
      </c>
      <c r="G51" s="2"/>
      <c r="H51" s="6"/>
      <c r="I51" s="2"/>
      <c r="J51" s="7">
        <f t="shared" si="17"/>
        <v>0</v>
      </c>
      <c r="K51" s="2"/>
      <c r="L51" s="6">
        <f t="shared" si="18"/>
        <v>0</v>
      </c>
      <c r="M51" s="2"/>
      <c r="N51" s="7">
        <f t="shared" si="19"/>
        <v>0</v>
      </c>
      <c r="O51" s="11"/>
      <c r="P51" s="6"/>
      <c r="Q51" s="2"/>
      <c r="R51" s="7">
        <f t="shared" si="20"/>
        <v>0</v>
      </c>
      <c r="S51" s="2"/>
      <c r="T51" s="6">
        <v>200</v>
      </c>
      <c r="U51" s="2"/>
      <c r="V51" s="7">
        <f t="shared" si="21"/>
        <v>0</v>
      </c>
      <c r="W51" s="2"/>
      <c r="X51" s="6">
        <f t="shared" si="22"/>
        <v>-200</v>
      </c>
      <c r="Y51" s="2"/>
      <c r="Z51" s="7">
        <f t="shared" si="23"/>
        <v>-1</v>
      </c>
    </row>
    <row r="52" spans="1:26" s="24" customFormat="1" hidden="1" outlineLevel="2" x14ac:dyDescent="0.25">
      <c r="A52" s="27"/>
      <c r="B52" s="11" t="str">
        <f>CONCATENATE("          ", "6239", " - ", "KITCHEN SUPPLIES")</f>
        <v xml:space="preserve">          6239 - KITCHEN SUPPLIES</v>
      </c>
      <c r="C52" s="11"/>
      <c r="D52" s="6"/>
      <c r="E52" s="2"/>
      <c r="F52" s="7">
        <f t="shared" si="16"/>
        <v>0</v>
      </c>
      <c r="G52" s="2"/>
      <c r="H52" s="6">
        <v>100</v>
      </c>
      <c r="I52" s="2"/>
      <c r="J52" s="7">
        <f t="shared" si="17"/>
        <v>0</v>
      </c>
      <c r="K52" s="2"/>
      <c r="L52" s="6">
        <f t="shared" si="18"/>
        <v>-100</v>
      </c>
      <c r="M52" s="2"/>
      <c r="N52" s="7">
        <f t="shared" si="19"/>
        <v>-1</v>
      </c>
      <c r="O52" s="11"/>
      <c r="P52" s="6"/>
      <c r="Q52" s="2"/>
      <c r="R52" s="7">
        <f t="shared" si="20"/>
        <v>0</v>
      </c>
      <c r="S52" s="2"/>
      <c r="T52" s="6">
        <v>200</v>
      </c>
      <c r="U52" s="2"/>
      <c r="V52" s="7">
        <f t="shared" si="21"/>
        <v>0</v>
      </c>
      <c r="W52" s="2"/>
      <c r="X52" s="6">
        <f t="shared" si="22"/>
        <v>-200</v>
      </c>
      <c r="Y52" s="2"/>
      <c r="Z52" s="7">
        <f t="shared" si="23"/>
        <v>-1</v>
      </c>
    </row>
    <row r="53" spans="1:26" s="24" customFormat="1" hidden="1" outlineLevel="2" x14ac:dyDescent="0.25">
      <c r="A53" s="27"/>
      <c r="B53" s="11" t="str">
        <f>CONCATENATE("          ", "6241", " - ", "OFFICE EXPENSE")</f>
        <v xml:space="preserve">          6241 - OFFICE EXPENSE</v>
      </c>
      <c r="C53" s="11"/>
      <c r="D53" s="6">
        <v>115.51</v>
      </c>
      <c r="E53" s="2"/>
      <c r="F53" s="7">
        <f t="shared" si="16"/>
        <v>0</v>
      </c>
      <c r="G53" s="2"/>
      <c r="H53" s="6">
        <v>100</v>
      </c>
      <c r="I53" s="2"/>
      <c r="J53" s="7">
        <f t="shared" si="17"/>
        <v>0</v>
      </c>
      <c r="K53" s="2"/>
      <c r="L53" s="6">
        <f t="shared" si="18"/>
        <v>15.510000000000005</v>
      </c>
      <c r="M53" s="2"/>
      <c r="N53" s="7">
        <f t="shared" si="19"/>
        <v>0.15510000000000004</v>
      </c>
      <c r="O53" s="11"/>
      <c r="P53" s="6">
        <v>734.35</v>
      </c>
      <c r="Q53" s="2"/>
      <c r="R53" s="7">
        <f t="shared" si="20"/>
        <v>0</v>
      </c>
      <c r="S53" s="2"/>
      <c r="T53" s="6">
        <v>200</v>
      </c>
      <c r="U53" s="2"/>
      <c r="V53" s="7">
        <f t="shared" si="21"/>
        <v>0</v>
      </c>
      <c r="W53" s="2"/>
      <c r="X53" s="6">
        <f t="shared" si="22"/>
        <v>534.35</v>
      </c>
      <c r="Y53" s="2"/>
      <c r="Z53" s="7">
        <f t="shared" si="23"/>
        <v>2.6717500000000003</v>
      </c>
    </row>
    <row r="54" spans="1:26" s="26" customFormat="1" outlineLevel="1" collapsed="1" x14ac:dyDescent="0.25">
      <c r="A54" s="25"/>
      <c r="B54" s="13" t="str">
        <f>CONCATENATE("     ","Telephone/Data Lines                              ")</f>
        <v xml:space="preserve">     Telephone/Data Lines                              </v>
      </c>
      <c r="C54" s="13"/>
      <c r="D54" s="1">
        <f>SUM(OSRRefD22_8x_0)</f>
        <v>50</v>
      </c>
      <c r="E54" s="1"/>
      <c r="F54" s="5">
        <f t="shared" ref="F54:F59" si="24">IF(D$12=0,0,D54/D$12)</f>
        <v>0</v>
      </c>
      <c r="G54" s="1"/>
      <c r="H54" s="1">
        <f>SUM(OSRRefH22_8x_0)</f>
        <v>100</v>
      </c>
      <c r="I54" s="1"/>
      <c r="J54" s="5">
        <f t="shared" ref="J54:J59" si="25">IF(H$12=0,0,H54/H$12)</f>
        <v>0</v>
      </c>
      <c r="K54" s="1"/>
      <c r="L54" s="1">
        <f t="shared" ref="L54:L59" si="26">+D54-H54</f>
        <v>-50</v>
      </c>
      <c r="M54" s="1"/>
      <c r="N54" s="5">
        <f t="shared" ref="N54:N59" si="27">IF(H54=0,0,L54/H54)</f>
        <v>-0.5</v>
      </c>
      <c r="O54" s="13"/>
      <c r="P54" s="1">
        <f>SUM(OSRRefP22_8x_0)</f>
        <v>-900</v>
      </c>
      <c r="Q54" s="1"/>
      <c r="R54" s="5">
        <f t="shared" ref="R54:R59" si="28">IF(P$12=0,0,P54/P$12)</f>
        <v>0</v>
      </c>
      <c r="S54" s="1"/>
      <c r="T54" s="1">
        <f>SUM(OSRRefT22_8x_0)</f>
        <v>200</v>
      </c>
      <c r="U54" s="1"/>
      <c r="V54" s="5">
        <f t="shared" ref="V54:V59" si="29">IF(T$12=0,0,T54/T$12)</f>
        <v>0</v>
      </c>
      <c r="W54" s="1"/>
      <c r="X54" s="1">
        <f t="shared" ref="X54:X59" si="30">+P54-T54</f>
        <v>-1100</v>
      </c>
      <c r="Y54" s="1"/>
      <c r="Z54" s="5">
        <f t="shared" ref="Z54:Z59" si="31">IF(T54=0,0,X54/T54)</f>
        <v>-5.5</v>
      </c>
    </row>
    <row r="55" spans="1:26" s="24" customFormat="1" hidden="1" outlineLevel="2" x14ac:dyDescent="0.25">
      <c r="A55" s="27"/>
      <c r="B55" s="11" t="str">
        <f>CONCATENATE("          ", "6309", " - ", "TELEPHONE")</f>
        <v xml:space="preserve">          6309 - TELEPHONE</v>
      </c>
      <c r="C55" s="11"/>
      <c r="D55" s="6">
        <v>50</v>
      </c>
      <c r="E55" s="2"/>
      <c r="F55" s="7">
        <f t="shared" si="24"/>
        <v>0</v>
      </c>
      <c r="G55" s="2"/>
      <c r="H55" s="6">
        <v>100</v>
      </c>
      <c r="I55" s="2"/>
      <c r="J55" s="7">
        <f t="shared" si="25"/>
        <v>0</v>
      </c>
      <c r="K55" s="2"/>
      <c r="L55" s="6">
        <f t="shared" si="26"/>
        <v>-50</v>
      </c>
      <c r="M55" s="2"/>
      <c r="N55" s="7">
        <f t="shared" si="27"/>
        <v>-0.5</v>
      </c>
      <c r="O55" s="11"/>
      <c r="P55" s="6">
        <v>-900</v>
      </c>
      <c r="Q55" s="2"/>
      <c r="R55" s="7">
        <f t="shared" si="28"/>
        <v>0</v>
      </c>
      <c r="S55" s="2"/>
      <c r="T55" s="6">
        <v>200</v>
      </c>
      <c r="U55" s="2"/>
      <c r="V55" s="7">
        <f t="shared" si="29"/>
        <v>0</v>
      </c>
      <c r="W55" s="2"/>
      <c r="X55" s="6">
        <f t="shared" si="30"/>
        <v>-1100</v>
      </c>
      <c r="Y55" s="2"/>
      <c r="Z55" s="7">
        <f t="shared" si="31"/>
        <v>-5.5</v>
      </c>
    </row>
    <row r="56" spans="1:26" s="26" customFormat="1" outlineLevel="1" collapsed="1" x14ac:dyDescent="0.25">
      <c r="A56" s="25"/>
      <c r="B56" s="13" t="str">
        <f>CONCATENATE("     ","Training                                          ")</f>
        <v xml:space="preserve">     Training                                          </v>
      </c>
      <c r="C56" s="13"/>
      <c r="D56" s="1">
        <f>SUM(OSRRefD22_9x_0)</f>
        <v>0</v>
      </c>
      <c r="E56" s="1"/>
      <c r="F56" s="5">
        <f t="shared" si="24"/>
        <v>0</v>
      </c>
      <c r="G56" s="1"/>
      <c r="H56" s="1">
        <f>SUM(OSRRefH22_9x_0)</f>
        <v>300</v>
      </c>
      <c r="I56" s="1"/>
      <c r="J56" s="5">
        <f t="shared" si="25"/>
        <v>0</v>
      </c>
      <c r="K56" s="1"/>
      <c r="L56" s="1">
        <f t="shared" si="26"/>
        <v>-300</v>
      </c>
      <c r="M56" s="1"/>
      <c r="N56" s="5">
        <f t="shared" si="27"/>
        <v>-1</v>
      </c>
      <c r="O56" s="13"/>
      <c r="P56" s="1">
        <f>SUM(OSRRefP22_9x_0)</f>
        <v>1321.12</v>
      </c>
      <c r="Q56" s="1"/>
      <c r="R56" s="5">
        <f t="shared" si="28"/>
        <v>0</v>
      </c>
      <c r="S56" s="1"/>
      <c r="T56" s="1">
        <f>SUM(OSRRefT22_9x_0)</f>
        <v>600</v>
      </c>
      <c r="U56" s="1"/>
      <c r="V56" s="5">
        <f t="shared" si="29"/>
        <v>0</v>
      </c>
      <c r="W56" s="1"/>
      <c r="X56" s="1">
        <f t="shared" si="30"/>
        <v>721.11999999999989</v>
      </c>
      <c r="Y56" s="1"/>
      <c r="Z56" s="5">
        <f t="shared" si="31"/>
        <v>1.2018666666666664</v>
      </c>
    </row>
    <row r="57" spans="1:26" s="24" customFormat="1" hidden="1" outlineLevel="2" x14ac:dyDescent="0.25">
      <c r="A57" s="27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24"/>
        <v>0</v>
      </c>
      <c r="G57" s="2"/>
      <c r="H57" s="6">
        <v>300</v>
      </c>
      <c r="I57" s="2"/>
      <c r="J57" s="7">
        <f t="shared" si="25"/>
        <v>0</v>
      </c>
      <c r="K57" s="2"/>
      <c r="L57" s="6">
        <f t="shared" si="26"/>
        <v>-300</v>
      </c>
      <c r="M57" s="2"/>
      <c r="N57" s="7">
        <f t="shared" si="27"/>
        <v>-1</v>
      </c>
      <c r="O57" s="11"/>
      <c r="P57" s="6">
        <v>1321.12</v>
      </c>
      <c r="Q57" s="2"/>
      <c r="R57" s="7">
        <f t="shared" si="28"/>
        <v>0</v>
      </c>
      <c r="S57" s="2"/>
      <c r="T57" s="6">
        <v>600</v>
      </c>
      <c r="U57" s="2"/>
      <c r="V57" s="7">
        <f t="shared" si="29"/>
        <v>0</v>
      </c>
      <c r="W57" s="2"/>
      <c r="X57" s="6">
        <f t="shared" si="30"/>
        <v>721.11999999999989</v>
      </c>
      <c r="Y57" s="2"/>
      <c r="Z57" s="7">
        <f t="shared" si="31"/>
        <v>1.2018666666666664</v>
      </c>
    </row>
    <row r="58" spans="1:26" s="26" customFormat="1" outlineLevel="1" collapsed="1" x14ac:dyDescent="0.25">
      <c r="A58" s="25"/>
      <c r="B58" s="13" t="str">
        <f>CONCATENATE("     ","Travel                                            ")</f>
        <v xml:space="preserve">     Travel                                            </v>
      </c>
      <c r="C58" s="13"/>
      <c r="D58" s="1">
        <f>SUM(OSRRefD22_10x_0)</f>
        <v>119.9</v>
      </c>
      <c r="E58" s="1"/>
      <c r="F58" s="5">
        <f t="shared" si="24"/>
        <v>0</v>
      </c>
      <c r="G58" s="1"/>
      <c r="H58" s="1">
        <f>SUM(OSRRefH22_10x_0)</f>
        <v>300</v>
      </c>
      <c r="I58" s="1"/>
      <c r="J58" s="5">
        <f t="shared" si="25"/>
        <v>0</v>
      </c>
      <c r="K58" s="1"/>
      <c r="L58" s="1">
        <f t="shared" si="26"/>
        <v>-180.1</v>
      </c>
      <c r="M58" s="1"/>
      <c r="N58" s="5">
        <f t="shared" si="27"/>
        <v>-0.60033333333333327</v>
      </c>
      <c r="O58" s="13"/>
      <c r="P58" s="1">
        <f>SUM(OSRRefP22_10x_0)</f>
        <v>119.9</v>
      </c>
      <c r="Q58" s="1"/>
      <c r="R58" s="5">
        <f t="shared" si="28"/>
        <v>0</v>
      </c>
      <c r="S58" s="1"/>
      <c r="T58" s="1">
        <f>SUM(OSRRefT22_10x_0)</f>
        <v>600</v>
      </c>
      <c r="U58" s="1"/>
      <c r="V58" s="5">
        <f t="shared" si="29"/>
        <v>0</v>
      </c>
      <c r="W58" s="1"/>
      <c r="X58" s="1">
        <f t="shared" si="30"/>
        <v>-480.1</v>
      </c>
      <c r="Y58" s="1"/>
      <c r="Z58" s="5">
        <f t="shared" si="31"/>
        <v>-0.80016666666666669</v>
      </c>
    </row>
    <row r="59" spans="1:26" s="24" customFormat="1" hidden="1" outlineLevel="2" x14ac:dyDescent="0.25">
      <c r="A59" s="27"/>
      <c r="B59" s="11" t="str">
        <f>CONCATENATE("          ", "6292", " - ", "TRAVEL/CONFERENCE")</f>
        <v xml:space="preserve">          6292 - TRAVEL/CONFERENCE</v>
      </c>
      <c r="C59" s="11"/>
      <c r="D59" s="6">
        <v>119.9</v>
      </c>
      <c r="E59" s="2"/>
      <c r="F59" s="7">
        <f t="shared" si="24"/>
        <v>0</v>
      </c>
      <c r="G59" s="2"/>
      <c r="H59" s="6">
        <v>300</v>
      </c>
      <c r="I59" s="2"/>
      <c r="J59" s="7">
        <f t="shared" si="25"/>
        <v>0</v>
      </c>
      <c r="K59" s="2"/>
      <c r="L59" s="6">
        <f t="shared" si="26"/>
        <v>-180.1</v>
      </c>
      <c r="M59" s="2"/>
      <c r="N59" s="7">
        <f t="shared" si="27"/>
        <v>-0.60033333333333327</v>
      </c>
      <c r="O59" s="11"/>
      <c r="P59" s="6">
        <v>119.9</v>
      </c>
      <c r="Q59" s="2"/>
      <c r="R59" s="7">
        <f t="shared" si="28"/>
        <v>0</v>
      </c>
      <c r="S59" s="2"/>
      <c r="T59" s="6">
        <v>600</v>
      </c>
      <c r="U59" s="2"/>
      <c r="V59" s="7">
        <f t="shared" si="29"/>
        <v>0</v>
      </c>
      <c r="W59" s="2"/>
      <c r="X59" s="6">
        <f t="shared" si="30"/>
        <v>-480.1</v>
      </c>
      <c r="Y59" s="2"/>
      <c r="Z59" s="7">
        <f t="shared" si="31"/>
        <v>-0.80016666666666669</v>
      </c>
    </row>
    <row r="60" spans="1:26" s="63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8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9" t="s">
        <v>3</v>
      </c>
      <c r="C63" s="29"/>
      <c r="D63" s="22">
        <f>+D16-D18+D61</f>
        <v>-11117.11</v>
      </c>
      <c r="E63" s="14"/>
      <c r="F63" s="20">
        <f>IF(D$12=0,0,D63/D$12)</f>
        <v>0</v>
      </c>
      <c r="G63" s="14"/>
      <c r="H63" s="22">
        <f>+H16-H18+H61</f>
        <v>-13408.050783619999</v>
      </c>
      <c r="I63" s="14"/>
      <c r="J63" s="20">
        <f>IF(H$12=0,0,H63/H$12)</f>
        <v>0</v>
      </c>
      <c r="K63" s="15"/>
      <c r="L63" s="22">
        <f>+D63-H63</f>
        <v>2290.9407836199989</v>
      </c>
      <c r="M63" s="15"/>
      <c r="N63" s="20">
        <f>IF(H63=0,0,L63/H63)</f>
        <v>-0.17086307477435395</v>
      </c>
      <c r="O63" s="28"/>
      <c r="P63" s="22">
        <f>+P16-P18+P61</f>
        <v>-26034.37</v>
      </c>
      <c r="Q63" s="14"/>
      <c r="R63" s="20">
        <f>IF(P$12=0,0,P63/P$12)</f>
        <v>0</v>
      </c>
      <c r="S63" s="14"/>
      <c r="T63" s="22">
        <f>+T16-T18+T61</f>
        <v>-29467.614263144998</v>
      </c>
      <c r="U63" s="14"/>
      <c r="V63" s="20">
        <f>IF(T$12=0,0,T63/T$12)</f>
        <v>0</v>
      </c>
      <c r="W63" s="15"/>
      <c r="X63" s="22">
        <f>+P63-T63</f>
        <v>3433.2442631449994</v>
      </c>
      <c r="Y63" s="15"/>
      <c r="Z63" s="20">
        <f>IF(T63=0,0,X63/T63)</f>
        <v>-0.11650906763222231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9" t="s">
        <v>4</v>
      </c>
      <c r="C67" s="29"/>
      <c r="D67" s="31">
        <f>+D63-D65</f>
        <v>-11117.11</v>
      </c>
      <c r="E67" s="14"/>
      <c r="F67" s="32">
        <f>IF(D$12=0,0,D67/D$12)</f>
        <v>0</v>
      </c>
      <c r="G67" s="14"/>
      <c r="H67" s="31">
        <f>+H63-H65</f>
        <v>-13408.050783619999</v>
      </c>
      <c r="I67" s="14"/>
      <c r="J67" s="32">
        <f>IF(H$12=0,0,H67/H$12)</f>
        <v>0</v>
      </c>
      <c r="K67" s="15"/>
      <c r="L67" s="31">
        <f>D67-H67</f>
        <v>2290.9407836199989</v>
      </c>
      <c r="M67" s="15"/>
      <c r="N67" s="32">
        <f>IF(H67=0,0,L67/H67)</f>
        <v>-0.17086307477435395</v>
      </c>
      <c r="O67" s="28"/>
      <c r="P67" s="31">
        <f>+P63-P65</f>
        <v>-26034.37</v>
      </c>
      <c r="Q67" s="14"/>
      <c r="R67" s="32">
        <f>IF(P$12=0,0,P67/P$12)</f>
        <v>0</v>
      </c>
      <c r="S67" s="14"/>
      <c r="T67" s="31">
        <f>+T63-T65</f>
        <v>-29467.614263144998</v>
      </c>
      <c r="U67" s="14"/>
      <c r="V67" s="32">
        <f>IF(T$12=0,0,T67/T$12)</f>
        <v>0</v>
      </c>
      <c r="W67" s="15"/>
      <c r="X67" s="31">
        <f>P67-T67</f>
        <v>3433.2442631449994</v>
      </c>
      <c r="Y67" s="15"/>
      <c r="Z67" s="32">
        <f>IF(T67=0,0,X67/T67)</f>
        <v>-0.11650906763222231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9" t="s">
        <v>5</v>
      </c>
      <c r="C70" s="29"/>
      <c r="D70" s="33">
        <f>SUM(D67:D69)</f>
        <v>-11117.11</v>
      </c>
      <c r="E70" s="14"/>
      <c r="F70" s="35">
        <f>IF(D$12=0,0,D70/D$12)</f>
        <v>0</v>
      </c>
      <c r="G70" s="14"/>
      <c r="H70" s="33">
        <f>SUM(H67:H69)</f>
        <v>-13408.050783619999</v>
      </c>
      <c r="I70" s="14"/>
      <c r="J70" s="35">
        <f>IF(H$12=0,0,H70/H$12)</f>
        <v>0</v>
      </c>
      <c r="K70" s="15"/>
      <c r="L70" s="33">
        <f>+D70-H70</f>
        <v>2290.9407836199989</v>
      </c>
      <c r="M70" s="15"/>
      <c r="N70" s="35">
        <f>IF(H70=0,0,L70/H70)</f>
        <v>-0.17086307477435395</v>
      </c>
      <c r="O70" s="28"/>
      <c r="P70" s="33">
        <f>SUM(P67:P69)</f>
        <v>-26034.37</v>
      </c>
      <c r="Q70" s="14"/>
      <c r="R70" s="35">
        <f>IF(P$12=0,0,P70/P$12)</f>
        <v>0</v>
      </c>
      <c r="S70" s="14"/>
      <c r="T70" s="33">
        <f>SUM(T67:T69)</f>
        <v>-29467.614263144998</v>
      </c>
      <c r="U70" s="14"/>
      <c r="V70" s="35">
        <f>IF(T$12=0,0,T70/T$12)</f>
        <v>0</v>
      </c>
      <c r="W70" s="15"/>
      <c r="X70" s="33">
        <f>+P70-T70</f>
        <v>3433.2442631449994</v>
      </c>
      <c r="Y70" s="15"/>
      <c r="Z70" s="35">
        <f>IF(T70=0,0,X70/T70)</f>
        <v>-0.11650906763222231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61">
        <v>43732.706513159719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A73" s="9"/>
      <c r="B73" s="62" t="s">
        <v>314</v>
      </c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25">
      <c r="A74" s="9"/>
      <c r="B74" s="58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25"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","433", " - ", "Hillside Dining Hall")</f>
        <v>Department 433 - Hillside Dining Hall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241985.54</v>
      </c>
      <c r="E12" s="4"/>
      <c r="F12" s="12"/>
      <c r="G12" s="4"/>
      <c r="H12" s="4">
        <f>SUM(OSRRefH13x_0)</f>
        <v>220000</v>
      </c>
      <c r="I12" s="4"/>
      <c r="J12" s="12"/>
      <c r="K12" s="4"/>
      <c r="L12" s="4">
        <f t="shared" ref="L12:L16" si="0">+D12-H12</f>
        <v>21985.540000000008</v>
      </c>
      <c r="M12" s="4"/>
      <c r="N12" s="12">
        <f t="shared" ref="N12:N16" si="1">IF(H12=0,0,L12/H12)</f>
        <v>9.993427272727276E-2</v>
      </c>
      <c r="O12" s="10"/>
      <c r="P12" s="4">
        <f>SUM(OSRRefP13x_0)</f>
        <v>488485.16</v>
      </c>
      <c r="Q12" s="4"/>
      <c r="R12" s="12"/>
      <c r="S12" s="4"/>
      <c r="T12" s="4">
        <f>SUM(OSRRefT13x_0)</f>
        <v>496000</v>
      </c>
      <c r="U12" s="4"/>
      <c r="V12" s="12"/>
      <c r="W12" s="4"/>
      <c r="X12" s="4">
        <f t="shared" ref="X12:X16" si="2">+P12-T12</f>
        <v>-7514.8400000000256</v>
      </c>
      <c r="Y12" s="4"/>
      <c r="Z12" s="12">
        <f t="shared" ref="Z12:Z16" si="3">IF(T12=0,0,X12/T12)</f>
        <v>-1.5150887096774245E-2</v>
      </c>
    </row>
    <row r="13" spans="1:26" s="24" customFormat="1" hidden="1" outlineLevel="1" x14ac:dyDescent="0.25">
      <c r="A13" s="46"/>
      <c r="B13" s="11" t="str">
        <f>CONCATENATE("          ", "4053", " - ", "TAXABLE SALES-FOOD")</f>
        <v xml:space="preserve">          4053 - TAXABLE SALES-FOOD</v>
      </c>
      <c r="C13" s="11"/>
      <c r="D13" s="2">
        <f>--75.32</f>
        <v>75.319999999999993</v>
      </c>
      <c r="E13" s="2"/>
      <c r="F13" s="21"/>
      <c r="G13" s="2"/>
      <c r="H13" s="2"/>
      <c r="I13" s="2"/>
      <c r="J13" s="21"/>
      <c r="K13" s="2"/>
      <c r="L13" s="2">
        <f t="shared" si="0"/>
        <v>75.319999999999993</v>
      </c>
      <c r="M13" s="2"/>
      <c r="N13" s="21">
        <f t="shared" si="1"/>
        <v>0</v>
      </c>
      <c r="O13" s="11"/>
      <c r="P13" s="2">
        <f>--733.97</f>
        <v>733.97</v>
      </c>
      <c r="Q13" s="2"/>
      <c r="R13" s="21"/>
      <c r="S13" s="2"/>
      <c r="T13" s="2"/>
      <c r="U13" s="2"/>
      <c r="V13" s="21"/>
      <c r="W13" s="2"/>
      <c r="X13" s="2">
        <f t="shared" si="2"/>
        <v>733.97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1"/>
      <c r="G14" s="2"/>
      <c r="H14" s="2">
        <v>220000</v>
      </c>
      <c r="I14" s="2"/>
      <c r="J14" s="21"/>
      <c r="K14" s="2"/>
      <c r="L14" s="2">
        <f t="shared" si="0"/>
        <v>-220000</v>
      </c>
      <c r="M14" s="2"/>
      <c r="N14" s="21">
        <f t="shared" si="1"/>
        <v>-1</v>
      </c>
      <c r="O14" s="11"/>
      <c r="P14" s="2">
        <f>0</f>
        <v>0</v>
      </c>
      <c r="Q14" s="2"/>
      <c r="R14" s="21"/>
      <c r="S14" s="2"/>
      <c r="T14" s="2">
        <v>496000</v>
      </c>
      <c r="U14" s="2"/>
      <c r="V14" s="21"/>
      <c r="W14" s="2"/>
      <c r="X14" s="2">
        <f t="shared" si="2"/>
        <v>-496000</v>
      </c>
      <c r="Y14" s="2"/>
      <c r="Z14" s="21">
        <f t="shared" si="3"/>
        <v>-1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--144700.94</f>
        <v>144700.94</v>
      </c>
      <c r="E15" s="2"/>
      <c r="F15" s="21"/>
      <c r="G15" s="2"/>
      <c r="H15" s="2"/>
      <c r="I15" s="2"/>
      <c r="J15" s="21"/>
      <c r="K15" s="2"/>
      <c r="L15" s="2">
        <f t="shared" si="0"/>
        <v>144700.94</v>
      </c>
      <c r="M15" s="2"/>
      <c r="N15" s="21">
        <f t="shared" si="1"/>
        <v>0</v>
      </c>
      <c r="O15" s="11"/>
      <c r="P15" s="2">
        <f>--387305.89</f>
        <v>387305.89</v>
      </c>
      <c r="Q15" s="2"/>
      <c r="R15" s="21"/>
      <c r="S15" s="2"/>
      <c r="T15" s="2"/>
      <c r="U15" s="2"/>
      <c r="V15" s="21"/>
      <c r="W15" s="2"/>
      <c r="X15" s="2">
        <f t="shared" si="2"/>
        <v>387305.89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"4153", " - ", "NON-TAXABLE SALES-FOOD")</f>
        <v xml:space="preserve">          4153 - NON-TAXABLE SALES-FOOD</v>
      </c>
      <c r="C16" s="11"/>
      <c r="D16" s="2">
        <f>--97209.28</f>
        <v>97209.279999999999</v>
      </c>
      <c r="E16" s="2"/>
      <c r="F16" s="21"/>
      <c r="G16" s="2"/>
      <c r="H16" s="2"/>
      <c r="I16" s="2"/>
      <c r="J16" s="21"/>
      <c r="K16" s="2"/>
      <c r="L16" s="2">
        <f t="shared" si="0"/>
        <v>97209.279999999999</v>
      </c>
      <c r="M16" s="2"/>
      <c r="N16" s="21">
        <f t="shared" si="1"/>
        <v>0</v>
      </c>
      <c r="O16" s="11"/>
      <c r="P16" s="2">
        <f>--100445.3</f>
        <v>100445.3</v>
      </c>
      <c r="Q16" s="2"/>
      <c r="R16" s="21"/>
      <c r="S16" s="2"/>
      <c r="T16" s="2"/>
      <c r="U16" s="2"/>
      <c r="V16" s="21"/>
      <c r="W16" s="2"/>
      <c r="X16" s="2">
        <f t="shared" si="2"/>
        <v>100445.3</v>
      </c>
      <c r="Y16" s="2"/>
      <c r="Z16" s="21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55035.45</v>
      </c>
      <c r="E18" s="4"/>
      <c r="F18" s="12">
        <f t="shared" ref="F18:F21" si="4">IF(D$12=0,0,D18/D$12)</f>
        <v>0.22743280445600178</v>
      </c>
      <c r="G18" s="4"/>
      <c r="H18" s="4">
        <f>SUM(OSRRefH16x_0)</f>
        <v>63800</v>
      </c>
      <c r="I18" s="4"/>
      <c r="J18" s="12">
        <f t="shared" ref="J18:J21" si="5">IF(H$12=0,0,H18/H$12)</f>
        <v>0.28999999999999998</v>
      </c>
      <c r="K18" s="4"/>
      <c r="L18" s="4">
        <f t="shared" ref="L18:L21" si="6">+D18-H18</f>
        <v>-8764.5500000000029</v>
      </c>
      <c r="M18" s="4"/>
      <c r="N18" s="12">
        <f t="shared" ref="N18:N21" si="7">IF(H18=0,0,L18/H18)</f>
        <v>-0.13737539184952982</v>
      </c>
      <c r="O18" s="10"/>
      <c r="P18" s="4">
        <f>SUM(OSRRefP16x_0)</f>
        <v>128303.53</v>
      </c>
      <c r="Q18" s="4"/>
      <c r="R18" s="12">
        <f t="shared" ref="R18:R21" si="8">IF(P$12=0,0,P18/P$12)</f>
        <v>0.26265594230129735</v>
      </c>
      <c r="S18" s="4"/>
      <c r="T18" s="4">
        <f>SUM(OSRRefT16x_0)</f>
        <v>141080</v>
      </c>
      <c r="U18" s="4"/>
      <c r="V18" s="12">
        <f t="shared" ref="V18:V21" si="9">IF(T$12=0,0,T18/T$12)</f>
        <v>0.28443548387096773</v>
      </c>
      <c r="W18" s="4"/>
      <c r="X18" s="4">
        <f t="shared" ref="X18:X21" si="10">+P18-T18</f>
        <v>-12776.470000000001</v>
      </c>
      <c r="Y18" s="4"/>
      <c r="Z18" s="12">
        <f t="shared" ref="Z18:Z21" si="11">IF(T18=0,0,X18/T18)</f>
        <v>-9.0561879784519433E-2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1">
        <f t="shared" si="4"/>
        <v>0</v>
      </c>
      <c r="G19" s="2"/>
      <c r="H19" s="2">
        <v>63800</v>
      </c>
      <c r="I19" s="2"/>
      <c r="J19" s="21">
        <f t="shared" si="5"/>
        <v>0.28999999999999998</v>
      </c>
      <c r="K19" s="2"/>
      <c r="L19" s="2">
        <f t="shared" si="6"/>
        <v>-63800</v>
      </c>
      <c r="M19" s="2"/>
      <c r="N19" s="21">
        <f t="shared" si="7"/>
        <v>-1</v>
      </c>
      <c r="O19" s="11"/>
      <c r="P19" s="2"/>
      <c r="Q19" s="2"/>
      <c r="R19" s="21">
        <f t="shared" si="8"/>
        <v>0</v>
      </c>
      <c r="S19" s="2"/>
      <c r="T19" s="2">
        <v>141080</v>
      </c>
      <c r="U19" s="2"/>
      <c r="V19" s="21">
        <f t="shared" si="9"/>
        <v>0.28443548387096773</v>
      </c>
      <c r="W19" s="2"/>
      <c r="X19" s="2">
        <f t="shared" si="10"/>
        <v>-141080</v>
      </c>
      <c r="Y19" s="2"/>
      <c r="Z19" s="21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63975.45</v>
      </c>
      <c r="E20" s="2"/>
      <c r="F20" s="21">
        <f t="shared" si="4"/>
        <v>0.26437716071795031</v>
      </c>
      <c r="G20" s="2"/>
      <c r="H20" s="2"/>
      <c r="I20" s="2"/>
      <c r="J20" s="21">
        <f t="shared" si="5"/>
        <v>0</v>
      </c>
      <c r="K20" s="2"/>
      <c r="L20" s="2">
        <f t="shared" si="6"/>
        <v>63975.45</v>
      </c>
      <c r="M20" s="2"/>
      <c r="N20" s="21">
        <f t="shared" si="7"/>
        <v>0</v>
      </c>
      <c r="O20" s="11"/>
      <c r="P20" s="2">
        <v>137411.53</v>
      </c>
      <c r="Q20" s="2"/>
      <c r="R20" s="21">
        <f t="shared" si="8"/>
        <v>0.28130133984008848</v>
      </c>
      <c r="S20" s="2"/>
      <c r="T20" s="2"/>
      <c r="U20" s="2"/>
      <c r="V20" s="21">
        <f t="shared" si="9"/>
        <v>0</v>
      </c>
      <c r="W20" s="2"/>
      <c r="X20" s="2">
        <f t="shared" si="10"/>
        <v>137411.53</v>
      </c>
      <c r="Y20" s="2"/>
      <c r="Z20" s="21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-8940</v>
      </c>
      <c r="E21" s="2"/>
      <c r="F21" s="21">
        <f t="shared" si="4"/>
        <v>-3.6944356261948544E-2</v>
      </c>
      <c r="G21" s="2"/>
      <c r="H21" s="2"/>
      <c r="I21" s="2"/>
      <c r="J21" s="21">
        <f t="shared" si="5"/>
        <v>0</v>
      </c>
      <c r="K21" s="2"/>
      <c r="L21" s="2">
        <f t="shared" si="6"/>
        <v>-8940</v>
      </c>
      <c r="M21" s="2"/>
      <c r="N21" s="21">
        <f t="shared" si="7"/>
        <v>0</v>
      </c>
      <c r="O21" s="11"/>
      <c r="P21" s="2">
        <v>-9108</v>
      </c>
      <c r="Q21" s="2"/>
      <c r="R21" s="21">
        <f t="shared" si="8"/>
        <v>-1.8645397538791148E-2</v>
      </c>
      <c r="S21" s="2"/>
      <c r="T21" s="2"/>
      <c r="U21" s="2"/>
      <c r="V21" s="21">
        <f t="shared" si="9"/>
        <v>0</v>
      </c>
      <c r="W21" s="2"/>
      <c r="X21" s="2">
        <f t="shared" si="10"/>
        <v>-9108</v>
      </c>
      <c r="Y21" s="2"/>
      <c r="Z21" s="21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186950.09000000003</v>
      </c>
      <c r="E23" s="14"/>
      <c r="F23" s="20">
        <f>IF(D$12=0,0,D23/D$12)</f>
        <v>0.77256719554399833</v>
      </c>
      <c r="G23" s="14"/>
      <c r="H23" s="22">
        <f>H12-H18</f>
        <v>156200</v>
      </c>
      <c r="I23" s="14"/>
      <c r="J23" s="20">
        <f>IF(H$12=0,0,H23/H$12)</f>
        <v>0.71</v>
      </c>
      <c r="K23" s="15"/>
      <c r="L23" s="22">
        <f>+D23-H23</f>
        <v>30750.090000000026</v>
      </c>
      <c r="M23" s="15"/>
      <c r="N23" s="20">
        <f>IF(H23=0,0,L23/H23)</f>
        <v>0.19686357234314997</v>
      </c>
      <c r="O23" s="28"/>
      <c r="P23" s="22">
        <f>P12-P18</f>
        <v>360181.63</v>
      </c>
      <c r="Q23" s="14"/>
      <c r="R23" s="20">
        <f>IF(P$12=0,0,P23/P$12)</f>
        <v>0.7373440576987027</v>
      </c>
      <c r="S23" s="14"/>
      <c r="T23" s="22">
        <f>T12-T18</f>
        <v>354920</v>
      </c>
      <c r="U23" s="14"/>
      <c r="V23" s="20">
        <f>IF(T$12=0,0,T23/T$12)</f>
        <v>0.71556451612903227</v>
      </c>
      <c r="W23" s="15"/>
      <c r="X23" s="22">
        <f>+P23-T23</f>
        <v>5261.6300000000047</v>
      </c>
      <c r="Y23" s="15"/>
      <c r="Z23" s="20">
        <f>IF(T23=0,0,X23/T23)</f>
        <v>1.4824833765355587E-2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19">
        <f>SUM(OSRRefD22x_0)</f>
        <v>121608.81000000003</v>
      </c>
      <c r="E25" s="19"/>
      <c r="F25" s="34">
        <f t="shared" ref="F25:F36" si="12">IF(D$12=0,0,D25/D$12)</f>
        <v>0.50254577194984473</v>
      </c>
      <c r="G25" s="19"/>
      <c r="H25" s="19">
        <f>SUM(OSRRefH22x_0)</f>
        <v>138524.17410348338</v>
      </c>
      <c r="I25" s="19"/>
      <c r="J25" s="34">
        <f t="shared" ref="J25:J36" si="13">IF(H$12=0,0,H25/H$12)</f>
        <v>0.62965533683401542</v>
      </c>
      <c r="K25" s="4"/>
      <c r="L25" s="19">
        <f t="shared" ref="L25:L36" si="14">+D25-H25</f>
        <v>-16915.364103483356</v>
      </c>
      <c r="M25" s="4"/>
      <c r="N25" s="34">
        <f t="shared" ref="N25:N36" si="15">IF(H25=0,0,L25/H25)</f>
        <v>-0.12211127922586903</v>
      </c>
      <c r="O25" s="10"/>
      <c r="P25" s="19">
        <f>SUM(OSRRefP22x_0)</f>
        <v>269168.46999999991</v>
      </c>
      <c r="Q25" s="19"/>
      <c r="R25" s="34">
        <f t="shared" ref="R25:R36" si="16">IF(P$12=0,0,P25/P$12)</f>
        <v>0.55102691348904009</v>
      </c>
      <c r="S25" s="19"/>
      <c r="T25" s="19">
        <f>SUM(OSRRefT22x_0)</f>
        <v>311643.32012283755</v>
      </c>
      <c r="U25" s="19"/>
      <c r="V25" s="34">
        <f t="shared" ref="V25:V36" si="17">IF(T$12=0,0,T25/T$12)</f>
        <v>0.62831314540894667</v>
      </c>
      <c r="W25" s="4"/>
      <c r="X25" s="19">
        <f t="shared" ref="X25:X36" si="18">+P25-T25</f>
        <v>-42474.850122837641</v>
      </c>
      <c r="Y25" s="4"/>
      <c r="Z25" s="34">
        <f t="shared" ref="Z25:Z36" si="19">IF(T25=0,0,X25/T25)</f>
        <v>-0.13629315111293167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24636.129999999997</v>
      </c>
      <c r="E26" s="1"/>
      <c r="F26" s="5">
        <f t="shared" si="12"/>
        <v>0.10180827333732419</v>
      </c>
      <c r="G26" s="1"/>
      <c r="H26" s="1">
        <f>SUM(OSRRefH22_0x_0)</f>
        <v>27813.455728714169</v>
      </c>
      <c r="I26" s="1"/>
      <c r="J26" s="5">
        <f t="shared" si="13"/>
        <v>0.12642479876688259</v>
      </c>
      <c r="K26" s="1"/>
      <c r="L26" s="1">
        <f t="shared" si="14"/>
        <v>-3177.3257287141714</v>
      </c>
      <c r="M26" s="1"/>
      <c r="N26" s="5">
        <f t="shared" si="15"/>
        <v>-0.11423699951940711</v>
      </c>
      <c r="O26" s="13"/>
      <c r="P26" s="1">
        <f>SUM(OSRRefP22_0x_0)</f>
        <v>58132.189999999988</v>
      </c>
      <c r="Q26" s="1"/>
      <c r="R26" s="5">
        <f t="shared" si="16"/>
        <v>0.11900502770647114</v>
      </c>
      <c r="S26" s="1"/>
      <c r="T26" s="1">
        <f>SUM(OSRRefT22_0x_0)</f>
        <v>62642.45377960684</v>
      </c>
      <c r="U26" s="1"/>
      <c r="V26" s="5">
        <f t="shared" si="17"/>
        <v>0.12629526971694927</v>
      </c>
      <c r="W26" s="1"/>
      <c r="X26" s="1">
        <f t="shared" si="18"/>
        <v>-4510.263779606852</v>
      </c>
      <c r="Y26" s="1"/>
      <c r="Z26" s="5">
        <f t="shared" si="19"/>
        <v>-7.2000113460995385E-2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4471.38</v>
      </c>
      <c r="E27" s="2"/>
      <c r="F27" s="7">
        <f t="shared" si="12"/>
        <v>1.84778809510684E-2</v>
      </c>
      <c r="G27" s="2"/>
      <c r="H27" s="6">
        <v>5430.2332383203102</v>
      </c>
      <c r="I27" s="2"/>
      <c r="J27" s="7">
        <f t="shared" si="13"/>
        <v>2.4682878356001411E-2</v>
      </c>
      <c r="K27" s="2"/>
      <c r="L27" s="6">
        <f t="shared" si="14"/>
        <v>-958.85323832031008</v>
      </c>
      <c r="M27" s="2"/>
      <c r="N27" s="7">
        <f t="shared" si="15"/>
        <v>-0.17657680549590984</v>
      </c>
      <c r="O27" s="11"/>
      <c r="P27" s="6">
        <v>9407.56</v>
      </c>
      <c r="Q27" s="2"/>
      <c r="R27" s="7">
        <f t="shared" si="16"/>
        <v>1.9258640323894384E-2</v>
      </c>
      <c r="S27" s="2"/>
      <c r="T27" s="6">
        <v>12847.330976220701</v>
      </c>
      <c r="U27" s="2"/>
      <c r="V27" s="7">
        <f t="shared" si="17"/>
        <v>2.5901876968186896E-2</v>
      </c>
      <c r="W27" s="2"/>
      <c r="X27" s="6">
        <f t="shared" si="18"/>
        <v>-3439.7709762207014</v>
      </c>
      <c r="Y27" s="2"/>
      <c r="Z27" s="7">
        <f t="shared" si="19"/>
        <v>-0.26774206896260555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2250.16</v>
      </c>
      <c r="E28" s="2"/>
      <c r="F28" s="7">
        <f t="shared" si="12"/>
        <v>9.2987374369559433E-3</v>
      </c>
      <c r="G28" s="2"/>
      <c r="H28" s="6">
        <v>2753.07787334154</v>
      </c>
      <c r="I28" s="2"/>
      <c r="J28" s="7">
        <f t="shared" si="13"/>
        <v>1.2513990333370636E-2</v>
      </c>
      <c r="K28" s="2"/>
      <c r="L28" s="6">
        <f t="shared" si="14"/>
        <v>-502.91787334154014</v>
      </c>
      <c r="M28" s="2"/>
      <c r="N28" s="7">
        <f t="shared" si="15"/>
        <v>-0.18267477219274045</v>
      </c>
      <c r="O28" s="11"/>
      <c r="P28" s="6">
        <v>4764.6400000000003</v>
      </c>
      <c r="Q28" s="2"/>
      <c r="R28" s="7">
        <f t="shared" si="16"/>
        <v>9.7539094125193085E-3</v>
      </c>
      <c r="S28" s="2"/>
      <c r="T28" s="6">
        <v>6513.4776150184598</v>
      </c>
      <c r="U28" s="2"/>
      <c r="V28" s="7">
        <f t="shared" si="17"/>
        <v>1.3132011320601733E-2</v>
      </c>
      <c r="W28" s="2"/>
      <c r="X28" s="6">
        <f t="shared" si="18"/>
        <v>-1748.8376150184595</v>
      </c>
      <c r="Y28" s="2"/>
      <c r="Z28" s="7">
        <f t="shared" si="19"/>
        <v>-0.26849522150595478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12070.16</v>
      </c>
      <c r="E29" s="2"/>
      <c r="F29" s="7">
        <f t="shared" si="12"/>
        <v>4.9879674628492264E-2</v>
      </c>
      <c r="G29" s="2"/>
      <c r="H29" s="6">
        <v>14965.615384615401</v>
      </c>
      <c r="I29" s="2"/>
      <c r="J29" s="7">
        <f t="shared" si="13"/>
        <v>6.8025524475524554E-2</v>
      </c>
      <c r="K29" s="2"/>
      <c r="L29" s="6">
        <f t="shared" si="14"/>
        <v>-2895.4553846154013</v>
      </c>
      <c r="M29" s="2"/>
      <c r="N29" s="7">
        <f t="shared" si="15"/>
        <v>-0.19347386059325827</v>
      </c>
      <c r="O29" s="11"/>
      <c r="P29" s="6">
        <v>26010.92</v>
      </c>
      <c r="Q29" s="2"/>
      <c r="R29" s="7">
        <f t="shared" si="16"/>
        <v>5.3248127333080084E-2</v>
      </c>
      <c r="S29" s="2"/>
      <c r="T29" s="6">
        <v>32518.384615384599</v>
      </c>
      <c r="U29" s="2"/>
      <c r="V29" s="7">
        <f t="shared" si="17"/>
        <v>6.5561259305210881E-2</v>
      </c>
      <c r="W29" s="2"/>
      <c r="X29" s="6">
        <f t="shared" si="18"/>
        <v>-6507.4646153846006</v>
      </c>
      <c r="Y29" s="2"/>
      <c r="Z29" s="7">
        <f t="shared" si="19"/>
        <v>-0.20011647848909103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150.78</v>
      </c>
      <c r="E30" s="2"/>
      <c r="F30" s="7">
        <f t="shared" si="12"/>
        <v>6.2309508245823278E-4</v>
      </c>
      <c r="G30" s="2"/>
      <c r="H30" s="6">
        <v>184.48459976000001</v>
      </c>
      <c r="I30" s="2"/>
      <c r="J30" s="7">
        <f t="shared" si="13"/>
        <v>8.385663625454546E-4</v>
      </c>
      <c r="K30" s="2"/>
      <c r="L30" s="6">
        <f t="shared" si="14"/>
        <v>-33.704599760000008</v>
      </c>
      <c r="M30" s="2"/>
      <c r="N30" s="7">
        <f t="shared" si="15"/>
        <v>-0.1826960071672489</v>
      </c>
      <c r="O30" s="11"/>
      <c r="P30" s="6">
        <v>319.27</v>
      </c>
      <c r="Q30" s="2"/>
      <c r="R30" s="7">
        <f t="shared" si="16"/>
        <v>6.5359201495496808E-4</v>
      </c>
      <c r="S30" s="2"/>
      <c r="T30" s="6">
        <v>436.47014946000002</v>
      </c>
      <c r="U30" s="2"/>
      <c r="V30" s="7">
        <f t="shared" si="17"/>
        <v>8.7998014004032259E-4</v>
      </c>
      <c r="W30" s="2"/>
      <c r="X30" s="6">
        <f t="shared" si="18"/>
        <v>-117.20014946000003</v>
      </c>
      <c r="Y30" s="2"/>
      <c r="Z30" s="7">
        <f t="shared" si="19"/>
        <v>-0.26851813258020008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1217.31</v>
      </c>
      <c r="E31" s="2"/>
      <c r="F31" s="7">
        <f t="shared" si="12"/>
        <v>5.0305071947687446E-3</v>
      </c>
      <c r="G31" s="2"/>
      <c r="H31" s="6">
        <v>1270.4277151384601</v>
      </c>
      <c r="I31" s="2"/>
      <c r="J31" s="7">
        <f t="shared" si="13"/>
        <v>5.774671432447546E-3</v>
      </c>
      <c r="K31" s="2"/>
      <c r="L31" s="6">
        <f t="shared" si="14"/>
        <v>-53.117715138460198</v>
      </c>
      <c r="M31" s="2"/>
      <c r="N31" s="7">
        <f t="shared" si="15"/>
        <v>-4.1810891328572013E-2</v>
      </c>
      <c r="O31" s="11"/>
      <c r="P31" s="6">
        <v>2434.62</v>
      </c>
      <c r="Q31" s="2"/>
      <c r="R31" s="7">
        <f t="shared" si="16"/>
        <v>4.9840203948058525E-3</v>
      </c>
      <c r="S31" s="2"/>
      <c r="T31" s="6">
        <v>2858.4623590615402</v>
      </c>
      <c r="U31" s="2"/>
      <c r="V31" s="7">
        <f t="shared" si="17"/>
        <v>5.763028949720847E-3</v>
      </c>
      <c r="W31" s="2"/>
      <c r="X31" s="6">
        <f t="shared" si="18"/>
        <v>-423.84235906154026</v>
      </c>
      <c r="Y31" s="2"/>
      <c r="Z31" s="7">
        <f t="shared" si="19"/>
        <v>-0.148276347847621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277.64</v>
      </c>
      <c r="E33" s="2"/>
      <c r="F33" s="7">
        <f t="shared" si="12"/>
        <v>1.1473412832849433E-3</v>
      </c>
      <c r="G33" s="2"/>
      <c r="H33" s="6"/>
      <c r="I33" s="2"/>
      <c r="J33" s="7">
        <f t="shared" si="13"/>
        <v>0</v>
      </c>
      <c r="K33" s="2"/>
      <c r="L33" s="6">
        <f t="shared" si="14"/>
        <v>277.64</v>
      </c>
      <c r="M33" s="2"/>
      <c r="N33" s="7">
        <f t="shared" si="15"/>
        <v>0</v>
      </c>
      <c r="O33" s="11"/>
      <c r="P33" s="6">
        <v>724.47</v>
      </c>
      <c r="Q33" s="2"/>
      <c r="R33" s="7">
        <f t="shared" si="16"/>
        <v>1.4830952080509469E-3</v>
      </c>
      <c r="S33" s="2"/>
      <c r="T33" s="6"/>
      <c r="U33" s="2"/>
      <c r="V33" s="7">
        <f t="shared" si="17"/>
        <v>0</v>
      </c>
      <c r="W33" s="2"/>
      <c r="X33" s="6">
        <f t="shared" si="18"/>
        <v>724.47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2063.85</v>
      </c>
      <c r="E34" s="2"/>
      <c r="F34" s="7">
        <f t="shared" si="12"/>
        <v>8.5288153994656033E-3</v>
      </c>
      <c r="G34" s="2"/>
      <c r="H34" s="6">
        <v>1293.5404587692301</v>
      </c>
      <c r="I34" s="2"/>
      <c r="J34" s="7">
        <f t="shared" si="13"/>
        <v>5.8797293580419548E-3</v>
      </c>
      <c r="K34" s="2"/>
      <c r="L34" s="6">
        <f t="shared" si="14"/>
        <v>770.30954123076981</v>
      </c>
      <c r="M34" s="2"/>
      <c r="N34" s="7">
        <f t="shared" si="15"/>
        <v>0.59550479152673674</v>
      </c>
      <c r="O34" s="11"/>
      <c r="P34" s="6">
        <v>5647.67</v>
      </c>
      <c r="Q34" s="2"/>
      <c r="R34" s="7">
        <f t="shared" si="16"/>
        <v>1.1561599947069017E-2</v>
      </c>
      <c r="S34" s="2"/>
      <c r="T34" s="6">
        <v>2910.46603223077</v>
      </c>
      <c r="U34" s="2"/>
      <c r="V34" s="7">
        <f t="shared" si="17"/>
        <v>5.8678750649813908E-3</v>
      </c>
      <c r="W34" s="2"/>
      <c r="X34" s="6">
        <f t="shared" si="18"/>
        <v>2737.2039677692301</v>
      </c>
      <c r="Y34" s="2"/>
      <c r="Z34" s="7">
        <f t="shared" si="19"/>
        <v>0.94046930541610185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1378.78</v>
      </c>
      <c r="E35" s="2"/>
      <c r="F35" s="7">
        <f t="shared" si="12"/>
        <v>5.6977784705648108E-3</v>
      </c>
      <c r="G35" s="2"/>
      <c r="H35" s="6">
        <v>1916.0764587692299</v>
      </c>
      <c r="I35" s="2"/>
      <c r="J35" s="7">
        <f t="shared" si="13"/>
        <v>8.7094384489510446E-3</v>
      </c>
      <c r="K35" s="2"/>
      <c r="L35" s="6">
        <f t="shared" si="14"/>
        <v>-537.29645876922996</v>
      </c>
      <c r="M35" s="2"/>
      <c r="N35" s="7">
        <f t="shared" si="15"/>
        <v>-0.2804149366327251</v>
      </c>
      <c r="O35" s="11"/>
      <c r="P35" s="6">
        <v>7502.48</v>
      </c>
      <c r="Q35" s="2"/>
      <c r="R35" s="7">
        <f t="shared" si="16"/>
        <v>1.5358665143481534E-2</v>
      </c>
      <c r="S35" s="2"/>
      <c r="T35" s="6">
        <v>4557.8620322307706</v>
      </c>
      <c r="U35" s="2"/>
      <c r="V35" s="7">
        <f t="shared" si="17"/>
        <v>9.1892379682071996E-3</v>
      </c>
      <c r="W35" s="2"/>
      <c r="X35" s="6">
        <f t="shared" si="18"/>
        <v>2944.6179677692289</v>
      </c>
      <c r="Y35" s="2"/>
      <c r="Z35" s="7">
        <f t="shared" si="19"/>
        <v>0.64605245769759168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756.07</v>
      </c>
      <c r="E36" s="2"/>
      <c r="F36" s="7">
        <f t="shared" si="12"/>
        <v>3.1244428902652615E-3</v>
      </c>
      <c r="G36" s="2"/>
      <c r="H36" s="6"/>
      <c r="I36" s="2"/>
      <c r="J36" s="7">
        <f t="shared" si="13"/>
        <v>0</v>
      </c>
      <c r="K36" s="2"/>
      <c r="L36" s="6">
        <f t="shared" si="14"/>
        <v>756.07</v>
      </c>
      <c r="M36" s="2"/>
      <c r="N36" s="7">
        <f t="shared" si="15"/>
        <v>0</v>
      </c>
      <c r="O36" s="11"/>
      <c r="P36" s="6">
        <v>1320.56</v>
      </c>
      <c r="Q36" s="2"/>
      <c r="R36" s="7">
        <f t="shared" si="16"/>
        <v>2.703377928615068E-3</v>
      </c>
      <c r="S36" s="2"/>
      <c r="T36" s="6"/>
      <c r="U36" s="2"/>
      <c r="V36" s="7">
        <f t="shared" si="17"/>
        <v>0</v>
      </c>
      <c r="W36" s="2"/>
      <c r="X36" s="6">
        <f t="shared" si="18"/>
        <v>1320.56</v>
      </c>
      <c r="Y36" s="2"/>
      <c r="Z36" s="7">
        <f t="shared" si="19"/>
        <v>0</v>
      </c>
    </row>
    <row r="37" spans="1:26" s="26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65384.34</v>
      </c>
      <c r="E37" s="1"/>
      <c r="F37" s="5">
        <f t="shared" ref="F37:F47" si="20">IF(D$12=0,0,D37/D$12)</f>
        <v>0.27019936811100365</v>
      </c>
      <c r="G37" s="1"/>
      <c r="H37" s="1">
        <f>SUM(OSRRefH22_1x_0)</f>
        <v>68793.718374769203</v>
      </c>
      <c r="I37" s="1"/>
      <c r="J37" s="5">
        <f t="shared" ref="J37:J47" si="21">IF(H$12=0,0,H37/H$12)</f>
        <v>0.31269871988531456</v>
      </c>
      <c r="K37" s="1"/>
      <c r="L37" s="1">
        <f t="shared" ref="L37:L47" si="22">+D37-H37</f>
        <v>-3409.3783747692069</v>
      </c>
      <c r="M37" s="1"/>
      <c r="N37" s="5">
        <f t="shared" ref="N37:N47" si="23">IF(H37=0,0,L37/H37)</f>
        <v>-4.9559443148513266E-2</v>
      </c>
      <c r="O37" s="13"/>
      <c r="P37" s="1">
        <f>SUM(OSRRefP22_1x_0)</f>
        <v>142272.81</v>
      </c>
      <c r="Q37" s="1"/>
      <c r="R37" s="5">
        <f t="shared" ref="R37:R47" si="24">IF(P$12=0,0,P37/P$12)</f>
        <v>0.29125308535473216</v>
      </c>
      <c r="S37" s="1"/>
      <c r="T37" s="1">
        <f>SUM(OSRRefT22_1x_0)</f>
        <v>163008.86634323071</v>
      </c>
      <c r="U37" s="1"/>
      <c r="V37" s="5">
        <f t="shared" ref="V37:V47" si="25">IF(T$12=0,0,T37/T$12)</f>
        <v>0.32864690795006191</v>
      </c>
      <c r="W37" s="1"/>
      <c r="X37" s="1">
        <f t="shared" ref="X37:X47" si="26">+P37-T37</f>
        <v>-20736.05634323071</v>
      </c>
      <c r="Y37" s="1"/>
      <c r="Z37" s="5">
        <f t="shared" ref="Z37:Z47" si="27">IF(T37=0,0,X37/T37)</f>
        <v>-0.12720815013564335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14032.77</v>
      </c>
      <c r="E39" s="2"/>
      <c r="F39" s="7">
        <f t="shared" si="20"/>
        <v>5.7990117921922109E-2</v>
      </c>
      <c r="G39" s="2"/>
      <c r="H39" s="6">
        <v>13886.0703747692</v>
      </c>
      <c r="I39" s="2"/>
      <c r="J39" s="7">
        <f t="shared" si="21"/>
        <v>6.3118501703496366E-2</v>
      </c>
      <c r="K39" s="2"/>
      <c r="L39" s="6">
        <f t="shared" si="22"/>
        <v>146.69962523079994</v>
      </c>
      <c r="M39" s="2"/>
      <c r="N39" s="7">
        <f t="shared" si="23"/>
        <v>1.0564516905902417E-2</v>
      </c>
      <c r="O39" s="11"/>
      <c r="P39" s="6">
        <v>29900.05</v>
      </c>
      <c r="Q39" s="2"/>
      <c r="R39" s="7">
        <f t="shared" si="24"/>
        <v>6.1209740742175257E-2</v>
      </c>
      <c r="S39" s="2"/>
      <c r="T39" s="6">
        <v>31243.658343230702</v>
      </c>
      <c r="U39" s="2"/>
      <c r="V39" s="7">
        <f t="shared" si="25"/>
        <v>6.2991246659739319E-2</v>
      </c>
      <c r="W39" s="2"/>
      <c r="X39" s="6">
        <f t="shared" si="26"/>
        <v>-1343.6083432307023</v>
      </c>
      <c r="Y39" s="2"/>
      <c r="Z39" s="7">
        <f t="shared" si="27"/>
        <v>-4.30041939541888E-2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10702.98</v>
      </c>
      <c r="E41" s="2"/>
      <c r="F41" s="7">
        <f t="shared" si="20"/>
        <v>4.4229832906544746E-2</v>
      </c>
      <c r="G41" s="2"/>
      <c r="H41" s="6">
        <v>41407.648000000001</v>
      </c>
      <c r="I41" s="2"/>
      <c r="J41" s="7">
        <f t="shared" si="21"/>
        <v>0.18821658181818182</v>
      </c>
      <c r="K41" s="2"/>
      <c r="L41" s="6">
        <f t="shared" si="22"/>
        <v>-30704.668000000001</v>
      </c>
      <c r="M41" s="2"/>
      <c r="N41" s="7">
        <f t="shared" si="23"/>
        <v>-0.74152166285803045</v>
      </c>
      <c r="O41" s="11"/>
      <c r="P41" s="6">
        <v>24170.2</v>
      </c>
      <c r="Q41" s="2"/>
      <c r="R41" s="7">
        <f t="shared" si="24"/>
        <v>4.9479906411077058E-2</v>
      </c>
      <c r="S41" s="2"/>
      <c r="T41" s="6">
        <v>84515.207999999999</v>
      </c>
      <c r="U41" s="2"/>
      <c r="V41" s="7">
        <f t="shared" si="25"/>
        <v>0.17039356451612903</v>
      </c>
      <c r="W41" s="2"/>
      <c r="X41" s="6">
        <f t="shared" si="26"/>
        <v>-60345.008000000002</v>
      </c>
      <c r="Y41" s="2"/>
      <c r="Z41" s="7">
        <f t="shared" si="27"/>
        <v>-0.71401360096043309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11622.4</v>
      </c>
      <c r="E42" s="2"/>
      <c r="F42" s="7">
        <f t="shared" si="20"/>
        <v>4.8029316131864737E-2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11622.4</v>
      </c>
      <c r="M42" s="2"/>
      <c r="N42" s="7">
        <f t="shared" si="23"/>
        <v>0</v>
      </c>
      <c r="O42" s="11"/>
      <c r="P42" s="6">
        <v>25273.73</v>
      </c>
      <c r="Q42" s="2"/>
      <c r="R42" s="7">
        <f t="shared" si="24"/>
        <v>5.1738992439401846E-2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25273.73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>
        <v>2305.5</v>
      </c>
      <c r="E43" s="2"/>
      <c r="F43" s="7">
        <f t="shared" si="20"/>
        <v>9.5274287876870659E-3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2305.5</v>
      </c>
      <c r="M43" s="2"/>
      <c r="N43" s="7">
        <f t="shared" si="23"/>
        <v>0</v>
      </c>
      <c r="O43" s="11"/>
      <c r="P43" s="6">
        <v>5567.07</v>
      </c>
      <c r="Q43" s="2"/>
      <c r="R43" s="7">
        <f t="shared" si="24"/>
        <v>1.1396600052292274E-2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5567.07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>
        <v>25328.69</v>
      </c>
      <c r="E44" s="2"/>
      <c r="F44" s="7">
        <f t="shared" si="20"/>
        <v>0.10467026252890978</v>
      </c>
      <c r="G44" s="2"/>
      <c r="H44" s="6">
        <v>13500</v>
      </c>
      <c r="I44" s="2"/>
      <c r="J44" s="7">
        <f t="shared" si="21"/>
        <v>6.1363636363636363E-2</v>
      </c>
      <c r="K44" s="2"/>
      <c r="L44" s="6">
        <f t="shared" si="22"/>
        <v>11828.689999999999</v>
      </c>
      <c r="M44" s="2"/>
      <c r="N44" s="7">
        <f t="shared" si="23"/>
        <v>0.87619925925925912</v>
      </c>
      <c r="O44" s="11"/>
      <c r="P44" s="6">
        <v>53878.76</v>
      </c>
      <c r="Q44" s="2"/>
      <c r="R44" s="7">
        <f t="shared" si="24"/>
        <v>0.11029763933872629</v>
      </c>
      <c r="S44" s="2"/>
      <c r="T44" s="6">
        <v>47250</v>
      </c>
      <c r="U44" s="2"/>
      <c r="V44" s="7">
        <f t="shared" si="25"/>
        <v>9.5262096774193547E-2</v>
      </c>
      <c r="W44" s="2"/>
      <c r="X44" s="6">
        <f t="shared" si="26"/>
        <v>6628.760000000002</v>
      </c>
      <c r="Y44" s="2"/>
      <c r="Z44" s="7">
        <f t="shared" si="27"/>
        <v>0.14029121693121696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1392</v>
      </c>
      <c r="E45" s="2"/>
      <c r="F45" s="7">
        <f t="shared" si="20"/>
        <v>5.7524098340752091E-3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1392</v>
      </c>
      <c r="M45" s="2"/>
      <c r="N45" s="7">
        <f t="shared" si="23"/>
        <v>0</v>
      </c>
      <c r="O45" s="11"/>
      <c r="P45" s="6">
        <v>3483</v>
      </c>
      <c r="Q45" s="2"/>
      <c r="R45" s="7">
        <f t="shared" si="24"/>
        <v>7.130206371059461E-3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3483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6" customFormat="1" outlineLevel="1" collapsed="1" x14ac:dyDescent="0.25">
      <c r="A48" s="25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1572.55</v>
      </c>
      <c r="E48" s="1"/>
      <c r="F48" s="5">
        <f t="shared" ref="F48:F66" si="28">IF(D$12=0,0,D48/D$12)</f>
        <v>6.4985287963900649E-3</v>
      </c>
      <c r="G48" s="1"/>
      <c r="H48" s="1">
        <f>SUM(OSRRefH22_2x_0)</f>
        <v>550</v>
      </c>
      <c r="I48" s="1"/>
      <c r="J48" s="5">
        <f t="shared" ref="J48:J66" si="29">IF(H$12=0,0,H48/H$12)</f>
        <v>2.5000000000000001E-3</v>
      </c>
      <c r="K48" s="1"/>
      <c r="L48" s="1">
        <f t="shared" ref="L48:L66" si="30">+D48-H48</f>
        <v>1022.55</v>
      </c>
      <c r="M48" s="1"/>
      <c r="N48" s="5">
        <f t="shared" ref="N48:N66" si="31">IF(H48=0,0,L48/H48)</f>
        <v>1.859181818181818</v>
      </c>
      <c r="O48" s="13"/>
      <c r="P48" s="1">
        <f>SUM(OSRRefP22_2x_0)</f>
        <v>1995.24</v>
      </c>
      <c r="Q48" s="1"/>
      <c r="R48" s="5">
        <f t="shared" ref="R48:R66" si="32">IF(P$12=0,0,P48/P$12)</f>
        <v>4.0845457823119949E-3</v>
      </c>
      <c r="S48" s="1"/>
      <c r="T48" s="1">
        <f>SUM(OSRRefT22_2x_0)</f>
        <v>2050</v>
      </c>
      <c r="U48" s="1"/>
      <c r="V48" s="5">
        <f t="shared" ref="V48:V66" si="33">IF(T$12=0,0,T48/T$12)</f>
        <v>4.1330645161290324E-3</v>
      </c>
      <c r="W48" s="1"/>
      <c r="X48" s="1">
        <f t="shared" ref="X48:X66" si="34">+P48-T48</f>
        <v>-54.759999999999991</v>
      </c>
      <c r="Y48" s="1"/>
      <c r="Z48" s="5">
        <f t="shared" ref="Z48:Z66" si="35">IF(T48=0,0,X48/T48)</f>
        <v>-2.6712195121951214E-2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1572.55</v>
      </c>
      <c r="E49" s="2"/>
      <c r="F49" s="7">
        <f t="shared" si="28"/>
        <v>6.4985287963900649E-3</v>
      </c>
      <c r="G49" s="2"/>
      <c r="H49" s="6">
        <v>550</v>
      </c>
      <c r="I49" s="2"/>
      <c r="J49" s="7">
        <f t="shared" si="29"/>
        <v>2.5000000000000001E-3</v>
      </c>
      <c r="K49" s="2"/>
      <c r="L49" s="6">
        <f t="shared" si="30"/>
        <v>1022.55</v>
      </c>
      <c r="M49" s="2"/>
      <c r="N49" s="7">
        <f t="shared" si="31"/>
        <v>1.859181818181818</v>
      </c>
      <c r="O49" s="11"/>
      <c r="P49" s="6">
        <v>1995.24</v>
      </c>
      <c r="Q49" s="2"/>
      <c r="R49" s="7">
        <f t="shared" si="32"/>
        <v>4.0845457823119949E-3</v>
      </c>
      <c r="S49" s="2"/>
      <c r="T49" s="6">
        <v>2050</v>
      </c>
      <c r="U49" s="2"/>
      <c r="V49" s="7">
        <f t="shared" si="33"/>
        <v>4.1330645161290324E-3</v>
      </c>
      <c r="W49" s="2"/>
      <c r="X49" s="6">
        <f t="shared" si="34"/>
        <v>-54.759999999999991</v>
      </c>
      <c r="Y49" s="2"/>
      <c r="Z49" s="7">
        <f t="shared" si="35"/>
        <v>-2.6712195121951214E-2</v>
      </c>
    </row>
    <row r="50" spans="1:26" s="26" customFormat="1" outlineLevel="1" collapsed="1" x14ac:dyDescent="0.25">
      <c r="A50" s="25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12</v>
      </c>
      <c r="I50" s="1"/>
      <c r="J50" s="5">
        <f t="shared" si="29"/>
        <v>5.4545454545454546E-5</v>
      </c>
      <c r="K50" s="1"/>
      <c r="L50" s="1">
        <f t="shared" si="30"/>
        <v>-12</v>
      </c>
      <c r="M50" s="1"/>
      <c r="N50" s="5">
        <f t="shared" si="31"/>
        <v>-1</v>
      </c>
      <c r="O50" s="13"/>
      <c r="P50" s="1">
        <f>SUM(OSRRefP22_3x_0)</f>
        <v>-0.1</v>
      </c>
      <c r="Q50" s="1"/>
      <c r="R50" s="5">
        <f t="shared" si="32"/>
        <v>-2.0471450964856334E-7</v>
      </c>
      <c r="S50" s="1"/>
      <c r="T50" s="1">
        <f>SUM(OSRRefT22_3x_0)</f>
        <v>22</v>
      </c>
      <c r="U50" s="1"/>
      <c r="V50" s="5">
        <f t="shared" si="33"/>
        <v>4.4354838709677422E-5</v>
      </c>
      <c r="W50" s="1"/>
      <c r="X50" s="1">
        <f t="shared" si="34"/>
        <v>-22.1</v>
      </c>
      <c r="Y50" s="1"/>
      <c r="Z50" s="5">
        <f t="shared" si="35"/>
        <v>-1.0045454545454546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12</v>
      </c>
      <c r="I51" s="2"/>
      <c r="J51" s="7">
        <f t="shared" si="29"/>
        <v>5.4545454545454546E-5</v>
      </c>
      <c r="K51" s="2"/>
      <c r="L51" s="6">
        <f t="shared" si="30"/>
        <v>-12</v>
      </c>
      <c r="M51" s="2"/>
      <c r="N51" s="7">
        <f t="shared" si="31"/>
        <v>-1</v>
      </c>
      <c r="O51" s="11"/>
      <c r="P51" s="6">
        <v>-0.1</v>
      </c>
      <c r="Q51" s="2"/>
      <c r="R51" s="7">
        <f t="shared" si="32"/>
        <v>-2.0471450964856334E-7</v>
      </c>
      <c r="S51" s="2"/>
      <c r="T51" s="6">
        <v>22</v>
      </c>
      <c r="U51" s="2"/>
      <c r="V51" s="7">
        <f t="shared" si="33"/>
        <v>4.4354838709677422E-5</v>
      </c>
      <c r="W51" s="2"/>
      <c r="X51" s="6">
        <f t="shared" si="34"/>
        <v>-22.1</v>
      </c>
      <c r="Y51" s="2"/>
      <c r="Z51" s="7">
        <f t="shared" si="35"/>
        <v>-1.0045454545454546</v>
      </c>
    </row>
    <row r="52" spans="1:26" s="26" customFormat="1" outlineLevel="1" collapsed="1" x14ac:dyDescent="0.25">
      <c r="A52" s="25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99.3</v>
      </c>
      <c r="E52" s="1"/>
      <c r="F52" s="5">
        <f t="shared" si="28"/>
        <v>4.1035509807734789E-4</v>
      </c>
      <c r="G52" s="1"/>
      <c r="H52" s="1">
        <f>SUM(OSRRefH22_4x_0)</f>
        <v>225</v>
      </c>
      <c r="I52" s="1"/>
      <c r="J52" s="5">
        <f t="shared" si="29"/>
        <v>1.0227272727272728E-3</v>
      </c>
      <c r="K52" s="1"/>
      <c r="L52" s="1">
        <f t="shared" si="30"/>
        <v>-125.7</v>
      </c>
      <c r="M52" s="1"/>
      <c r="N52" s="5">
        <f t="shared" si="31"/>
        <v>-0.55866666666666664</v>
      </c>
      <c r="O52" s="13"/>
      <c r="P52" s="1">
        <f>SUM(OSRRefP22_4x_0)</f>
        <v>177.93</v>
      </c>
      <c r="Q52" s="1"/>
      <c r="R52" s="5">
        <f t="shared" si="32"/>
        <v>3.6424852701768878E-4</v>
      </c>
      <c r="S52" s="1"/>
      <c r="T52" s="1">
        <f>SUM(OSRRefT22_4x_0)</f>
        <v>450</v>
      </c>
      <c r="U52" s="1"/>
      <c r="V52" s="5">
        <f t="shared" si="33"/>
        <v>9.0725806451612907E-4</v>
      </c>
      <c r="W52" s="1"/>
      <c r="X52" s="1">
        <f t="shared" si="34"/>
        <v>-272.07</v>
      </c>
      <c r="Y52" s="1"/>
      <c r="Z52" s="5">
        <f t="shared" si="35"/>
        <v>-0.60460000000000003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99.3</v>
      </c>
      <c r="E53" s="2"/>
      <c r="F53" s="7">
        <f t="shared" si="28"/>
        <v>4.1035509807734789E-4</v>
      </c>
      <c r="G53" s="2"/>
      <c r="H53" s="6">
        <v>225</v>
      </c>
      <c r="I53" s="2"/>
      <c r="J53" s="7">
        <f t="shared" si="29"/>
        <v>1.0227272727272728E-3</v>
      </c>
      <c r="K53" s="2"/>
      <c r="L53" s="6">
        <f t="shared" si="30"/>
        <v>-125.7</v>
      </c>
      <c r="M53" s="2"/>
      <c r="N53" s="7">
        <f t="shared" si="31"/>
        <v>-0.55866666666666664</v>
      </c>
      <c r="O53" s="11"/>
      <c r="P53" s="6">
        <v>177.93</v>
      </c>
      <c r="Q53" s="2"/>
      <c r="R53" s="7">
        <f t="shared" si="32"/>
        <v>3.6424852701768878E-4</v>
      </c>
      <c r="S53" s="2"/>
      <c r="T53" s="6">
        <v>450</v>
      </c>
      <c r="U53" s="2"/>
      <c r="V53" s="7">
        <f t="shared" si="33"/>
        <v>9.0725806451612907E-4</v>
      </c>
      <c r="W53" s="2"/>
      <c r="X53" s="6">
        <f t="shared" si="34"/>
        <v>-272.07</v>
      </c>
      <c r="Y53" s="2"/>
      <c r="Z53" s="7">
        <f t="shared" si="35"/>
        <v>-0.60460000000000003</v>
      </c>
    </row>
    <row r="54" spans="1:26" s="26" customFormat="1" outlineLevel="1" collapsed="1" x14ac:dyDescent="0.25">
      <c r="A54" s="25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3896.02</v>
      </c>
      <c r="E54" s="1"/>
      <c r="F54" s="5">
        <f t="shared" si="28"/>
        <v>1.6100218219650644E-2</v>
      </c>
      <c r="G54" s="1"/>
      <c r="H54" s="1">
        <f>SUM(OSRRefH22_5x_0)</f>
        <v>5000</v>
      </c>
      <c r="I54" s="1"/>
      <c r="J54" s="5">
        <f t="shared" si="29"/>
        <v>2.2727272727272728E-2</v>
      </c>
      <c r="K54" s="1"/>
      <c r="L54" s="1">
        <f t="shared" si="30"/>
        <v>-1103.98</v>
      </c>
      <c r="M54" s="1"/>
      <c r="N54" s="5">
        <f t="shared" si="31"/>
        <v>-0.22079599999999999</v>
      </c>
      <c r="O54" s="13"/>
      <c r="P54" s="1">
        <f>SUM(OSRRefP22_5x_0)</f>
        <v>3896.02</v>
      </c>
      <c r="Q54" s="1"/>
      <c r="R54" s="5">
        <f t="shared" si="32"/>
        <v>7.9757182388099576E-3</v>
      </c>
      <c r="S54" s="1"/>
      <c r="T54" s="1">
        <f>SUM(OSRRefT22_5x_0)</f>
        <v>5000</v>
      </c>
      <c r="U54" s="1"/>
      <c r="V54" s="5">
        <f t="shared" si="33"/>
        <v>1.0080645161290322E-2</v>
      </c>
      <c r="W54" s="1"/>
      <c r="X54" s="1">
        <f t="shared" si="34"/>
        <v>-1103.98</v>
      </c>
      <c r="Y54" s="1"/>
      <c r="Z54" s="5">
        <f t="shared" si="35"/>
        <v>-0.22079599999999999</v>
      </c>
    </row>
    <row r="55" spans="1:26" s="24" customFormat="1" hidden="1" outlineLevel="2" x14ac:dyDescent="0.25">
      <c r="A55" s="27"/>
      <c r="B55" s="11" t="str">
        <f>CONCATENATE("          ", "6399", " - ", "DONATION-ON CAMPUS")</f>
        <v xml:space="preserve">          6399 - DONATION-ON CAMPUS</v>
      </c>
      <c r="C55" s="11"/>
      <c r="D55" s="6">
        <v>3896.02</v>
      </c>
      <c r="E55" s="2"/>
      <c r="F55" s="7">
        <f t="shared" si="28"/>
        <v>1.6100218219650644E-2</v>
      </c>
      <c r="G55" s="2"/>
      <c r="H55" s="6">
        <v>5000</v>
      </c>
      <c r="I55" s="2"/>
      <c r="J55" s="7">
        <f t="shared" si="29"/>
        <v>2.2727272727272728E-2</v>
      </c>
      <c r="K55" s="2"/>
      <c r="L55" s="6">
        <f t="shared" si="30"/>
        <v>-1103.98</v>
      </c>
      <c r="M55" s="2"/>
      <c r="N55" s="7">
        <f t="shared" si="31"/>
        <v>-0.22079599999999999</v>
      </c>
      <c r="O55" s="11"/>
      <c r="P55" s="6">
        <v>3896.02</v>
      </c>
      <c r="Q55" s="2"/>
      <c r="R55" s="7">
        <f t="shared" si="32"/>
        <v>7.9757182388099576E-3</v>
      </c>
      <c r="S55" s="2"/>
      <c r="T55" s="6">
        <v>5000</v>
      </c>
      <c r="U55" s="2"/>
      <c r="V55" s="7">
        <f t="shared" si="33"/>
        <v>1.0080645161290322E-2</v>
      </c>
      <c r="W55" s="2"/>
      <c r="X55" s="6">
        <f t="shared" si="34"/>
        <v>-1103.98</v>
      </c>
      <c r="Y55" s="2"/>
      <c r="Z55" s="7">
        <f t="shared" si="35"/>
        <v>-0.22079599999999999</v>
      </c>
    </row>
    <row r="56" spans="1:26" s="26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si="28"/>
        <v>0</v>
      </c>
      <c r="G56" s="1"/>
      <c r="H56" s="1">
        <f>SUM(OSRRefH22_6x_0)</f>
        <v>160</v>
      </c>
      <c r="I56" s="1"/>
      <c r="J56" s="5">
        <f t="shared" si="29"/>
        <v>7.2727272727272723E-4</v>
      </c>
      <c r="K56" s="1"/>
      <c r="L56" s="1">
        <f t="shared" si="30"/>
        <v>-160</v>
      </c>
      <c r="M56" s="1"/>
      <c r="N56" s="5">
        <f t="shared" si="31"/>
        <v>-1</v>
      </c>
      <c r="O56" s="13"/>
      <c r="P56" s="1">
        <f>SUM(OSRRefP22_6x_0)</f>
        <v>0</v>
      </c>
      <c r="Q56" s="1"/>
      <c r="R56" s="5">
        <f t="shared" si="32"/>
        <v>0</v>
      </c>
      <c r="S56" s="1"/>
      <c r="T56" s="1">
        <f>SUM(OSRRefT22_6x_0)</f>
        <v>310</v>
      </c>
      <c r="U56" s="1"/>
      <c r="V56" s="5">
        <f t="shared" si="33"/>
        <v>6.2500000000000001E-4</v>
      </c>
      <c r="W56" s="1"/>
      <c r="X56" s="1">
        <f t="shared" si="34"/>
        <v>-310</v>
      </c>
      <c r="Y56" s="1"/>
      <c r="Z56" s="5">
        <f t="shared" si="35"/>
        <v>-1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28"/>
        <v>0</v>
      </c>
      <c r="G57" s="2"/>
      <c r="H57" s="6">
        <v>160</v>
      </c>
      <c r="I57" s="2"/>
      <c r="J57" s="7">
        <f t="shared" si="29"/>
        <v>7.2727272727272723E-4</v>
      </c>
      <c r="K57" s="2"/>
      <c r="L57" s="6">
        <f t="shared" si="30"/>
        <v>-160</v>
      </c>
      <c r="M57" s="2"/>
      <c r="N57" s="7">
        <f t="shared" si="31"/>
        <v>-1</v>
      </c>
      <c r="O57" s="11"/>
      <c r="P57" s="6"/>
      <c r="Q57" s="2"/>
      <c r="R57" s="7">
        <f t="shared" si="32"/>
        <v>0</v>
      </c>
      <c r="S57" s="2"/>
      <c r="T57" s="6">
        <v>310</v>
      </c>
      <c r="U57" s="2"/>
      <c r="V57" s="7">
        <f t="shared" si="33"/>
        <v>6.2500000000000001E-4</v>
      </c>
      <c r="W57" s="2"/>
      <c r="X57" s="6">
        <f t="shared" si="34"/>
        <v>-310</v>
      </c>
      <c r="Y57" s="2"/>
      <c r="Z57" s="7">
        <f t="shared" si="35"/>
        <v>-1</v>
      </c>
    </row>
    <row r="58" spans="1:26" s="26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816.38</v>
      </c>
      <c r="E58" s="1"/>
      <c r="F58" s="5">
        <f t="shared" si="28"/>
        <v>3.3736726582918961E-3</v>
      </c>
      <c r="G58" s="1"/>
      <c r="H58" s="1">
        <f>SUM(OSRRefH22_7x_0)</f>
        <v>600</v>
      </c>
      <c r="I58" s="1"/>
      <c r="J58" s="5">
        <f t="shared" si="29"/>
        <v>2.7272727272727275E-3</v>
      </c>
      <c r="K58" s="1"/>
      <c r="L58" s="1">
        <f t="shared" si="30"/>
        <v>216.38</v>
      </c>
      <c r="M58" s="1"/>
      <c r="N58" s="5">
        <f t="shared" si="31"/>
        <v>0.36063333333333331</v>
      </c>
      <c r="O58" s="13"/>
      <c r="P58" s="1">
        <f>SUM(OSRRefP22_7x_0)</f>
        <v>900.16</v>
      </c>
      <c r="Q58" s="1"/>
      <c r="R58" s="5">
        <f t="shared" si="32"/>
        <v>1.8427581300525077E-3</v>
      </c>
      <c r="S58" s="1"/>
      <c r="T58" s="1">
        <f>SUM(OSRRefT22_7x_0)</f>
        <v>1000</v>
      </c>
      <c r="U58" s="1"/>
      <c r="V58" s="5">
        <f t="shared" si="33"/>
        <v>2.0161290322580645E-3</v>
      </c>
      <c r="W58" s="1"/>
      <c r="X58" s="1">
        <f t="shared" si="34"/>
        <v>-99.840000000000032</v>
      </c>
      <c r="Y58" s="1"/>
      <c r="Z58" s="5">
        <f t="shared" si="35"/>
        <v>-9.9840000000000026E-2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816.38</v>
      </c>
      <c r="E59" s="2"/>
      <c r="F59" s="7">
        <f t="shared" si="28"/>
        <v>3.3736726582918961E-3</v>
      </c>
      <c r="G59" s="2"/>
      <c r="H59" s="6">
        <v>600</v>
      </c>
      <c r="I59" s="2"/>
      <c r="J59" s="7">
        <f t="shared" si="29"/>
        <v>2.7272727272727275E-3</v>
      </c>
      <c r="K59" s="2"/>
      <c r="L59" s="6">
        <f t="shared" si="30"/>
        <v>216.38</v>
      </c>
      <c r="M59" s="2"/>
      <c r="N59" s="7">
        <f t="shared" si="31"/>
        <v>0.36063333333333331</v>
      </c>
      <c r="O59" s="11"/>
      <c r="P59" s="6">
        <v>900.16</v>
      </c>
      <c r="Q59" s="2"/>
      <c r="R59" s="7">
        <f t="shared" si="32"/>
        <v>1.8427581300525077E-3</v>
      </c>
      <c r="S59" s="2"/>
      <c r="T59" s="6">
        <v>1000</v>
      </c>
      <c r="U59" s="2"/>
      <c r="V59" s="7">
        <f t="shared" si="33"/>
        <v>2.0161290322580645E-3</v>
      </c>
      <c r="W59" s="2"/>
      <c r="X59" s="6">
        <f t="shared" si="34"/>
        <v>-99.840000000000032</v>
      </c>
      <c r="Y59" s="2"/>
      <c r="Z59" s="7">
        <f t="shared" si="35"/>
        <v>-9.9840000000000026E-2</v>
      </c>
    </row>
    <row r="60" spans="1:26" s="26" customFormat="1" outlineLevel="1" collapsed="1" x14ac:dyDescent="0.25">
      <c r="A60" s="25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110</v>
      </c>
      <c r="E60" s="1"/>
      <c r="F60" s="5">
        <f t="shared" si="28"/>
        <v>4.5457261619847201E-4</v>
      </c>
      <c r="G60" s="1"/>
      <c r="H60" s="1">
        <f>SUM(OSRRefH22_8x_0)</f>
        <v>200</v>
      </c>
      <c r="I60" s="1"/>
      <c r="J60" s="5">
        <f t="shared" si="29"/>
        <v>9.0909090909090909E-4</v>
      </c>
      <c r="K60" s="1"/>
      <c r="L60" s="1">
        <f t="shared" si="30"/>
        <v>-90</v>
      </c>
      <c r="M60" s="1"/>
      <c r="N60" s="5">
        <f t="shared" si="31"/>
        <v>-0.45</v>
      </c>
      <c r="O60" s="13"/>
      <c r="P60" s="1">
        <f>SUM(OSRRefP22_8x_0)</f>
        <v>1499.55</v>
      </c>
      <c r="Q60" s="1"/>
      <c r="R60" s="5">
        <f t="shared" si="32"/>
        <v>3.0697964294350314E-3</v>
      </c>
      <c r="S60" s="1"/>
      <c r="T60" s="1">
        <f>SUM(OSRRefT22_8x_0)</f>
        <v>1750</v>
      </c>
      <c r="U60" s="1"/>
      <c r="V60" s="5">
        <f t="shared" si="33"/>
        <v>3.5282258064516128E-3</v>
      </c>
      <c r="W60" s="1"/>
      <c r="X60" s="1">
        <f t="shared" si="34"/>
        <v>-250.45000000000005</v>
      </c>
      <c r="Y60" s="1"/>
      <c r="Z60" s="5">
        <f t="shared" si="35"/>
        <v>-0.14311428571428575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>
        <v>110</v>
      </c>
      <c r="E61" s="2"/>
      <c r="F61" s="7">
        <f t="shared" si="28"/>
        <v>4.5457261619847201E-4</v>
      </c>
      <c r="G61" s="2"/>
      <c r="H61" s="6">
        <v>200</v>
      </c>
      <c r="I61" s="2"/>
      <c r="J61" s="7">
        <f t="shared" si="29"/>
        <v>9.0909090909090909E-4</v>
      </c>
      <c r="K61" s="2"/>
      <c r="L61" s="6">
        <f t="shared" si="30"/>
        <v>-90</v>
      </c>
      <c r="M61" s="2"/>
      <c r="N61" s="7">
        <f t="shared" si="31"/>
        <v>-0.45</v>
      </c>
      <c r="O61" s="11"/>
      <c r="P61" s="6">
        <v>1499.55</v>
      </c>
      <c r="Q61" s="2"/>
      <c r="R61" s="7">
        <f t="shared" si="32"/>
        <v>3.0697964294350314E-3</v>
      </c>
      <c r="S61" s="2"/>
      <c r="T61" s="6">
        <v>1750</v>
      </c>
      <c r="U61" s="2"/>
      <c r="V61" s="7">
        <f t="shared" si="33"/>
        <v>3.5282258064516128E-3</v>
      </c>
      <c r="W61" s="2"/>
      <c r="X61" s="6">
        <f t="shared" si="34"/>
        <v>-250.45000000000005</v>
      </c>
      <c r="Y61" s="2"/>
      <c r="Z61" s="7">
        <f t="shared" si="35"/>
        <v>-0.14311428571428575</v>
      </c>
    </row>
    <row r="62" spans="1:26" s="26" customFormat="1" outlineLevel="1" collapsed="1" x14ac:dyDescent="0.25">
      <c r="A62" s="25"/>
      <c r="B62" s="13" t="str">
        <f>CONCATENATE("     ","R/H Commissions                                   ")</f>
        <v xml:space="preserve">     R/H Commissions                                   </v>
      </c>
      <c r="C62" s="13"/>
      <c r="D62" s="1">
        <f>SUM(OSRRefD22_9x_0)</f>
        <v>11346.44</v>
      </c>
      <c r="E62" s="1"/>
      <c r="F62" s="5">
        <f t="shared" si="28"/>
        <v>4.6888917412172645E-2</v>
      </c>
      <c r="G62" s="1"/>
      <c r="H62" s="1">
        <f>SUM(OSRRefH22_9x_0)</f>
        <v>17600</v>
      </c>
      <c r="I62" s="1"/>
      <c r="J62" s="5">
        <f t="shared" si="29"/>
        <v>0.08</v>
      </c>
      <c r="K62" s="1"/>
      <c r="L62" s="1">
        <f t="shared" si="30"/>
        <v>-6253.5599999999995</v>
      </c>
      <c r="M62" s="1"/>
      <c r="N62" s="5">
        <f t="shared" si="31"/>
        <v>-0.35531590909090904</v>
      </c>
      <c r="O62" s="13"/>
      <c r="P62" s="1">
        <f>SUM(OSRRefP22_9x_0)</f>
        <v>30754.84</v>
      </c>
      <c r="Q62" s="1"/>
      <c r="R62" s="5">
        <f t="shared" si="32"/>
        <v>6.2959619899200223E-2</v>
      </c>
      <c r="S62" s="1"/>
      <c r="T62" s="1">
        <f>SUM(OSRRefT22_9x_0)</f>
        <v>39680</v>
      </c>
      <c r="U62" s="1"/>
      <c r="V62" s="5">
        <f t="shared" si="33"/>
        <v>0.08</v>
      </c>
      <c r="W62" s="1"/>
      <c r="X62" s="1">
        <f t="shared" si="34"/>
        <v>-8925.16</v>
      </c>
      <c r="Y62" s="1"/>
      <c r="Z62" s="5">
        <f t="shared" si="35"/>
        <v>-0.22492842741935484</v>
      </c>
    </row>
    <row r="63" spans="1:26" s="24" customFormat="1" hidden="1" outlineLevel="2" x14ac:dyDescent="0.25">
      <c r="A63" s="27"/>
      <c r="B63" s="11" t="str">
        <f>CONCATENATE("          ", "6387", " - ", "COMMISSION DUE HOUSING")</f>
        <v xml:space="preserve">          6387 - COMMISSION DUE HOUSING</v>
      </c>
      <c r="C63" s="11"/>
      <c r="D63" s="6">
        <v>11346.44</v>
      </c>
      <c r="E63" s="2"/>
      <c r="F63" s="7">
        <f t="shared" si="28"/>
        <v>4.6888917412172645E-2</v>
      </c>
      <c r="G63" s="2"/>
      <c r="H63" s="6">
        <v>17600</v>
      </c>
      <c r="I63" s="2"/>
      <c r="J63" s="7">
        <f t="shared" si="29"/>
        <v>0.08</v>
      </c>
      <c r="K63" s="2"/>
      <c r="L63" s="6">
        <f t="shared" si="30"/>
        <v>-6253.5599999999995</v>
      </c>
      <c r="M63" s="2"/>
      <c r="N63" s="7">
        <f t="shared" si="31"/>
        <v>-0.35531590909090904</v>
      </c>
      <c r="O63" s="11"/>
      <c r="P63" s="6">
        <v>30754.84</v>
      </c>
      <c r="Q63" s="2"/>
      <c r="R63" s="7">
        <f t="shared" si="32"/>
        <v>6.2959619899200223E-2</v>
      </c>
      <c r="S63" s="2"/>
      <c r="T63" s="6">
        <v>39680</v>
      </c>
      <c r="U63" s="2"/>
      <c r="V63" s="7">
        <f t="shared" si="33"/>
        <v>0.08</v>
      </c>
      <c r="W63" s="2"/>
      <c r="X63" s="6">
        <f t="shared" si="34"/>
        <v>-8925.16</v>
      </c>
      <c r="Y63" s="2"/>
      <c r="Z63" s="7">
        <f t="shared" si="35"/>
        <v>-0.22492842741935484</v>
      </c>
    </row>
    <row r="64" spans="1:26" s="26" customFormat="1" outlineLevel="1" collapsed="1" x14ac:dyDescent="0.25">
      <c r="A64" s="25"/>
      <c r="B64" s="13" t="str">
        <f>CONCATENATE("     ","Repair and Maintenance                            ")</f>
        <v xml:space="preserve">     Repair and Maintenance                            </v>
      </c>
      <c r="C64" s="13"/>
      <c r="D64" s="1">
        <f>SUM(OSRRefD22_10x_0)</f>
        <v>0</v>
      </c>
      <c r="E64" s="1"/>
      <c r="F64" s="5">
        <f t="shared" si="28"/>
        <v>0</v>
      </c>
      <c r="G64" s="1"/>
      <c r="H64" s="1">
        <f>SUM(OSRRefH22_10x_0)</f>
        <v>2050</v>
      </c>
      <c r="I64" s="1"/>
      <c r="J64" s="5">
        <f t="shared" si="29"/>
        <v>9.3181818181818175E-3</v>
      </c>
      <c r="K64" s="1"/>
      <c r="L64" s="1">
        <f t="shared" si="30"/>
        <v>-2050</v>
      </c>
      <c r="M64" s="1"/>
      <c r="N64" s="5">
        <f t="shared" si="31"/>
        <v>-1</v>
      </c>
      <c r="O64" s="13"/>
      <c r="P64" s="1">
        <f>SUM(OSRRefP22_10x_0)</f>
        <v>0</v>
      </c>
      <c r="Q64" s="1"/>
      <c r="R64" s="5">
        <f t="shared" si="32"/>
        <v>0</v>
      </c>
      <c r="S64" s="1"/>
      <c r="T64" s="1">
        <f>SUM(OSRRefT22_10x_0)</f>
        <v>2300</v>
      </c>
      <c r="U64" s="1"/>
      <c r="V64" s="5">
        <f t="shared" si="33"/>
        <v>4.6370967741935481E-3</v>
      </c>
      <c r="W64" s="1"/>
      <c r="X64" s="1">
        <f t="shared" si="34"/>
        <v>-2300</v>
      </c>
      <c r="Y64" s="1"/>
      <c r="Z64" s="5">
        <f t="shared" si="35"/>
        <v>-1</v>
      </c>
    </row>
    <row r="65" spans="1:26" s="24" customFormat="1" hidden="1" outlineLevel="2" x14ac:dyDescent="0.25">
      <c r="A65" s="27"/>
      <c r="B65" s="11" t="str">
        <f>CONCATENATE("          ", "6373", " - ", "MAINTENANCE CONTRACTS")</f>
        <v xml:space="preserve">          6373 - MAINTENANCE CONTRACTS</v>
      </c>
      <c r="C65" s="11"/>
      <c r="D65" s="6"/>
      <c r="E65" s="2"/>
      <c r="F65" s="7">
        <f t="shared" si="28"/>
        <v>0</v>
      </c>
      <c r="G65" s="2"/>
      <c r="H65" s="6">
        <v>1800</v>
      </c>
      <c r="I65" s="2"/>
      <c r="J65" s="7">
        <f t="shared" si="29"/>
        <v>8.1818181818181825E-3</v>
      </c>
      <c r="K65" s="2"/>
      <c r="L65" s="6">
        <f t="shared" si="30"/>
        <v>-1800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1800</v>
      </c>
      <c r="U65" s="2"/>
      <c r="V65" s="7">
        <f t="shared" si="33"/>
        <v>3.6290322580645163E-3</v>
      </c>
      <c r="W65" s="2"/>
      <c r="X65" s="6">
        <f t="shared" si="34"/>
        <v>-1800</v>
      </c>
      <c r="Y65" s="2"/>
      <c r="Z65" s="7">
        <f t="shared" si="35"/>
        <v>-1</v>
      </c>
    </row>
    <row r="66" spans="1:26" s="24" customFormat="1" hidden="1" outlineLevel="2" x14ac:dyDescent="0.25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6"/>
      <c r="E66" s="2"/>
      <c r="F66" s="7">
        <f t="shared" si="28"/>
        <v>0</v>
      </c>
      <c r="G66" s="2"/>
      <c r="H66" s="6">
        <v>250</v>
      </c>
      <c r="I66" s="2"/>
      <c r="J66" s="7">
        <f t="shared" si="29"/>
        <v>1.1363636363636363E-3</v>
      </c>
      <c r="K66" s="2"/>
      <c r="L66" s="6">
        <f t="shared" si="30"/>
        <v>-250</v>
      </c>
      <c r="M66" s="2"/>
      <c r="N66" s="7">
        <f t="shared" si="31"/>
        <v>-1</v>
      </c>
      <c r="O66" s="11"/>
      <c r="P66" s="6"/>
      <c r="Q66" s="2"/>
      <c r="R66" s="7">
        <f t="shared" si="32"/>
        <v>0</v>
      </c>
      <c r="S66" s="2"/>
      <c r="T66" s="6">
        <v>500</v>
      </c>
      <c r="U66" s="2"/>
      <c r="V66" s="7">
        <f t="shared" si="33"/>
        <v>1.0080645161290322E-3</v>
      </c>
      <c r="W66" s="2"/>
      <c r="X66" s="6">
        <f t="shared" si="34"/>
        <v>-500</v>
      </c>
      <c r="Y66" s="2"/>
      <c r="Z66" s="7">
        <f t="shared" si="35"/>
        <v>-1</v>
      </c>
    </row>
    <row r="67" spans="1:26" s="26" customFormat="1" outlineLevel="1" collapsed="1" x14ac:dyDescent="0.25">
      <c r="A67" s="25"/>
      <c r="B67" s="13" t="str">
        <f>CONCATENATE("     ","Services                                          ")</f>
        <v xml:space="preserve">     Services                                          </v>
      </c>
      <c r="C67" s="13"/>
      <c r="D67" s="1">
        <f>SUM(OSRRefD22_11x_0)</f>
        <v>6250.5899999999992</v>
      </c>
      <c r="E67" s="1"/>
      <c r="F67" s="5">
        <f t="shared" ref="F67:F71" si="36">IF(D$12=0,0,D67/D$12)</f>
        <v>2.5830427718945517E-2</v>
      </c>
      <c r="G67" s="1"/>
      <c r="H67" s="1">
        <f>SUM(OSRRefH22_11x_0)</f>
        <v>6490</v>
      </c>
      <c r="I67" s="1"/>
      <c r="J67" s="5">
        <f t="shared" ref="J67:J71" si="37">IF(H$12=0,0,H67/H$12)</f>
        <v>2.9499999999999998E-2</v>
      </c>
      <c r="K67" s="1"/>
      <c r="L67" s="1">
        <f t="shared" ref="L67:L71" si="38">+D67-H67</f>
        <v>-239.41000000000076</v>
      </c>
      <c r="M67" s="1"/>
      <c r="N67" s="5">
        <f t="shared" ref="N67:N71" si="39">IF(H67=0,0,L67/H67)</f>
        <v>-3.6889060092450042E-2</v>
      </c>
      <c r="O67" s="13"/>
      <c r="P67" s="1">
        <f>SUM(OSRRefP22_11x_0)</f>
        <v>12746.3</v>
      </c>
      <c r="Q67" s="1"/>
      <c r="R67" s="5">
        <f t="shared" ref="R67:R71" si="40">IF(P$12=0,0,P67/P$12)</f>
        <v>2.6093525543334828E-2</v>
      </c>
      <c r="S67" s="1"/>
      <c r="T67" s="1">
        <f>SUM(OSRRefT22_11x_0)</f>
        <v>12980</v>
      </c>
      <c r="U67" s="1"/>
      <c r="V67" s="5">
        <f t="shared" ref="V67:V71" si="41">IF(T$12=0,0,T67/T$12)</f>
        <v>2.6169354838709677E-2</v>
      </c>
      <c r="W67" s="1"/>
      <c r="X67" s="1">
        <f t="shared" ref="X67:X71" si="42">+P67-T67</f>
        <v>-233.70000000000073</v>
      </c>
      <c r="Y67" s="1"/>
      <c r="Z67" s="5">
        <f t="shared" ref="Z67:Z71" si="43">IF(T67=0,0,X67/T67)</f>
        <v>-1.8004622496147975E-2</v>
      </c>
    </row>
    <row r="68" spans="1:26" s="24" customFormat="1" hidden="1" outlineLevel="2" x14ac:dyDescent="0.25">
      <c r="A68" s="27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417.32</v>
      </c>
      <c r="E68" s="2"/>
      <c r="F68" s="7">
        <f t="shared" si="36"/>
        <v>1.7245658562904213E-3</v>
      </c>
      <c r="G68" s="2"/>
      <c r="H68" s="6">
        <v>450</v>
      </c>
      <c r="I68" s="2"/>
      <c r="J68" s="7">
        <f t="shared" si="37"/>
        <v>2.0454545454545456E-3</v>
      </c>
      <c r="K68" s="2"/>
      <c r="L68" s="6">
        <f t="shared" si="38"/>
        <v>-32.680000000000007</v>
      </c>
      <c r="M68" s="2"/>
      <c r="N68" s="7">
        <f t="shared" si="39"/>
        <v>-7.2622222222222241E-2</v>
      </c>
      <c r="O68" s="11"/>
      <c r="P68" s="6">
        <v>834.64</v>
      </c>
      <c r="Q68" s="2"/>
      <c r="R68" s="7">
        <f t="shared" si="40"/>
        <v>1.7086291833307691E-3</v>
      </c>
      <c r="S68" s="2"/>
      <c r="T68" s="6">
        <v>900</v>
      </c>
      <c r="U68" s="2"/>
      <c r="V68" s="7">
        <f t="shared" si="41"/>
        <v>1.8145161290322581E-3</v>
      </c>
      <c r="W68" s="2"/>
      <c r="X68" s="6">
        <f t="shared" si="42"/>
        <v>-65.360000000000014</v>
      </c>
      <c r="Y68" s="2"/>
      <c r="Z68" s="7">
        <f t="shared" si="43"/>
        <v>-7.2622222222222241E-2</v>
      </c>
    </row>
    <row r="69" spans="1:26" s="24" customFormat="1" hidden="1" outlineLevel="2" x14ac:dyDescent="0.25">
      <c r="A69" s="27"/>
      <c r="B69" s="11" t="str">
        <f>CONCATENATE("          ", "6284", " - ", "TRASH REMOVAL EXPENSE")</f>
        <v xml:space="preserve">          6284 - TRASH REMOVAL EXPENSE</v>
      </c>
      <c r="C69" s="11"/>
      <c r="D69" s="6"/>
      <c r="E69" s="2"/>
      <c r="F69" s="7">
        <f t="shared" si="36"/>
        <v>0</v>
      </c>
      <c r="G69" s="2"/>
      <c r="H69" s="6">
        <v>550</v>
      </c>
      <c r="I69" s="2"/>
      <c r="J69" s="7">
        <f t="shared" si="37"/>
        <v>2.5000000000000001E-3</v>
      </c>
      <c r="K69" s="2"/>
      <c r="L69" s="6">
        <f t="shared" si="38"/>
        <v>-550</v>
      </c>
      <c r="M69" s="2"/>
      <c r="N69" s="7">
        <f t="shared" si="39"/>
        <v>-1</v>
      </c>
      <c r="O69" s="11"/>
      <c r="P69" s="6"/>
      <c r="Q69" s="2"/>
      <c r="R69" s="7">
        <f t="shared" si="40"/>
        <v>0</v>
      </c>
      <c r="S69" s="2"/>
      <c r="T69" s="6">
        <v>1100</v>
      </c>
      <c r="U69" s="2"/>
      <c r="V69" s="7">
        <f t="shared" si="41"/>
        <v>2.217741935483871E-3</v>
      </c>
      <c r="W69" s="2"/>
      <c r="X69" s="6">
        <f t="shared" si="42"/>
        <v>-1100</v>
      </c>
      <c r="Y69" s="2"/>
      <c r="Z69" s="7">
        <f t="shared" si="43"/>
        <v>-1</v>
      </c>
    </row>
    <row r="70" spans="1:26" s="24" customFormat="1" hidden="1" outlineLevel="2" x14ac:dyDescent="0.25">
      <c r="A70" s="27"/>
      <c r="B70" s="11" t="str">
        <f>CONCATENATE("          ", "6285", " - ", "JANITORIAL SERVICES")</f>
        <v xml:space="preserve">          6285 - JANITORIAL SERVICES</v>
      </c>
      <c r="C70" s="11"/>
      <c r="D70" s="6">
        <v>4105.03</v>
      </c>
      <c r="E70" s="2"/>
      <c r="F70" s="7">
        <f t="shared" si="36"/>
        <v>1.696394751521103E-2</v>
      </c>
      <c r="G70" s="2"/>
      <c r="H70" s="6">
        <v>3890</v>
      </c>
      <c r="I70" s="2"/>
      <c r="J70" s="7">
        <f t="shared" si="37"/>
        <v>1.768181818181818E-2</v>
      </c>
      <c r="K70" s="2"/>
      <c r="L70" s="6">
        <f t="shared" si="38"/>
        <v>215.02999999999975</v>
      </c>
      <c r="M70" s="2"/>
      <c r="N70" s="7">
        <f t="shared" si="39"/>
        <v>5.5277634961439524E-2</v>
      </c>
      <c r="O70" s="11"/>
      <c r="P70" s="6">
        <v>7987.1</v>
      </c>
      <c r="Q70" s="2"/>
      <c r="R70" s="7">
        <f t="shared" si="40"/>
        <v>1.6350752600140402E-2</v>
      </c>
      <c r="S70" s="2"/>
      <c r="T70" s="6">
        <v>7780</v>
      </c>
      <c r="U70" s="2"/>
      <c r="V70" s="7">
        <f t="shared" si="41"/>
        <v>1.5685483870967742E-2</v>
      </c>
      <c r="W70" s="2"/>
      <c r="X70" s="6">
        <f t="shared" si="42"/>
        <v>207.10000000000036</v>
      </c>
      <c r="Y70" s="2"/>
      <c r="Z70" s="7">
        <f t="shared" si="43"/>
        <v>2.6619537275064314E-2</v>
      </c>
    </row>
    <row r="71" spans="1:26" s="24" customFormat="1" hidden="1" outlineLevel="2" x14ac:dyDescent="0.25">
      <c r="A71" s="27"/>
      <c r="B71" s="11" t="str">
        <f>CONCATENATE("          ", "6286", " - ", "LAUNDRY EXPENSE")</f>
        <v xml:space="preserve">          6286 - LAUNDRY EXPENSE</v>
      </c>
      <c r="C71" s="11"/>
      <c r="D71" s="6">
        <v>1728.24</v>
      </c>
      <c r="E71" s="2"/>
      <c r="F71" s="7">
        <f t="shared" si="36"/>
        <v>7.1419143474440658E-3</v>
      </c>
      <c r="G71" s="2"/>
      <c r="H71" s="6">
        <v>1600</v>
      </c>
      <c r="I71" s="2"/>
      <c r="J71" s="7">
        <f t="shared" si="37"/>
        <v>7.2727272727272727E-3</v>
      </c>
      <c r="K71" s="2"/>
      <c r="L71" s="6">
        <f t="shared" si="38"/>
        <v>128.24</v>
      </c>
      <c r="M71" s="2"/>
      <c r="N71" s="7">
        <f t="shared" si="39"/>
        <v>8.0149999999999999E-2</v>
      </c>
      <c r="O71" s="11"/>
      <c r="P71" s="6">
        <v>3924.56</v>
      </c>
      <c r="Q71" s="2"/>
      <c r="R71" s="7">
        <f t="shared" si="40"/>
        <v>8.0341437598636569E-3</v>
      </c>
      <c r="S71" s="2"/>
      <c r="T71" s="6">
        <v>3200</v>
      </c>
      <c r="U71" s="2"/>
      <c r="V71" s="7">
        <f t="shared" si="41"/>
        <v>6.4516129032258064E-3</v>
      </c>
      <c r="W71" s="2"/>
      <c r="X71" s="6">
        <f t="shared" si="42"/>
        <v>724.56</v>
      </c>
      <c r="Y71" s="2"/>
      <c r="Z71" s="7">
        <f t="shared" si="43"/>
        <v>0.22642499999999999</v>
      </c>
    </row>
    <row r="72" spans="1:26" s="26" customFormat="1" outlineLevel="1" collapsed="1" x14ac:dyDescent="0.25">
      <c r="A72" s="25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SUM(OSRRefD22_12x_0)</f>
        <v>7177.39</v>
      </c>
      <c r="E72" s="1"/>
      <c r="F72" s="5">
        <f t="shared" ref="F72:F79" si="44">IF(D$12=0,0,D72/D$12)</f>
        <v>2.9660408634334102E-2</v>
      </c>
      <c r="G72" s="1"/>
      <c r="H72" s="1">
        <f>SUM(OSRRefH22_12x_0)</f>
        <v>8785</v>
      </c>
      <c r="I72" s="1"/>
      <c r="J72" s="5">
        <f t="shared" ref="J72:J79" si="45">IF(H$12=0,0,H72/H$12)</f>
        <v>3.9931818181818179E-2</v>
      </c>
      <c r="K72" s="1"/>
      <c r="L72" s="1">
        <f t="shared" ref="L72:L79" si="46">+D72-H72</f>
        <v>-1607.6099999999997</v>
      </c>
      <c r="M72" s="1"/>
      <c r="N72" s="5">
        <f t="shared" ref="N72:N79" si="47">IF(H72=0,0,L72/H72)</f>
        <v>-0.1829948776323278</v>
      </c>
      <c r="O72" s="13"/>
      <c r="P72" s="1">
        <f>SUM(OSRRefP22_12x_0)</f>
        <v>14620</v>
      </c>
      <c r="Q72" s="1"/>
      <c r="R72" s="5">
        <f t="shared" ref="R72:R79" si="48">IF(P$12=0,0,P72/P$12)</f>
        <v>2.9929261310619959E-2</v>
      </c>
      <c r="S72" s="1"/>
      <c r="T72" s="1">
        <f>SUM(OSRRefT22_12x_0)</f>
        <v>19960</v>
      </c>
      <c r="U72" s="1"/>
      <c r="V72" s="5">
        <f t="shared" ref="V72:V79" si="49">IF(T$12=0,0,T72/T$12)</f>
        <v>4.0241935483870971E-2</v>
      </c>
      <c r="W72" s="1"/>
      <c r="X72" s="1">
        <f t="shared" ref="X72:X79" si="50">+P72-T72</f>
        <v>-5340</v>
      </c>
      <c r="Y72" s="1"/>
      <c r="Z72" s="5">
        <f t="shared" ref="Z72:Z79" si="51">IF(T72=0,0,X72/T72)</f>
        <v>-0.26753507014028055</v>
      </c>
    </row>
    <row r="73" spans="1:26" s="24" customFormat="1" hidden="1" outlineLevel="2" x14ac:dyDescent="0.25">
      <c r="A73" s="27"/>
      <c r="B73" s="11" t="str">
        <f>CONCATENATE("          ", "6237", " - ", "JANITORIAL SUPPLIES")</f>
        <v xml:space="preserve">          6237 - JANITORIAL SUPPLIES</v>
      </c>
      <c r="C73" s="11"/>
      <c r="D73" s="6">
        <v>2537.71</v>
      </c>
      <c r="E73" s="2"/>
      <c r="F73" s="7">
        <f t="shared" si="44"/>
        <v>1.048703158048204E-2</v>
      </c>
      <c r="G73" s="2"/>
      <c r="H73" s="6">
        <v>4250</v>
      </c>
      <c r="I73" s="2"/>
      <c r="J73" s="7">
        <f t="shared" si="45"/>
        <v>1.9318181818181818E-2</v>
      </c>
      <c r="K73" s="2"/>
      <c r="L73" s="6">
        <f t="shared" si="46"/>
        <v>-1712.29</v>
      </c>
      <c r="M73" s="2"/>
      <c r="N73" s="7">
        <f t="shared" si="47"/>
        <v>-0.40289176470588234</v>
      </c>
      <c r="O73" s="11"/>
      <c r="P73" s="6">
        <v>5837.68</v>
      </c>
      <c r="Q73" s="2"/>
      <c r="R73" s="7">
        <f t="shared" si="48"/>
        <v>1.1950577986852253E-2</v>
      </c>
      <c r="S73" s="2"/>
      <c r="T73" s="6">
        <v>8100</v>
      </c>
      <c r="U73" s="2"/>
      <c r="V73" s="7">
        <f t="shared" si="49"/>
        <v>1.6330645161290323E-2</v>
      </c>
      <c r="W73" s="2"/>
      <c r="X73" s="6">
        <f t="shared" si="50"/>
        <v>-2262.3199999999997</v>
      </c>
      <c r="Y73" s="2"/>
      <c r="Z73" s="7">
        <f t="shared" si="51"/>
        <v>-0.27929876543209875</v>
      </c>
    </row>
    <row r="74" spans="1:26" s="24" customFormat="1" hidden="1" outlineLevel="2" x14ac:dyDescent="0.25">
      <c r="A74" s="27"/>
      <c r="B74" s="11" t="str">
        <f>CONCATENATE("          ", "6239", " - ", "KITCHEN SUPPLIES")</f>
        <v xml:space="preserve">          6239 - KITCHEN SUPPLIES</v>
      </c>
      <c r="C74" s="11"/>
      <c r="D74" s="6">
        <v>1901.16</v>
      </c>
      <c r="E74" s="2"/>
      <c r="F74" s="7">
        <f t="shared" si="44"/>
        <v>7.8565025001080639E-3</v>
      </c>
      <c r="G74" s="2"/>
      <c r="H74" s="6">
        <v>1900</v>
      </c>
      <c r="I74" s="2"/>
      <c r="J74" s="7">
        <f t="shared" si="45"/>
        <v>8.6363636363636365E-3</v>
      </c>
      <c r="K74" s="2"/>
      <c r="L74" s="6">
        <f t="shared" si="46"/>
        <v>1.1600000000000819</v>
      </c>
      <c r="M74" s="2"/>
      <c r="N74" s="7">
        <f t="shared" si="47"/>
        <v>6.1052631578951673E-4</v>
      </c>
      <c r="O74" s="11"/>
      <c r="P74" s="6">
        <v>2179.89</v>
      </c>
      <c r="Q74" s="2"/>
      <c r="R74" s="7">
        <f t="shared" si="48"/>
        <v>4.4625511243780672E-3</v>
      </c>
      <c r="S74" s="2"/>
      <c r="T74" s="6">
        <v>3650</v>
      </c>
      <c r="U74" s="2"/>
      <c r="V74" s="7">
        <f t="shared" si="49"/>
        <v>7.3588709677419352E-3</v>
      </c>
      <c r="W74" s="2"/>
      <c r="X74" s="6">
        <f t="shared" si="50"/>
        <v>-1470.1100000000001</v>
      </c>
      <c r="Y74" s="2"/>
      <c r="Z74" s="7">
        <f t="shared" si="51"/>
        <v>-0.40276986301369866</v>
      </c>
    </row>
    <row r="75" spans="1:26" s="24" customFormat="1" hidden="1" outlineLevel="2" x14ac:dyDescent="0.25">
      <c r="A75" s="27"/>
      <c r="B75" s="11" t="str">
        <f>CONCATENATE("          ", "6241", " - ", "OFFICE EXPENSE")</f>
        <v xml:space="preserve">          6241 - OFFICE EXPENSE</v>
      </c>
      <c r="C75" s="11"/>
      <c r="D75" s="6">
        <v>618.47</v>
      </c>
      <c r="E75" s="2"/>
      <c r="F75" s="7">
        <f t="shared" si="44"/>
        <v>2.5558138721842637E-3</v>
      </c>
      <c r="G75" s="2"/>
      <c r="H75" s="6">
        <v>500</v>
      </c>
      <c r="I75" s="2"/>
      <c r="J75" s="7">
        <f t="shared" si="45"/>
        <v>2.2727272727272726E-3</v>
      </c>
      <c r="K75" s="2"/>
      <c r="L75" s="6">
        <f t="shared" si="46"/>
        <v>118.47000000000003</v>
      </c>
      <c r="M75" s="2"/>
      <c r="N75" s="7">
        <f t="shared" si="47"/>
        <v>0.23694000000000007</v>
      </c>
      <c r="O75" s="11"/>
      <c r="P75" s="6">
        <v>1093.4000000000001</v>
      </c>
      <c r="Q75" s="2"/>
      <c r="R75" s="7">
        <f t="shared" si="48"/>
        <v>2.2383484484973918E-3</v>
      </c>
      <c r="S75" s="2"/>
      <c r="T75" s="6">
        <v>950</v>
      </c>
      <c r="U75" s="2"/>
      <c r="V75" s="7">
        <f t="shared" si="49"/>
        <v>1.9153225806451612E-3</v>
      </c>
      <c r="W75" s="2"/>
      <c r="X75" s="6">
        <f t="shared" si="50"/>
        <v>143.40000000000009</v>
      </c>
      <c r="Y75" s="2"/>
      <c r="Z75" s="7">
        <f t="shared" si="51"/>
        <v>0.15094736842105272</v>
      </c>
    </row>
    <row r="76" spans="1:26" s="24" customFormat="1" hidden="1" outlineLevel="2" x14ac:dyDescent="0.25">
      <c r="A76" s="27"/>
      <c r="B76" s="11" t="str">
        <f>CONCATENATE("          ", "6243", " - ", "PAPER SUPPLIES")</f>
        <v xml:space="preserve">          6243 - PAPER SUPPLIES</v>
      </c>
      <c r="C76" s="11"/>
      <c r="D76" s="6">
        <v>1679.05</v>
      </c>
      <c r="E76" s="2"/>
      <c r="F76" s="7">
        <f t="shared" si="44"/>
        <v>6.9386377384367676E-3</v>
      </c>
      <c r="G76" s="2"/>
      <c r="H76" s="6">
        <v>1850</v>
      </c>
      <c r="I76" s="2"/>
      <c r="J76" s="7">
        <f t="shared" si="45"/>
        <v>8.4090909090909095E-3</v>
      </c>
      <c r="K76" s="2"/>
      <c r="L76" s="6">
        <f t="shared" si="46"/>
        <v>-170.95000000000005</v>
      </c>
      <c r="M76" s="2"/>
      <c r="N76" s="7">
        <f t="shared" si="47"/>
        <v>-9.2405405405405427E-2</v>
      </c>
      <c r="O76" s="11"/>
      <c r="P76" s="6">
        <v>3845.61</v>
      </c>
      <c r="Q76" s="2"/>
      <c r="R76" s="7">
        <f t="shared" si="48"/>
        <v>7.8725216544961174E-3</v>
      </c>
      <c r="S76" s="2"/>
      <c r="T76" s="6">
        <v>3700</v>
      </c>
      <c r="U76" s="2"/>
      <c r="V76" s="7">
        <f t="shared" si="49"/>
        <v>7.4596774193548387E-3</v>
      </c>
      <c r="W76" s="2"/>
      <c r="X76" s="6">
        <f t="shared" si="50"/>
        <v>145.61000000000013</v>
      </c>
      <c r="Y76" s="2"/>
      <c r="Z76" s="7">
        <f t="shared" si="51"/>
        <v>3.9354054054054087E-2</v>
      </c>
    </row>
    <row r="77" spans="1:26" s="24" customFormat="1" hidden="1" outlineLevel="2" x14ac:dyDescent="0.25">
      <c r="A77" s="27"/>
      <c r="B77" s="11" t="str">
        <f>CONCATENATE("          ", "6244", " - ", "SAFETY SUPPLY EXPENSE")</f>
        <v xml:space="preserve">          6244 - SAFETY SUPPLY EXPENSE</v>
      </c>
      <c r="C77" s="11"/>
      <c r="D77" s="6"/>
      <c r="E77" s="2"/>
      <c r="F77" s="7">
        <f t="shared" si="44"/>
        <v>0</v>
      </c>
      <c r="G77" s="2"/>
      <c r="H77" s="6">
        <v>125</v>
      </c>
      <c r="I77" s="2"/>
      <c r="J77" s="7">
        <f t="shared" si="45"/>
        <v>5.6818181818181815E-4</v>
      </c>
      <c r="K77" s="2"/>
      <c r="L77" s="6">
        <f t="shared" si="46"/>
        <v>-125</v>
      </c>
      <c r="M77" s="2"/>
      <c r="N77" s="7">
        <f t="shared" si="47"/>
        <v>-1</v>
      </c>
      <c r="O77" s="11"/>
      <c r="P77" s="6"/>
      <c r="Q77" s="2"/>
      <c r="R77" s="7">
        <f t="shared" si="48"/>
        <v>0</v>
      </c>
      <c r="S77" s="2"/>
      <c r="T77" s="6">
        <v>250</v>
      </c>
      <c r="U77" s="2"/>
      <c r="V77" s="7">
        <f t="shared" si="49"/>
        <v>5.0403225806451612E-4</v>
      </c>
      <c r="W77" s="2"/>
      <c r="X77" s="6">
        <f t="shared" si="50"/>
        <v>-250</v>
      </c>
      <c r="Y77" s="2"/>
      <c r="Z77" s="7">
        <f t="shared" si="51"/>
        <v>-1</v>
      </c>
    </row>
    <row r="78" spans="1:26" s="24" customFormat="1" hidden="1" outlineLevel="2" x14ac:dyDescent="0.25">
      <c r="A78" s="27"/>
      <c r="B78" s="11" t="str">
        <f>CONCATENATE("          ", "6245", " - ", "PRINTING")</f>
        <v xml:space="preserve">          6245 - PRINTING</v>
      </c>
      <c r="C78" s="11"/>
      <c r="D78" s="6">
        <v>441</v>
      </c>
      <c r="E78" s="2"/>
      <c r="F78" s="7">
        <f t="shared" si="44"/>
        <v>1.8224229431229651E-3</v>
      </c>
      <c r="G78" s="2"/>
      <c r="H78" s="6">
        <v>160</v>
      </c>
      <c r="I78" s="2"/>
      <c r="J78" s="7">
        <f t="shared" si="45"/>
        <v>7.2727272727272723E-4</v>
      </c>
      <c r="K78" s="2"/>
      <c r="L78" s="6">
        <f t="shared" si="46"/>
        <v>281</v>
      </c>
      <c r="M78" s="2"/>
      <c r="N78" s="7">
        <f t="shared" si="47"/>
        <v>1.7562500000000001</v>
      </c>
      <c r="O78" s="11"/>
      <c r="P78" s="6">
        <v>441</v>
      </c>
      <c r="Q78" s="2"/>
      <c r="R78" s="7">
        <f t="shared" si="48"/>
        <v>9.0279098755016436E-4</v>
      </c>
      <c r="S78" s="2"/>
      <c r="T78" s="6">
        <v>310</v>
      </c>
      <c r="U78" s="2"/>
      <c r="V78" s="7">
        <f t="shared" si="49"/>
        <v>6.2500000000000001E-4</v>
      </c>
      <c r="W78" s="2"/>
      <c r="X78" s="6">
        <f t="shared" si="50"/>
        <v>131</v>
      </c>
      <c r="Y78" s="2"/>
      <c r="Z78" s="7">
        <f t="shared" si="51"/>
        <v>0.42258064516129035</v>
      </c>
    </row>
    <row r="79" spans="1:26" s="24" customFormat="1" hidden="1" outlineLevel="2" x14ac:dyDescent="0.25">
      <c r="A79" s="27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44"/>
        <v>0</v>
      </c>
      <c r="G79" s="2"/>
      <c r="H79" s="6"/>
      <c r="I79" s="2"/>
      <c r="J79" s="7">
        <f t="shared" si="45"/>
        <v>0</v>
      </c>
      <c r="K79" s="2"/>
      <c r="L79" s="6">
        <f t="shared" si="46"/>
        <v>0</v>
      </c>
      <c r="M79" s="2"/>
      <c r="N79" s="7">
        <f t="shared" si="47"/>
        <v>0</v>
      </c>
      <c r="O79" s="11"/>
      <c r="P79" s="6">
        <v>1222.42</v>
      </c>
      <c r="Q79" s="2"/>
      <c r="R79" s="7">
        <f t="shared" si="48"/>
        <v>2.5024711088459683E-3</v>
      </c>
      <c r="S79" s="2"/>
      <c r="T79" s="6">
        <v>3000</v>
      </c>
      <c r="U79" s="2"/>
      <c r="V79" s="7">
        <f t="shared" si="49"/>
        <v>6.0483870967741934E-3</v>
      </c>
      <c r="W79" s="2"/>
      <c r="X79" s="6">
        <f t="shared" si="50"/>
        <v>-1777.58</v>
      </c>
      <c r="Y79" s="2"/>
      <c r="Z79" s="7">
        <f t="shared" si="51"/>
        <v>-0.59252666666666665</v>
      </c>
    </row>
    <row r="80" spans="1:26" s="26" customFormat="1" outlineLevel="1" collapsed="1" x14ac:dyDescent="0.25">
      <c r="A80" s="25"/>
      <c r="B80" s="13" t="str">
        <f>CONCATENATE("     ","Telephone/Data Lines                              ")</f>
        <v xml:space="preserve">     Telephone/Data Lines                              </v>
      </c>
      <c r="C80" s="13"/>
      <c r="D80" s="1">
        <f>SUM(OSRRefD22_13x_0)</f>
        <v>190.5</v>
      </c>
      <c r="E80" s="1"/>
      <c r="F80" s="5">
        <f t="shared" ref="F80:F86" si="52">IF(D$12=0,0,D80/D$12)</f>
        <v>7.8723712168917196E-4</v>
      </c>
      <c r="G80" s="1"/>
      <c r="H80" s="1">
        <f>SUM(OSRRefH22_13x_0)</f>
        <v>185</v>
      </c>
      <c r="I80" s="1"/>
      <c r="J80" s="5">
        <f t="shared" ref="J80:J86" si="53">IF(H$12=0,0,H80/H$12)</f>
        <v>8.4090909090909095E-4</v>
      </c>
      <c r="K80" s="1"/>
      <c r="L80" s="1">
        <f t="shared" ref="L80:L86" si="54">+D80-H80</f>
        <v>5.5</v>
      </c>
      <c r="M80" s="1"/>
      <c r="N80" s="5">
        <f t="shared" ref="N80:N86" si="55">IF(H80=0,0,L80/H80)</f>
        <v>2.9729729729729731E-2</v>
      </c>
      <c r="O80" s="13"/>
      <c r="P80" s="1">
        <f>SUM(OSRRefP22_13x_0)</f>
        <v>270.3</v>
      </c>
      <c r="Q80" s="1"/>
      <c r="R80" s="5">
        <f t="shared" ref="R80:R86" si="56">IF(P$12=0,0,P80/P$12)</f>
        <v>5.5334331958006671E-4</v>
      </c>
      <c r="S80" s="1"/>
      <c r="T80" s="1">
        <f>SUM(OSRRefT22_13x_0)</f>
        <v>370</v>
      </c>
      <c r="U80" s="1"/>
      <c r="V80" s="5">
        <f t="shared" ref="V80:V86" si="57">IF(T$12=0,0,T80/T$12)</f>
        <v>7.4596774193548391E-4</v>
      </c>
      <c r="W80" s="1"/>
      <c r="X80" s="1">
        <f t="shared" ref="X80:X86" si="58">+P80-T80</f>
        <v>-99.699999999999989</v>
      </c>
      <c r="Y80" s="1"/>
      <c r="Z80" s="5">
        <f t="shared" ref="Z80:Z86" si="59">IF(T80=0,0,X80/T80)</f>
        <v>-0.26945945945945943</v>
      </c>
    </row>
    <row r="81" spans="1:26" s="24" customFormat="1" hidden="1" outlineLevel="2" x14ac:dyDescent="0.25">
      <c r="A81" s="27"/>
      <c r="B81" s="11" t="str">
        <f>CONCATENATE("          ", "6309", " - ", "TELEPHONE")</f>
        <v xml:space="preserve">          6309 - TELEPHONE</v>
      </c>
      <c r="C81" s="11"/>
      <c r="D81" s="6">
        <v>190.5</v>
      </c>
      <c r="E81" s="2"/>
      <c r="F81" s="7">
        <f t="shared" si="52"/>
        <v>7.8723712168917196E-4</v>
      </c>
      <c r="G81" s="2"/>
      <c r="H81" s="6">
        <v>185</v>
      </c>
      <c r="I81" s="2"/>
      <c r="J81" s="7">
        <f t="shared" si="53"/>
        <v>8.4090909090909095E-4</v>
      </c>
      <c r="K81" s="2"/>
      <c r="L81" s="6">
        <f t="shared" si="54"/>
        <v>5.5</v>
      </c>
      <c r="M81" s="2"/>
      <c r="N81" s="7">
        <f t="shared" si="55"/>
        <v>2.9729729729729731E-2</v>
      </c>
      <c r="O81" s="11"/>
      <c r="P81" s="6">
        <v>270.3</v>
      </c>
      <c r="Q81" s="2"/>
      <c r="R81" s="7">
        <f t="shared" si="56"/>
        <v>5.5334331958006671E-4</v>
      </c>
      <c r="S81" s="2"/>
      <c r="T81" s="6">
        <v>370</v>
      </c>
      <c r="U81" s="2"/>
      <c r="V81" s="7">
        <f t="shared" si="57"/>
        <v>7.4596774193548391E-4</v>
      </c>
      <c r="W81" s="2"/>
      <c r="X81" s="6">
        <f t="shared" si="58"/>
        <v>-99.699999999999989</v>
      </c>
      <c r="Y81" s="2"/>
      <c r="Z81" s="7">
        <f t="shared" si="59"/>
        <v>-0.26945945945945943</v>
      </c>
    </row>
    <row r="82" spans="1:26" s="26" customFormat="1" outlineLevel="1" collapsed="1" x14ac:dyDescent="0.25">
      <c r="A82" s="25"/>
      <c r="B82" s="13" t="str">
        <f>CONCATENATE("     ","Training                                          ")</f>
        <v xml:space="preserve">     Training                                          </v>
      </c>
      <c r="C82" s="13"/>
      <c r="D82" s="1">
        <f>SUM(OSRRefD22_14x_0)</f>
        <v>129.16999999999999</v>
      </c>
      <c r="E82" s="1"/>
      <c r="F82" s="5">
        <f t="shared" si="52"/>
        <v>5.3379222576687845E-4</v>
      </c>
      <c r="G82" s="1"/>
      <c r="H82" s="1">
        <f>SUM(OSRRefH22_14x_0)</f>
        <v>0</v>
      </c>
      <c r="I82" s="1"/>
      <c r="J82" s="5">
        <f t="shared" si="53"/>
        <v>0</v>
      </c>
      <c r="K82" s="1"/>
      <c r="L82" s="1">
        <f t="shared" si="54"/>
        <v>129.16999999999999</v>
      </c>
      <c r="M82" s="1"/>
      <c r="N82" s="5">
        <f t="shared" si="55"/>
        <v>0</v>
      </c>
      <c r="O82" s="13"/>
      <c r="P82" s="1">
        <f>SUM(OSRRefP22_14x_0)</f>
        <v>473.37</v>
      </c>
      <c r="Q82" s="1"/>
      <c r="R82" s="5">
        <f t="shared" si="56"/>
        <v>9.6905707432340426E-4</v>
      </c>
      <c r="S82" s="1"/>
      <c r="T82" s="1">
        <f>SUM(OSRRefT22_14x_0)</f>
        <v>0</v>
      </c>
      <c r="U82" s="1"/>
      <c r="V82" s="5">
        <f t="shared" si="57"/>
        <v>0</v>
      </c>
      <c r="W82" s="1"/>
      <c r="X82" s="1">
        <f t="shared" si="58"/>
        <v>473.37</v>
      </c>
      <c r="Y82" s="1"/>
      <c r="Z82" s="5">
        <f t="shared" si="59"/>
        <v>0</v>
      </c>
    </row>
    <row r="83" spans="1:26" s="24" customFormat="1" hidden="1" outlineLevel="2" x14ac:dyDescent="0.25">
      <c r="A83" s="27"/>
      <c r="B83" s="11" t="str">
        <f>CONCATENATE("          ", "6376", " - ", "TRAINING")</f>
        <v xml:space="preserve">          6376 - TRAINING</v>
      </c>
      <c r="C83" s="11"/>
      <c r="D83" s="6">
        <v>129.16999999999999</v>
      </c>
      <c r="E83" s="2"/>
      <c r="F83" s="7">
        <f t="shared" si="52"/>
        <v>5.3379222576687845E-4</v>
      </c>
      <c r="G83" s="2"/>
      <c r="H83" s="6"/>
      <c r="I83" s="2"/>
      <c r="J83" s="7">
        <f t="shared" si="53"/>
        <v>0</v>
      </c>
      <c r="K83" s="2"/>
      <c r="L83" s="6">
        <f t="shared" si="54"/>
        <v>129.16999999999999</v>
      </c>
      <c r="M83" s="2"/>
      <c r="N83" s="7">
        <f t="shared" si="55"/>
        <v>0</v>
      </c>
      <c r="O83" s="11"/>
      <c r="P83" s="6">
        <v>473.37</v>
      </c>
      <c r="Q83" s="2"/>
      <c r="R83" s="7">
        <f t="shared" si="56"/>
        <v>9.6905707432340426E-4</v>
      </c>
      <c r="S83" s="2"/>
      <c r="T83" s="6"/>
      <c r="U83" s="2"/>
      <c r="V83" s="7">
        <f t="shared" si="57"/>
        <v>0</v>
      </c>
      <c r="W83" s="2"/>
      <c r="X83" s="6">
        <f t="shared" si="58"/>
        <v>473.37</v>
      </c>
      <c r="Y83" s="2"/>
      <c r="Z83" s="7">
        <f t="shared" si="59"/>
        <v>0</v>
      </c>
    </row>
    <row r="84" spans="1:26" s="26" customFormat="1" outlineLevel="1" collapsed="1" x14ac:dyDescent="0.25">
      <c r="A84" s="25"/>
      <c r="B84" s="13" t="str">
        <f>CONCATENATE("     ","Travel                                            ")</f>
        <v xml:space="preserve">     Travel                                            </v>
      </c>
      <c r="C84" s="13"/>
      <c r="D84" s="1">
        <f>SUM(OSRRefD22_15x_0)</f>
        <v>0</v>
      </c>
      <c r="E84" s="1"/>
      <c r="F84" s="5">
        <f t="shared" si="52"/>
        <v>0</v>
      </c>
      <c r="G84" s="1"/>
      <c r="H84" s="1">
        <f>SUM(OSRRefH22_15x_0)</f>
        <v>60</v>
      </c>
      <c r="I84" s="1"/>
      <c r="J84" s="5">
        <f t="shared" si="53"/>
        <v>2.7272727272727274E-4</v>
      </c>
      <c r="K84" s="1"/>
      <c r="L84" s="1">
        <f t="shared" si="54"/>
        <v>-60</v>
      </c>
      <c r="M84" s="1"/>
      <c r="N84" s="5">
        <f t="shared" si="55"/>
        <v>-1</v>
      </c>
      <c r="O84" s="13"/>
      <c r="P84" s="1">
        <f>SUM(OSRRefP22_15x_0)</f>
        <v>1429.86</v>
      </c>
      <c r="Q84" s="1"/>
      <c r="R84" s="5">
        <f t="shared" si="56"/>
        <v>2.9271308876609474E-3</v>
      </c>
      <c r="S84" s="1"/>
      <c r="T84" s="1">
        <f>SUM(OSRRefT22_15x_0)</f>
        <v>120</v>
      </c>
      <c r="U84" s="1"/>
      <c r="V84" s="5">
        <f t="shared" si="57"/>
        <v>2.4193548387096774E-4</v>
      </c>
      <c r="W84" s="1"/>
      <c r="X84" s="1">
        <f t="shared" si="58"/>
        <v>1309.8599999999999</v>
      </c>
      <c r="Y84" s="1"/>
      <c r="Z84" s="5">
        <f t="shared" si="59"/>
        <v>10.9155</v>
      </c>
    </row>
    <row r="85" spans="1:26" s="24" customFormat="1" hidden="1" outlineLevel="2" x14ac:dyDescent="0.25">
      <c r="A85" s="27"/>
      <c r="B85" s="11" t="str">
        <f>CONCATENATE("          ", "6292", " - ", "TRAVEL/CONFERENCE")</f>
        <v xml:space="preserve">          6292 - TRAVEL/CONFERENCE</v>
      </c>
      <c r="C85" s="11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1"/>
      <c r="P85" s="6">
        <v>1429.86</v>
      </c>
      <c r="Q85" s="2"/>
      <c r="R85" s="7">
        <f t="shared" si="56"/>
        <v>2.9271308876609474E-3</v>
      </c>
      <c r="S85" s="2"/>
      <c r="T85" s="6"/>
      <c r="U85" s="2"/>
      <c r="V85" s="7">
        <f t="shared" si="57"/>
        <v>0</v>
      </c>
      <c r="W85" s="2"/>
      <c r="X85" s="6">
        <f t="shared" si="58"/>
        <v>1429.86</v>
      </c>
      <c r="Y85" s="2"/>
      <c r="Z85" s="7">
        <f t="shared" si="59"/>
        <v>0</v>
      </c>
    </row>
    <row r="86" spans="1:26" s="24" customFormat="1" hidden="1" outlineLevel="2" x14ac:dyDescent="0.25">
      <c r="A86" s="27"/>
      <c r="B86" s="11" t="str">
        <f>CONCATENATE("          ", "6298", " - ", "VEHICLE MILEAGE")</f>
        <v xml:space="preserve">          6298 - VEHICLE MILEAGE</v>
      </c>
      <c r="C86" s="11"/>
      <c r="D86" s="6"/>
      <c r="E86" s="2"/>
      <c r="F86" s="7">
        <f t="shared" si="52"/>
        <v>0</v>
      </c>
      <c r="G86" s="2"/>
      <c r="H86" s="6">
        <v>60</v>
      </c>
      <c r="I86" s="2"/>
      <c r="J86" s="7">
        <f t="shared" si="53"/>
        <v>2.7272727272727274E-4</v>
      </c>
      <c r="K86" s="2"/>
      <c r="L86" s="6">
        <f t="shared" si="54"/>
        <v>-60</v>
      </c>
      <c r="M86" s="2"/>
      <c r="N86" s="7">
        <f t="shared" si="55"/>
        <v>-1</v>
      </c>
      <c r="O86" s="11"/>
      <c r="P86" s="6"/>
      <c r="Q86" s="2"/>
      <c r="R86" s="7">
        <f t="shared" si="56"/>
        <v>0</v>
      </c>
      <c r="S86" s="2"/>
      <c r="T86" s="6">
        <v>120</v>
      </c>
      <c r="U86" s="2"/>
      <c r="V86" s="7">
        <f t="shared" si="57"/>
        <v>2.4193548387096774E-4</v>
      </c>
      <c r="W86" s="2"/>
      <c r="X86" s="6">
        <f t="shared" si="58"/>
        <v>-120</v>
      </c>
      <c r="Y86" s="2"/>
      <c r="Z86" s="7">
        <f t="shared" si="59"/>
        <v>-1</v>
      </c>
    </row>
    <row r="87" spans="1:26" s="63" customFormat="1" x14ac:dyDescent="0.25">
      <c r="A87" s="36"/>
      <c r="B87" s="36"/>
      <c r="C87" s="36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6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8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9" t="s">
        <v>3</v>
      </c>
      <c r="C90" s="29"/>
      <c r="D90" s="22">
        <f>+D23-D25+D88</f>
        <v>65341.279999999999</v>
      </c>
      <c r="E90" s="14"/>
      <c r="F90" s="20">
        <f>IF(D$12=0,0,D90/D$12)</f>
        <v>0.2700214235941536</v>
      </c>
      <c r="G90" s="14"/>
      <c r="H90" s="22">
        <f>+H23-H25+H88</f>
        <v>17675.825896516617</v>
      </c>
      <c r="I90" s="14"/>
      <c r="J90" s="20">
        <f>IF(H$12=0,0,H90/H$12)</f>
        <v>8.0344663165984626E-2</v>
      </c>
      <c r="K90" s="15"/>
      <c r="L90" s="22">
        <f>+D90-H90</f>
        <v>47665.454103483382</v>
      </c>
      <c r="M90" s="15"/>
      <c r="N90" s="20">
        <f>IF(H90=0,0,L90/H90)</f>
        <v>2.6966465036791765</v>
      </c>
      <c r="O90" s="28"/>
      <c r="P90" s="22">
        <f>+P23-P25+P88</f>
        <v>91013.160000000091</v>
      </c>
      <c r="Q90" s="14"/>
      <c r="R90" s="20">
        <f>IF(P$12=0,0,P90/P$12)</f>
        <v>0.18631714420966258</v>
      </c>
      <c r="S90" s="14"/>
      <c r="T90" s="22">
        <f>+T23-T25+T88</f>
        <v>43276.679877162445</v>
      </c>
      <c r="U90" s="14"/>
      <c r="V90" s="20">
        <f>IF(T$12=0,0,T90/T$12)</f>
        <v>8.7251370720085569E-2</v>
      </c>
      <c r="W90" s="15"/>
      <c r="X90" s="22">
        <f>+P90-T90</f>
        <v>47736.480122837645</v>
      </c>
      <c r="Y90" s="15"/>
      <c r="Z90" s="20">
        <f>IF(T90=0,0,X90/T90)</f>
        <v>1.1030531976652092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2"/>
      <c r="B92" s="10" t="s">
        <v>14</v>
      </c>
      <c r="C92" s="10"/>
      <c r="D92" s="4">
        <v>9650.66</v>
      </c>
      <c r="E92" s="4"/>
      <c r="F92" s="12">
        <f>IF(D$12=0,0,D92/D$12)</f>
        <v>3.9881143311290418E-2</v>
      </c>
      <c r="G92" s="4"/>
      <c r="H92" s="4">
        <v>13289</v>
      </c>
      <c r="I92" s="4"/>
      <c r="J92" s="12">
        <f>IF(H$12=0,0,H92/H$12)</f>
        <v>6.0404545454545454E-2</v>
      </c>
      <c r="K92" s="4"/>
      <c r="L92" s="4">
        <f>+D92-H92</f>
        <v>-3638.34</v>
      </c>
      <c r="M92" s="4"/>
      <c r="N92" s="12">
        <f>IF(H92=0,0,L92/H92)</f>
        <v>-0.27378583791105426</v>
      </c>
      <c r="O92" s="10"/>
      <c r="P92" s="4">
        <v>60905.19</v>
      </c>
      <c r="Q92" s="4"/>
      <c r="R92" s="12">
        <f>IF(P$12=0,0,P92/P$12)</f>
        <v>0.12468176105902584</v>
      </c>
      <c r="S92" s="4"/>
      <c r="T92" s="4">
        <v>80552</v>
      </c>
      <c r="U92" s="4"/>
      <c r="V92" s="12">
        <f>IF(T$12=0,0,T92/T$12)</f>
        <v>0.16240322580645161</v>
      </c>
      <c r="W92" s="4"/>
      <c r="X92" s="4">
        <f>+P92-T92</f>
        <v>-19646.809999999998</v>
      </c>
      <c r="Y92" s="4"/>
      <c r="Z92" s="12">
        <f>IF(T92=0,0,X92/T92)</f>
        <v>-0.24390219982123346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9" t="s">
        <v>4</v>
      </c>
      <c r="C94" s="29"/>
      <c r="D94" s="31">
        <f>+D90-D92</f>
        <v>55690.619999999995</v>
      </c>
      <c r="E94" s="14"/>
      <c r="F94" s="32">
        <f>IF(D$12=0,0,D94/D$12)</f>
        <v>0.23014028028286315</v>
      </c>
      <c r="G94" s="14"/>
      <c r="H94" s="31">
        <f>+H90-H92</f>
        <v>4386.8258965166169</v>
      </c>
      <c r="I94" s="14"/>
      <c r="J94" s="32">
        <f>IF(H$12=0,0,H94/H$12)</f>
        <v>1.9940117711439168E-2</v>
      </c>
      <c r="K94" s="15"/>
      <c r="L94" s="31">
        <f>D94-H94</f>
        <v>51303.794103483378</v>
      </c>
      <c r="M94" s="15"/>
      <c r="N94" s="32">
        <f>IF(H94=0,0,L94/H94)</f>
        <v>11.69496928159867</v>
      </c>
      <c r="O94" s="28"/>
      <c r="P94" s="31">
        <f>+P90-P92</f>
        <v>30107.970000000088</v>
      </c>
      <c r="Q94" s="14"/>
      <c r="R94" s="32">
        <f>IF(P$12=0,0,P94/P$12)</f>
        <v>6.1635383150636734E-2</v>
      </c>
      <c r="S94" s="14"/>
      <c r="T94" s="31">
        <f>+T90-T92</f>
        <v>-37275.320122837555</v>
      </c>
      <c r="U94" s="14"/>
      <c r="V94" s="32">
        <f>IF(T$12=0,0,T94/T$12)</f>
        <v>-7.5151855086366043E-2</v>
      </c>
      <c r="W94" s="15"/>
      <c r="X94" s="31">
        <f>P94-T94</f>
        <v>67383.290122837643</v>
      </c>
      <c r="Y94" s="15"/>
      <c r="Z94" s="32">
        <f>IF(T94=0,0,X94/T94)</f>
        <v>-1.8077186165211165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9" t="s">
        <v>5</v>
      </c>
      <c r="C97" s="29"/>
      <c r="D97" s="33">
        <f>SUM(D94:D96)</f>
        <v>55690.619999999995</v>
      </c>
      <c r="E97" s="14"/>
      <c r="F97" s="35">
        <f>IF(D$12=0,0,D97/D$12)</f>
        <v>0.23014028028286315</v>
      </c>
      <c r="G97" s="14"/>
      <c r="H97" s="33">
        <f>SUM(H94:H96)</f>
        <v>4386.8258965166169</v>
      </c>
      <c r="I97" s="14"/>
      <c r="J97" s="35">
        <f>IF(H$12=0,0,H97/H$12)</f>
        <v>1.9940117711439168E-2</v>
      </c>
      <c r="K97" s="15"/>
      <c r="L97" s="33">
        <f>+D97-H97</f>
        <v>51303.794103483378</v>
      </c>
      <c r="M97" s="15"/>
      <c r="N97" s="35">
        <f>IF(H97=0,0,L97/H97)</f>
        <v>11.69496928159867</v>
      </c>
      <c r="O97" s="28"/>
      <c r="P97" s="33">
        <f>SUM(P94:P96)</f>
        <v>30107.970000000088</v>
      </c>
      <c r="Q97" s="14"/>
      <c r="R97" s="35">
        <f>IF(P$12=0,0,P97/P$12)</f>
        <v>6.1635383150636734E-2</v>
      </c>
      <c r="S97" s="14"/>
      <c r="T97" s="33">
        <f>SUM(T94:T96)</f>
        <v>-37275.320122837555</v>
      </c>
      <c r="U97" s="14"/>
      <c r="V97" s="35">
        <f>IF(T$12=0,0,T97/T$12)</f>
        <v>-7.5151855086366043E-2</v>
      </c>
      <c r="W97" s="15"/>
      <c r="X97" s="33">
        <f>+P97-T97</f>
        <v>67383.290122837643</v>
      </c>
      <c r="Y97" s="15"/>
      <c r="Z97" s="35">
        <f>IF(T97=0,0,X97/T97)</f>
        <v>-1.8077186165211165</v>
      </c>
    </row>
    <row r="98" spans="1:26" ht="15.75" thickTop="1" x14ac:dyDescent="0.25">
      <c r="A98" s="9"/>
      <c r="C98" s="9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6" x14ac:dyDescent="0.25">
      <c r="A99" s="9"/>
      <c r="B99" s="61">
        <v>43732.706529166666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25">
      <c r="A100" s="9"/>
      <c r="B100" s="62" t="s">
        <v>314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58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","435", " - ", "Ground Floor Coffee House")</f>
        <v>Department 435 - Ground Floor Coffee House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316.64</v>
      </c>
      <c r="E12" s="4"/>
      <c r="F12" s="12"/>
      <c r="G12" s="4"/>
      <c r="H12" s="4">
        <f>SUM(OSRRefH13x_0)</f>
        <v>405</v>
      </c>
      <c r="I12" s="4"/>
      <c r="J12" s="12"/>
      <c r="K12" s="4"/>
      <c r="L12" s="4">
        <f t="shared" ref="L12:L15" si="0">+D12-H12</f>
        <v>-88.360000000000014</v>
      </c>
      <c r="M12" s="4"/>
      <c r="N12" s="12">
        <f t="shared" ref="N12:N15" si="1">IF(H12=0,0,L12/H12)</f>
        <v>-0.21817283950617286</v>
      </c>
      <c r="O12" s="10"/>
      <c r="P12" s="4">
        <f>SUM(OSRRefP13x_0)</f>
        <v>316.64</v>
      </c>
      <c r="Q12" s="4"/>
      <c r="R12" s="12"/>
      <c r="S12" s="4"/>
      <c r="T12" s="4">
        <f>SUM(OSRRefT13x_0)</f>
        <v>405</v>
      </c>
      <c r="U12" s="4"/>
      <c r="V12" s="12"/>
      <c r="W12" s="4"/>
      <c r="X12" s="4">
        <f t="shared" ref="X12:X15" si="2">+P12-T12</f>
        <v>-88.360000000000014</v>
      </c>
      <c r="Y12" s="4"/>
      <c r="Z12" s="12">
        <f t="shared" ref="Z12:Z15" si="3">IF(T12=0,0,X12/T12)</f>
        <v>-0.21817283950617286</v>
      </c>
    </row>
    <row r="13" spans="1:26" s="24" customFormat="1" hidden="1" outlineLevel="1" x14ac:dyDescent="0.25">
      <c r="A13" s="46"/>
      <c r="B13" s="11" t="str">
        <f>CONCATENATE("          ", "4055", " - ", "TAXABLE SALES-FOOD")</f>
        <v xml:space="preserve">          4055 - TAXABLE SALES-FOOD</v>
      </c>
      <c r="C13" s="11"/>
      <c r="D13" s="2">
        <f>--45.65</f>
        <v>45.65</v>
      </c>
      <c r="E13" s="2"/>
      <c r="F13" s="21"/>
      <c r="G13" s="2"/>
      <c r="H13" s="2"/>
      <c r="I13" s="2"/>
      <c r="J13" s="21"/>
      <c r="K13" s="2"/>
      <c r="L13" s="2">
        <f t="shared" si="0"/>
        <v>45.65</v>
      </c>
      <c r="M13" s="2"/>
      <c r="N13" s="21">
        <f t="shared" si="1"/>
        <v>0</v>
      </c>
      <c r="O13" s="11"/>
      <c r="P13" s="2">
        <f>--45.65</f>
        <v>45.65</v>
      </c>
      <c r="Q13" s="2"/>
      <c r="R13" s="21"/>
      <c r="S13" s="2"/>
      <c r="T13" s="2"/>
      <c r="U13" s="2"/>
      <c r="V13" s="21"/>
      <c r="W13" s="2"/>
      <c r="X13" s="2">
        <f t="shared" si="2"/>
        <v>45.65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1"/>
      <c r="G14" s="2"/>
      <c r="H14" s="2">
        <v>405</v>
      </c>
      <c r="I14" s="2"/>
      <c r="J14" s="21"/>
      <c r="K14" s="2"/>
      <c r="L14" s="2">
        <f t="shared" si="0"/>
        <v>-405</v>
      </c>
      <c r="M14" s="2"/>
      <c r="N14" s="21">
        <f t="shared" si="1"/>
        <v>-1</v>
      </c>
      <c r="O14" s="11"/>
      <c r="P14" s="2">
        <f>0</f>
        <v>0</v>
      </c>
      <c r="Q14" s="2"/>
      <c r="R14" s="21"/>
      <c r="S14" s="2"/>
      <c r="T14" s="2">
        <v>405</v>
      </c>
      <c r="U14" s="2"/>
      <c r="V14" s="21"/>
      <c r="W14" s="2"/>
      <c r="X14" s="2">
        <f t="shared" si="2"/>
        <v>-405</v>
      </c>
      <c r="Y14" s="2"/>
      <c r="Z14" s="21">
        <f t="shared" si="3"/>
        <v>-1</v>
      </c>
    </row>
    <row r="15" spans="1:26" s="24" customFormat="1" hidden="1" outlineLevel="1" x14ac:dyDescent="0.25">
      <c r="A15" s="46"/>
      <c r="B15" s="11" t="str">
        <f>CONCATENATE("          ", "4155", " - ", "NON-TAXABLE SALES-FOOD")</f>
        <v xml:space="preserve">          4155 - NON-TAXABLE SALES-FOOD</v>
      </c>
      <c r="C15" s="11"/>
      <c r="D15" s="2">
        <f>--270.99</f>
        <v>270.99</v>
      </c>
      <c r="E15" s="2"/>
      <c r="F15" s="21"/>
      <c r="G15" s="2"/>
      <c r="H15" s="2"/>
      <c r="I15" s="2"/>
      <c r="J15" s="21"/>
      <c r="K15" s="2"/>
      <c r="L15" s="2">
        <f t="shared" si="0"/>
        <v>270.99</v>
      </c>
      <c r="M15" s="2"/>
      <c r="N15" s="21">
        <f t="shared" si="1"/>
        <v>0</v>
      </c>
      <c r="O15" s="11"/>
      <c r="P15" s="2">
        <f>--270.99</f>
        <v>270.99</v>
      </c>
      <c r="Q15" s="2"/>
      <c r="R15" s="21"/>
      <c r="S15" s="2"/>
      <c r="T15" s="2"/>
      <c r="U15" s="2"/>
      <c r="V15" s="21"/>
      <c r="W15" s="2"/>
      <c r="X15" s="2">
        <f t="shared" si="2"/>
        <v>270.99</v>
      </c>
      <c r="Y15" s="2"/>
      <c r="Z15" s="21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349.06000000000017</v>
      </c>
      <c r="E17" s="4"/>
      <c r="F17" s="12">
        <f t="shared" ref="F17:F20" si="4">IF(D$12=0,0,D17/D$12)</f>
        <v>1.1023875694795358</v>
      </c>
      <c r="G17" s="4"/>
      <c r="H17" s="4">
        <f>SUM(OSRRefH16x_0)</f>
        <v>215.83</v>
      </c>
      <c r="I17" s="4"/>
      <c r="J17" s="12">
        <f t="shared" ref="J17:J20" si="5">IF(H$12=0,0,H17/H$12)</f>
        <v>0.5329135802469136</v>
      </c>
      <c r="K17" s="4"/>
      <c r="L17" s="4">
        <f t="shared" ref="L17:L20" si="6">+D17-H17</f>
        <v>133.23000000000016</v>
      </c>
      <c r="M17" s="4"/>
      <c r="N17" s="12">
        <f t="shared" ref="N17:N20" si="7">IF(H17=0,0,L17/H17)</f>
        <v>0.6172913867395643</v>
      </c>
      <c r="O17" s="10"/>
      <c r="P17" s="4">
        <f>SUM(OSRRefP16x_0)</f>
        <v>349.06000000000017</v>
      </c>
      <c r="Q17" s="4"/>
      <c r="R17" s="12">
        <f t="shared" ref="R17:R20" si="8">IF(P$12=0,0,P17/P$12)</f>
        <v>1.1023875694795358</v>
      </c>
      <c r="S17" s="4"/>
      <c r="T17" s="4">
        <f>SUM(OSRRefT16x_0)</f>
        <v>215.83</v>
      </c>
      <c r="U17" s="4"/>
      <c r="V17" s="12">
        <f t="shared" ref="V17:V20" si="9">IF(T$12=0,0,T17/T$12)</f>
        <v>0.5329135802469136</v>
      </c>
      <c r="W17" s="4"/>
      <c r="X17" s="4">
        <f t="shared" ref="X17:X20" si="10">+P17-T17</f>
        <v>133.23000000000016</v>
      </c>
      <c r="Y17" s="4"/>
      <c r="Z17" s="12">
        <f t="shared" ref="Z17:Z20" si="11">IF(T17=0,0,X17/T17)</f>
        <v>0.6172913867395643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1">
        <f t="shared" si="4"/>
        <v>0</v>
      </c>
      <c r="G18" s="2"/>
      <c r="H18" s="2">
        <v>215.83</v>
      </c>
      <c r="I18" s="2"/>
      <c r="J18" s="21">
        <f t="shared" si="5"/>
        <v>0.5329135802469136</v>
      </c>
      <c r="K18" s="2"/>
      <c r="L18" s="2">
        <f t="shared" si="6"/>
        <v>-215.83</v>
      </c>
      <c r="M18" s="2"/>
      <c r="N18" s="21">
        <f t="shared" si="7"/>
        <v>-1</v>
      </c>
      <c r="O18" s="11"/>
      <c r="P18" s="2"/>
      <c r="Q18" s="2"/>
      <c r="R18" s="21">
        <f t="shared" si="8"/>
        <v>0</v>
      </c>
      <c r="S18" s="2"/>
      <c r="T18" s="2">
        <v>215.83</v>
      </c>
      <c r="U18" s="2"/>
      <c r="V18" s="21">
        <f t="shared" si="9"/>
        <v>0.5329135802469136</v>
      </c>
      <c r="W18" s="2"/>
      <c r="X18" s="2">
        <f t="shared" si="10"/>
        <v>-215.83</v>
      </c>
      <c r="Y18" s="2"/>
      <c r="Z18" s="21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2308.2600000000002</v>
      </c>
      <c r="E19" s="2"/>
      <c r="F19" s="21">
        <f t="shared" si="4"/>
        <v>7.2898559878726639</v>
      </c>
      <c r="G19" s="2"/>
      <c r="H19" s="2"/>
      <c r="I19" s="2"/>
      <c r="J19" s="21">
        <f t="shared" si="5"/>
        <v>0</v>
      </c>
      <c r="K19" s="2"/>
      <c r="L19" s="2">
        <f t="shared" si="6"/>
        <v>2308.2600000000002</v>
      </c>
      <c r="M19" s="2"/>
      <c r="N19" s="21">
        <f t="shared" si="7"/>
        <v>0</v>
      </c>
      <c r="O19" s="11"/>
      <c r="P19" s="2">
        <v>2308.2600000000002</v>
      </c>
      <c r="Q19" s="2"/>
      <c r="R19" s="21">
        <f t="shared" si="8"/>
        <v>7.2898559878726639</v>
      </c>
      <c r="S19" s="2"/>
      <c r="T19" s="2"/>
      <c r="U19" s="2"/>
      <c r="V19" s="21">
        <f t="shared" si="9"/>
        <v>0</v>
      </c>
      <c r="W19" s="2"/>
      <c r="X19" s="2">
        <f t="shared" si="10"/>
        <v>2308.2600000000002</v>
      </c>
      <c r="Y19" s="2"/>
      <c r="Z19" s="21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-1959.2</v>
      </c>
      <c r="E20" s="2"/>
      <c r="F20" s="21">
        <f t="shared" si="4"/>
        <v>-6.1874684183931281</v>
      </c>
      <c r="G20" s="2"/>
      <c r="H20" s="2"/>
      <c r="I20" s="2"/>
      <c r="J20" s="21">
        <f t="shared" si="5"/>
        <v>0</v>
      </c>
      <c r="K20" s="2"/>
      <c r="L20" s="2">
        <f t="shared" si="6"/>
        <v>-1959.2</v>
      </c>
      <c r="M20" s="2"/>
      <c r="N20" s="21">
        <f t="shared" si="7"/>
        <v>0</v>
      </c>
      <c r="O20" s="11"/>
      <c r="P20" s="2">
        <v>-1959.2</v>
      </c>
      <c r="Q20" s="2"/>
      <c r="R20" s="21">
        <f t="shared" si="8"/>
        <v>-6.1874684183931281</v>
      </c>
      <c r="S20" s="2"/>
      <c r="T20" s="2"/>
      <c r="U20" s="2"/>
      <c r="V20" s="21">
        <f t="shared" si="9"/>
        <v>0</v>
      </c>
      <c r="W20" s="2"/>
      <c r="X20" s="2">
        <f t="shared" si="10"/>
        <v>-1959.2</v>
      </c>
      <c r="Y20" s="2"/>
      <c r="Z20" s="21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-32.420000000000186</v>
      </c>
      <c r="E22" s="14"/>
      <c r="F22" s="20">
        <f>IF(D$12=0,0,D22/D$12)</f>
        <v>-0.10238756947953571</v>
      </c>
      <c r="G22" s="14"/>
      <c r="H22" s="22">
        <f>H12-H17</f>
        <v>189.17</v>
      </c>
      <c r="I22" s="14"/>
      <c r="J22" s="20">
        <f>IF(H$12=0,0,H22/H$12)</f>
        <v>0.4670864197530864</v>
      </c>
      <c r="K22" s="15"/>
      <c r="L22" s="22">
        <f>+D22-H22</f>
        <v>-221.59000000000017</v>
      </c>
      <c r="M22" s="15"/>
      <c r="N22" s="20">
        <f>IF(H22=0,0,L22/H22)</f>
        <v>-1.171380239995772</v>
      </c>
      <c r="O22" s="28"/>
      <c r="P22" s="22">
        <f>P12-P17</f>
        <v>-32.420000000000186</v>
      </c>
      <c r="Q22" s="14"/>
      <c r="R22" s="20">
        <f>IF(P$12=0,0,P22/P$12)</f>
        <v>-0.10238756947953571</v>
      </c>
      <c r="S22" s="14"/>
      <c r="T22" s="22">
        <f>T12-T17</f>
        <v>189.17</v>
      </c>
      <c r="U22" s="14"/>
      <c r="V22" s="20">
        <f>IF(T$12=0,0,T22/T$12)</f>
        <v>0.4670864197530864</v>
      </c>
      <c r="W22" s="15"/>
      <c r="X22" s="22">
        <f>+P22-T22</f>
        <v>-221.59000000000017</v>
      </c>
      <c r="Y22" s="15"/>
      <c r="Z22" s="20">
        <f>IF(T22=0,0,X22/T22)</f>
        <v>-1.171380239995772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19">
        <f>SUM(OSRRefD22x_0)</f>
        <v>2542.7600000000002</v>
      </c>
      <c r="E24" s="19"/>
      <c r="F24" s="34">
        <f t="shared" ref="F24:F33" si="12">IF(D$12=0,0,D24/D$12)</f>
        <v>8.0304446690247602</v>
      </c>
      <c r="G24" s="19"/>
      <c r="H24" s="19">
        <f>SUM(OSRRefH22x_0)</f>
        <v>1613.1884</v>
      </c>
      <c r="I24" s="19"/>
      <c r="J24" s="34">
        <f t="shared" ref="J24:J33" si="13">IF(H$12=0,0,H24/H$12)</f>
        <v>3.9831812345679012</v>
      </c>
      <c r="K24" s="4"/>
      <c r="L24" s="19">
        <f t="shared" ref="L24:L33" si="14">+D24-H24</f>
        <v>929.57160000000022</v>
      </c>
      <c r="M24" s="4"/>
      <c r="N24" s="34">
        <f t="shared" ref="N24:N33" si="15">IF(H24=0,0,L24/H24)</f>
        <v>0.57623250948246352</v>
      </c>
      <c r="O24" s="10"/>
      <c r="P24" s="19">
        <f>SUM(OSRRefP22x_0)</f>
        <v>3904.96</v>
      </c>
      <c r="Q24" s="19"/>
      <c r="R24" s="34">
        <f t="shared" ref="R24:R33" si="16">IF(P$12=0,0,P24/P$12)</f>
        <v>12.332491157150077</v>
      </c>
      <c r="S24" s="19"/>
      <c r="T24" s="19">
        <f>SUM(OSRRefT22x_0)</f>
        <v>1638.1884</v>
      </c>
      <c r="U24" s="19"/>
      <c r="V24" s="34">
        <f t="shared" ref="V24:V33" si="17">IF(T$12=0,0,T24/T$12)</f>
        <v>4.0449096296296299</v>
      </c>
      <c r="W24" s="4"/>
      <c r="X24" s="19">
        <f t="shared" ref="X24:X33" si="18">+P24-T24</f>
        <v>2266.7716</v>
      </c>
      <c r="Y24" s="4"/>
      <c r="Z24" s="34">
        <f t="shared" ref="Z24:Z33" si="19">IF(T24=0,0,X24/T24)</f>
        <v>1.3837062940990181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75.820000000000007</v>
      </c>
      <c r="E25" s="1"/>
      <c r="F25" s="5">
        <f t="shared" si="12"/>
        <v>0.23945174330469937</v>
      </c>
      <c r="G25" s="1"/>
      <c r="H25" s="1">
        <f>SUM(OSRRefH22_0x_0)</f>
        <v>72.188400000000001</v>
      </c>
      <c r="I25" s="1"/>
      <c r="J25" s="5">
        <f t="shared" si="13"/>
        <v>0.17824296296296296</v>
      </c>
      <c r="K25" s="1"/>
      <c r="L25" s="1">
        <f t="shared" si="14"/>
        <v>3.6316000000000059</v>
      </c>
      <c r="M25" s="1"/>
      <c r="N25" s="5">
        <f t="shared" si="15"/>
        <v>5.0307251580586437E-2</v>
      </c>
      <c r="O25" s="13"/>
      <c r="P25" s="1">
        <f>SUM(OSRRefP22_0x_0)</f>
        <v>96.36999999999999</v>
      </c>
      <c r="Q25" s="1"/>
      <c r="R25" s="5">
        <f t="shared" si="16"/>
        <v>0.30435194542698329</v>
      </c>
      <c r="S25" s="1"/>
      <c r="T25" s="1">
        <f>SUM(OSRRefT22_0x_0)</f>
        <v>72.188400000000001</v>
      </c>
      <c r="U25" s="1"/>
      <c r="V25" s="5">
        <f t="shared" si="17"/>
        <v>0.17824296296296296</v>
      </c>
      <c r="W25" s="1"/>
      <c r="X25" s="1">
        <f t="shared" si="18"/>
        <v>24.181599999999989</v>
      </c>
      <c r="Y25" s="1"/>
      <c r="Z25" s="5">
        <f t="shared" si="19"/>
        <v>0.33497902710130695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45.32</v>
      </c>
      <c r="E26" s="2"/>
      <c r="F26" s="7">
        <f t="shared" si="12"/>
        <v>0.14312784234461851</v>
      </c>
      <c r="G26" s="2"/>
      <c r="H26" s="6">
        <v>0</v>
      </c>
      <c r="I26" s="2"/>
      <c r="J26" s="7">
        <f t="shared" si="13"/>
        <v>0</v>
      </c>
      <c r="K26" s="2"/>
      <c r="L26" s="6">
        <f t="shared" si="14"/>
        <v>45.32</v>
      </c>
      <c r="M26" s="2"/>
      <c r="N26" s="7">
        <f t="shared" si="15"/>
        <v>0</v>
      </c>
      <c r="O26" s="11"/>
      <c r="P26" s="6">
        <v>45.32</v>
      </c>
      <c r="Q26" s="2"/>
      <c r="R26" s="7">
        <f t="shared" si="16"/>
        <v>0.14312784234461851</v>
      </c>
      <c r="S26" s="2"/>
      <c r="T26" s="6">
        <v>0</v>
      </c>
      <c r="U26" s="2"/>
      <c r="V26" s="7">
        <f t="shared" si="17"/>
        <v>0</v>
      </c>
      <c r="W26" s="2"/>
      <c r="X26" s="6">
        <f t="shared" si="18"/>
        <v>45.32</v>
      </c>
      <c r="Y26" s="2"/>
      <c r="Z26" s="7">
        <f t="shared" si="19"/>
        <v>0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26.83</v>
      </c>
      <c r="E27" s="2"/>
      <c r="F27" s="7">
        <f t="shared" si="12"/>
        <v>8.4733451237998983E-2</v>
      </c>
      <c r="G27" s="2"/>
      <c r="H27" s="6">
        <v>26.581</v>
      </c>
      <c r="I27" s="2"/>
      <c r="J27" s="7">
        <f t="shared" si="13"/>
        <v>6.5632098765432093E-2</v>
      </c>
      <c r="K27" s="2"/>
      <c r="L27" s="6">
        <f t="shared" si="14"/>
        <v>0.24899999999999878</v>
      </c>
      <c r="M27" s="2"/>
      <c r="N27" s="7">
        <f t="shared" si="15"/>
        <v>9.3675933937774642E-3</v>
      </c>
      <c r="O27" s="11"/>
      <c r="P27" s="6">
        <v>44.91</v>
      </c>
      <c r="Q27" s="2"/>
      <c r="R27" s="7">
        <f t="shared" si="16"/>
        <v>0.14183299646286002</v>
      </c>
      <c r="S27" s="2"/>
      <c r="T27" s="6">
        <v>26.581</v>
      </c>
      <c r="U27" s="2"/>
      <c r="V27" s="7">
        <f t="shared" si="17"/>
        <v>6.5632098765432093E-2</v>
      </c>
      <c r="W27" s="2"/>
      <c r="X27" s="6">
        <f t="shared" si="18"/>
        <v>18.328999999999997</v>
      </c>
      <c r="Y27" s="2"/>
      <c r="Z27" s="7">
        <f t="shared" si="19"/>
        <v>0.68955268801023273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3.67</v>
      </c>
      <c r="E29" s="2"/>
      <c r="F29" s="7">
        <f t="shared" si="12"/>
        <v>1.1590449722081861E-2</v>
      </c>
      <c r="G29" s="2"/>
      <c r="H29" s="6">
        <v>3.6374</v>
      </c>
      <c r="I29" s="2"/>
      <c r="J29" s="7">
        <f t="shared" si="13"/>
        <v>8.9812345679012341E-3</v>
      </c>
      <c r="K29" s="2"/>
      <c r="L29" s="6">
        <f t="shared" si="14"/>
        <v>3.2599999999999962E-2</v>
      </c>
      <c r="M29" s="2"/>
      <c r="N29" s="7">
        <f t="shared" si="15"/>
        <v>8.9624457029746415E-3</v>
      </c>
      <c r="O29" s="11"/>
      <c r="P29" s="6">
        <v>6.14</v>
      </c>
      <c r="Q29" s="2"/>
      <c r="R29" s="7">
        <f t="shared" si="16"/>
        <v>1.93911066195048E-2</v>
      </c>
      <c r="S29" s="2"/>
      <c r="T29" s="6">
        <v>3.6374</v>
      </c>
      <c r="U29" s="2"/>
      <c r="V29" s="7">
        <f t="shared" si="17"/>
        <v>8.9812345679012341E-3</v>
      </c>
      <c r="W29" s="2"/>
      <c r="X29" s="6">
        <f t="shared" si="18"/>
        <v>2.5025999999999997</v>
      </c>
      <c r="Y29" s="2"/>
      <c r="Z29" s="7">
        <f t="shared" si="19"/>
        <v>0.68801891460933629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"6118", " - ", "VACATION")</f>
        <v xml:space="preserve">          6118 - VACATION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"6119", " - ", "SICK LEAVE")</f>
        <v xml:space="preserve">          6119 - SICK LEAVE</v>
      </c>
      <c r="C33" s="11"/>
      <c r="D33" s="6"/>
      <c r="E33" s="2"/>
      <c r="F33" s="7">
        <f t="shared" si="12"/>
        <v>0</v>
      </c>
      <c r="G33" s="2"/>
      <c r="H33" s="6">
        <v>41.97</v>
      </c>
      <c r="I33" s="2"/>
      <c r="J33" s="7">
        <f t="shared" si="13"/>
        <v>0.10362962962962963</v>
      </c>
      <c r="K33" s="2"/>
      <c r="L33" s="6">
        <f t="shared" si="14"/>
        <v>-41.97</v>
      </c>
      <c r="M33" s="2"/>
      <c r="N33" s="7">
        <f t="shared" si="15"/>
        <v>-1</v>
      </c>
      <c r="O33" s="11"/>
      <c r="P33" s="6"/>
      <c r="Q33" s="2"/>
      <c r="R33" s="7">
        <f t="shared" si="16"/>
        <v>0</v>
      </c>
      <c r="S33" s="2"/>
      <c r="T33" s="6">
        <v>41.97</v>
      </c>
      <c r="U33" s="2"/>
      <c r="V33" s="7">
        <f t="shared" si="17"/>
        <v>0.10362962962962963</v>
      </c>
      <c r="W33" s="2"/>
      <c r="X33" s="6">
        <f t="shared" si="18"/>
        <v>-41.97</v>
      </c>
      <c r="Y33" s="2"/>
      <c r="Z33" s="7">
        <f t="shared" si="19"/>
        <v>-1</v>
      </c>
    </row>
    <row r="34" spans="1:26" s="26" customFormat="1" outlineLevel="1" collapsed="1" x14ac:dyDescent="0.25">
      <c r="A34" s="25"/>
      <c r="B34" s="13" t="str">
        <f>CONCATENATE("     ","*Payroll                                          ")</f>
        <v xml:space="preserve">     *Payroll                                          </v>
      </c>
      <c r="C34" s="13"/>
      <c r="D34" s="1">
        <f>SUM(OSRRefD22_1x_0)</f>
        <v>1188.56</v>
      </c>
      <c r="E34" s="1"/>
      <c r="F34" s="5">
        <f t="shared" ref="F34:F44" si="20">IF(D$12=0,0,D34/D$12)</f>
        <v>3.7536634663971702</v>
      </c>
      <c r="G34" s="1"/>
      <c r="H34" s="1">
        <f>SUM(OSRRefH22_1x_0)</f>
        <v>1399</v>
      </c>
      <c r="I34" s="1"/>
      <c r="J34" s="5">
        <f t="shared" ref="J34:J44" si="21">IF(H$12=0,0,H34/H$12)</f>
        <v>3.4543209876543211</v>
      </c>
      <c r="K34" s="1"/>
      <c r="L34" s="1">
        <f t="shared" ref="L34:L44" si="22">+D34-H34</f>
        <v>-210.44000000000005</v>
      </c>
      <c r="M34" s="1"/>
      <c r="N34" s="5">
        <f t="shared" ref="N34:N44" si="23">IF(H34=0,0,L34/H34)</f>
        <v>-0.15042172980700505</v>
      </c>
      <c r="O34" s="13"/>
      <c r="P34" s="1">
        <f>SUM(OSRRefP22_1x_0)</f>
        <v>1188.56</v>
      </c>
      <c r="Q34" s="1"/>
      <c r="R34" s="5">
        <f t="shared" ref="R34:R44" si="24">IF(P$12=0,0,P34/P$12)</f>
        <v>3.7536634663971702</v>
      </c>
      <c r="S34" s="1"/>
      <c r="T34" s="1">
        <f>SUM(OSRRefT22_1x_0)</f>
        <v>1399</v>
      </c>
      <c r="U34" s="1"/>
      <c r="V34" s="5">
        <f t="shared" ref="V34:V44" si="25">IF(T$12=0,0,T34/T$12)</f>
        <v>3.4543209876543211</v>
      </c>
      <c r="W34" s="1"/>
      <c r="X34" s="1">
        <f t="shared" ref="X34:X44" si="26">+P34-T34</f>
        <v>-210.44000000000005</v>
      </c>
      <c r="Y34" s="1"/>
      <c r="Z34" s="5">
        <f t="shared" ref="Z34:Z44" si="27">IF(T34=0,0,X34/T34)</f>
        <v>-0.15042172980700505</v>
      </c>
    </row>
    <row r="35" spans="1:26" s="24" customFormat="1" hidden="1" outlineLevel="2" x14ac:dyDescent="0.25">
      <c r="A35" s="27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7"/>
      <c r="B36" s="11" t="str">
        <f>CONCATENATE("          ", "6002", " - ", "STAFF SALARIES")</f>
        <v xml:space="preserve">          6002 - STAFF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7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"6005", " - ", "TEMPORARY WAGES-HOURLY")</f>
        <v xml:space="preserve">          6005 - TEMPORARY WAGES-HOURLY</v>
      </c>
      <c r="C39" s="11"/>
      <c r="D39" s="6">
        <v>496.56</v>
      </c>
      <c r="E39" s="2"/>
      <c r="F39" s="7">
        <f t="shared" si="20"/>
        <v>1.5682162708438605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496.56</v>
      </c>
      <c r="M39" s="2"/>
      <c r="N39" s="7">
        <f t="shared" si="23"/>
        <v>0</v>
      </c>
      <c r="O39" s="11"/>
      <c r="P39" s="6">
        <v>496.56</v>
      </c>
      <c r="Q39" s="2"/>
      <c r="R39" s="7">
        <f t="shared" si="24"/>
        <v>1.5682162708438605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496.56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"6007", " - ", "STUDENT HOURLY")</f>
        <v xml:space="preserve">          6007 - STUDENT HOURLY</v>
      </c>
      <c r="C41" s="11"/>
      <c r="D41" s="6">
        <v>692</v>
      </c>
      <c r="E41" s="2"/>
      <c r="F41" s="7">
        <f t="shared" si="20"/>
        <v>2.1854471955533099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692</v>
      </c>
      <c r="M41" s="2"/>
      <c r="N41" s="7">
        <f t="shared" si="23"/>
        <v>0</v>
      </c>
      <c r="O41" s="11"/>
      <c r="P41" s="6">
        <v>692</v>
      </c>
      <c r="Q41" s="2"/>
      <c r="R41" s="7">
        <f t="shared" si="24"/>
        <v>2.1854471955533099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692</v>
      </c>
      <c r="Y41" s="2"/>
      <c r="Z41" s="7">
        <f t="shared" si="27"/>
        <v>0</v>
      </c>
    </row>
    <row r="42" spans="1:26" s="24" customFormat="1" hidden="1" outlineLevel="2" x14ac:dyDescent="0.25">
      <c r="A42" s="27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0"/>
        <v>0</v>
      </c>
      <c r="G42" s="2"/>
      <c r="H42" s="6">
        <v>1399</v>
      </c>
      <c r="I42" s="2"/>
      <c r="J42" s="7">
        <f t="shared" si="21"/>
        <v>3.4543209876543211</v>
      </c>
      <c r="K42" s="2"/>
      <c r="L42" s="6">
        <f t="shared" si="22"/>
        <v>-1399</v>
      </c>
      <c r="M42" s="2"/>
      <c r="N42" s="7">
        <f t="shared" si="23"/>
        <v>-1</v>
      </c>
      <c r="O42" s="11"/>
      <c r="P42" s="6"/>
      <c r="Q42" s="2"/>
      <c r="R42" s="7">
        <f t="shared" si="24"/>
        <v>0</v>
      </c>
      <c r="S42" s="2"/>
      <c r="T42" s="6">
        <v>1399</v>
      </c>
      <c r="U42" s="2"/>
      <c r="V42" s="7">
        <f t="shared" si="25"/>
        <v>3.4543209876543211</v>
      </c>
      <c r="W42" s="2"/>
      <c r="X42" s="6">
        <f t="shared" si="26"/>
        <v>-1399</v>
      </c>
      <c r="Y42" s="2"/>
      <c r="Z42" s="7">
        <f t="shared" si="27"/>
        <v>-1</v>
      </c>
    </row>
    <row r="43" spans="1:26" s="24" customFormat="1" hidden="1" outlineLevel="2" x14ac:dyDescent="0.25">
      <c r="A43" s="27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6" customFormat="1" outlineLevel="1" collapsed="1" x14ac:dyDescent="0.25">
      <c r="A45" s="25"/>
      <c r="B45" s="13" t="str">
        <f>CONCATENATE("     ","Bad Debts/Over/Short                              ")</f>
        <v xml:space="preserve">     Bad Debts/Over/Short                              </v>
      </c>
      <c r="C45" s="13"/>
      <c r="D45" s="1">
        <f>SUM(OSRRefD22_2x_0)</f>
        <v>-0.28999999999999998</v>
      </c>
      <c r="E45" s="1"/>
      <c r="F45" s="5">
        <f t="shared" ref="F45:F55" si="28">IF(D$12=0,0,D45/D$12)</f>
        <v>-9.1586659929257194E-4</v>
      </c>
      <c r="G45" s="1"/>
      <c r="H45" s="1">
        <f>SUM(OSRRefH22_2x_0)</f>
        <v>25</v>
      </c>
      <c r="I45" s="1"/>
      <c r="J45" s="5">
        <f t="shared" ref="J45:J55" si="29">IF(H$12=0,0,H45/H$12)</f>
        <v>6.1728395061728392E-2</v>
      </c>
      <c r="K45" s="1"/>
      <c r="L45" s="1">
        <f t="shared" ref="L45:L55" si="30">+D45-H45</f>
        <v>-25.29</v>
      </c>
      <c r="M45" s="1"/>
      <c r="N45" s="5">
        <f t="shared" ref="N45:N55" si="31">IF(H45=0,0,L45/H45)</f>
        <v>-1.0116000000000001</v>
      </c>
      <c r="O45" s="13"/>
      <c r="P45" s="1">
        <f>SUM(OSRRefP22_2x_0)</f>
        <v>-0.28999999999999998</v>
      </c>
      <c r="Q45" s="1"/>
      <c r="R45" s="5">
        <f t="shared" ref="R45:R55" si="32">IF(P$12=0,0,P45/P$12)</f>
        <v>-9.1586659929257194E-4</v>
      </c>
      <c r="S45" s="1"/>
      <c r="T45" s="1">
        <f>SUM(OSRRefT22_2x_0)</f>
        <v>50</v>
      </c>
      <c r="U45" s="1"/>
      <c r="V45" s="5">
        <f t="shared" ref="V45:V55" si="33">IF(T$12=0,0,T45/T$12)</f>
        <v>0.12345679012345678</v>
      </c>
      <c r="W45" s="1"/>
      <c r="X45" s="1">
        <f t="shared" ref="X45:X55" si="34">+P45-T45</f>
        <v>-50.29</v>
      </c>
      <c r="Y45" s="1"/>
      <c r="Z45" s="5">
        <f t="shared" ref="Z45:Z55" si="35">IF(T45=0,0,X45/T45)</f>
        <v>-1.0058</v>
      </c>
    </row>
    <row r="46" spans="1:26" s="24" customFormat="1" hidden="1" outlineLevel="2" x14ac:dyDescent="0.25">
      <c r="A46" s="27"/>
      <c r="B46" s="11" t="str">
        <f>CONCATENATE("          ", "6272", " - ", "CASH (OVER/SHORT)")</f>
        <v xml:space="preserve">          6272 - CASH (OVER/SHORT)</v>
      </c>
      <c r="C46" s="11"/>
      <c r="D46" s="6">
        <v>-0.28999999999999998</v>
      </c>
      <c r="E46" s="2"/>
      <c r="F46" s="7">
        <f t="shared" si="28"/>
        <v>-9.1586659929257194E-4</v>
      </c>
      <c r="G46" s="2"/>
      <c r="H46" s="6">
        <v>25</v>
      </c>
      <c r="I46" s="2"/>
      <c r="J46" s="7">
        <f t="shared" si="29"/>
        <v>6.1728395061728392E-2</v>
      </c>
      <c r="K46" s="2"/>
      <c r="L46" s="6">
        <f t="shared" si="30"/>
        <v>-25.29</v>
      </c>
      <c r="M46" s="2"/>
      <c r="N46" s="7">
        <f t="shared" si="31"/>
        <v>-1.0116000000000001</v>
      </c>
      <c r="O46" s="11"/>
      <c r="P46" s="6">
        <v>-0.28999999999999998</v>
      </c>
      <c r="Q46" s="2"/>
      <c r="R46" s="7">
        <f t="shared" si="32"/>
        <v>-9.1586659929257194E-4</v>
      </c>
      <c r="S46" s="2"/>
      <c r="T46" s="6">
        <v>50</v>
      </c>
      <c r="U46" s="2"/>
      <c r="V46" s="7">
        <f t="shared" si="33"/>
        <v>0.12345679012345678</v>
      </c>
      <c r="W46" s="2"/>
      <c r="X46" s="6">
        <f t="shared" si="34"/>
        <v>-50.29</v>
      </c>
      <c r="Y46" s="2"/>
      <c r="Z46" s="7">
        <f t="shared" si="35"/>
        <v>-1.0058</v>
      </c>
    </row>
    <row r="47" spans="1:26" s="26" customFormat="1" outlineLevel="1" collapsed="1" x14ac:dyDescent="0.25">
      <c r="A47" s="25"/>
      <c r="B47" s="13" t="str">
        <f>CONCATENATE("     ","Bank/card Fees                                    ")</f>
        <v xml:space="preserve">     Bank/card Fees                                    </v>
      </c>
      <c r="C47" s="13"/>
      <c r="D47" s="1">
        <f>SUM(OSRRefD22_3x_0)</f>
        <v>8.19</v>
      </c>
      <c r="E47" s="1"/>
      <c r="F47" s="5">
        <f t="shared" si="28"/>
        <v>2.5865336028297121E-2</v>
      </c>
      <c r="G47" s="1"/>
      <c r="H47" s="1">
        <f>SUM(OSRRefH22_3x_0)</f>
        <v>9</v>
      </c>
      <c r="I47" s="1"/>
      <c r="J47" s="5">
        <f t="shared" si="29"/>
        <v>2.2222222222222223E-2</v>
      </c>
      <c r="K47" s="1"/>
      <c r="L47" s="1">
        <f t="shared" si="30"/>
        <v>-0.8100000000000005</v>
      </c>
      <c r="M47" s="1"/>
      <c r="N47" s="5">
        <f t="shared" si="31"/>
        <v>-9.0000000000000052E-2</v>
      </c>
      <c r="O47" s="13"/>
      <c r="P47" s="1">
        <f>SUM(OSRRefP22_3x_0)</f>
        <v>8.19</v>
      </c>
      <c r="Q47" s="1"/>
      <c r="R47" s="5">
        <f t="shared" si="32"/>
        <v>2.5865336028297121E-2</v>
      </c>
      <c r="S47" s="1"/>
      <c r="T47" s="1">
        <f>SUM(OSRRefT22_3x_0)</f>
        <v>9</v>
      </c>
      <c r="U47" s="1"/>
      <c r="V47" s="5">
        <f t="shared" si="33"/>
        <v>2.2222222222222223E-2</v>
      </c>
      <c r="W47" s="1"/>
      <c r="X47" s="1">
        <f t="shared" si="34"/>
        <v>-0.8100000000000005</v>
      </c>
      <c r="Y47" s="1"/>
      <c r="Z47" s="5">
        <f t="shared" si="35"/>
        <v>-9.0000000000000052E-2</v>
      </c>
    </row>
    <row r="48" spans="1:26" s="24" customFormat="1" hidden="1" outlineLevel="2" x14ac:dyDescent="0.25">
      <c r="A48" s="27"/>
      <c r="B48" s="11" t="str">
        <f>CONCATENATE("          ", "6381", " - ", "BANK/CREDIT CARD FEES")</f>
        <v xml:space="preserve">          6381 - BANK/CREDIT CARD FEES</v>
      </c>
      <c r="C48" s="11"/>
      <c r="D48" s="6">
        <v>8.19</v>
      </c>
      <c r="E48" s="2"/>
      <c r="F48" s="7">
        <f t="shared" si="28"/>
        <v>2.5865336028297121E-2</v>
      </c>
      <c r="G48" s="2"/>
      <c r="H48" s="6">
        <v>9</v>
      </c>
      <c r="I48" s="2"/>
      <c r="J48" s="7">
        <f t="shared" si="29"/>
        <v>2.2222222222222223E-2</v>
      </c>
      <c r="K48" s="2"/>
      <c r="L48" s="6">
        <f t="shared" si="30"/>
        <v>-0.8100000000000005</v>
      </c>
      <c r="M48" s="2"/>
      <c r="N48" s="7">
        <f t="shared" si="31"/>
        <v>-9.0000000000000052E-2</v>
      </c>
      <c r="O48" s="11"/>
      <c r="P48" s="6">
        <v>8.19</v>
      </c>
      <c r="Q48" s="2"/>
      <c r="R48" s="7">
        <f t="shared" si="32"/>
        <v>2.5865336028297121E-2</v>
      </c>
      <c r="S48" s="2"/>
      <c r="T48" s="6">
        <v>9</v>
      </c>
      <c r="U48" s="2"/>
      <c r="V48" s="7">
        <f t="shared" si="33"/>
        <v>2.2222222222222223E-2</v>
      </c>
      <c r="W48" s="2"/>
      <c r="X48" s="6">
        <f t="shared" si="34"/>
        <v>-0.8100000000000005</v>
      </c>
      <c r="Y48" s="2"/>
      <c r="Z48" s="7">
        <f t="shared" si="35"/>
        <v>-9.0000000000000052E-2</v>
      </c>
    </row>
    <row r="49" spans="1:26" s="26" customFormat="1" outlineLevel="1" collapsed="1" x14ac:dyDescent="0.25">
      <c r="A49" s="25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SUM(OSRRefD22_4x_0)</f>
        <v>15</v>
      </c>
      <c r="E49" s="1"/>
      <c r="F49" s="5">
        <f t="shared" si="28"/>
        <v>4.7372410308236482E-2</v>
      </c>
      <c r="G49" s="1"/>
      <c r="H49" s="1">
        <f>SUM(OSRRefH22_4x_0)</f>
        <v>74</v>
      </c>
      <c r="I49" s="1"/>
      <c r="J49" s="5">
        <f t="shared" si="29"/>
        <v>0.18271604938271604</v>
      </c>
      <c r="K49" s="1"/>
      <c r="L49" s="1">
        <f t="shared" si="30"/>
        <v>-59</v>
      </c>
      <c r="M49" s="1"/>
      <c r="N49" s="5">
        <f t="shared" si="31"/>
        <v>-0.79729729729729726</v>
      </c>
      <c r="O49" s="13"/>
      <c r="P49" s="1">
        <f>SUM(OSRRefP22_4x_0)</f>
        <v>1089.55</v>
      </c>
      <c r="Q49" s="1"/>
      <c r="R49" s="5">
        <f t="shared" si="32"/>
        <v>3.4409739767559375</v>
      </c>
      <c r="S49" s="1"/>
      <c r="T49" s="1">
        <f>SUM(OSRRefT22_4x_0)</f>
        <v>74</v>
      </c>
      <c r="U49" s="1"/>
      <c r="V49" s="5">
        <f t="shared" si="33"/>
        <v>0.18271604938271604</v>
      </c>
      <c r="W49" s="1"/>
      <c r="X49" s="1">
        <f t="shared" si="34"/>
        <v>1015.55</v>
      </c>
      <c r="Y49" s="1"/>
      <c r="Z49" s="5">
        <f t="shared" si="35"/>
        <v>13.723648648648648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6">
        <v>15</v>
      </c>
      <c r="E50" s="2"/>
      <c r="F50" s="7">
        <f t="shared" si="28"/>
        <v>4.7372410308236482E-2</v>
      </c>
      <c r="G50" s="2"/>
      <c r="H50" s="6">
        <v>74</v>
      </c>
      <c r="I50" s="2"/>
      <c r="J50" s="7">
        <f t="shared" si="29"/>
        <v>0.18271604938271604</v>
      </c>
      <c r="K50" s="2"/>
      <c r="L50" s="6">
        <f t="shared" si="30"/>
        <v>-59</v>
      </c>
      <c r="M50" s="2"/>
      <c r="N50" s="7">
        <f t="shared" si="31"/>
        <v>-0.79729729729729726</v>
      </c>
      <c r="O50" s="11"/>
      <c r="P50" s="6">
        <v>1089.55</v>
      </c>
      <c r="Q50" s="2"/>
      <c r="R50" s="7">
        <f t="shared" si="32"/>
        <v>3.4409739767559375</v>
      </c>
      <c r="S50" s="2"/>
      <c r="T50" s="6">
        <v>74</v>
      </c>
      <c r="U50" s="2"/>
      <c r="V50" s="7">
        <f t="shared" si="33"/>
        <v>0.18271604938271604</v>
      </c>
      <c r="W50" s="2"/>
      <c r="X50" s="6">
        <f t="shared" si="34"/>
        <v>1015.55</v>
      </c>
      <c r="Y50" s="2"/>
      <c r="Z50" s="7">
        <f t="shared" si="35"/>
        <v>13.723648648648648</v>
      </c>
    </row>
    <row r="51" spans="1:26" s="26" customFormat="1" outlineLevel="1" collapsed="1" x14ac:dyDescent="0.25">
      <c r="A51" s="25"/>
      <c r="B51" s="13" t="str">
        <f>CONCATENATE("     ","R/H Commissions                                   ")</f>
        <v xml:space="preserve">     R/H Commissions                                   </v>
      </c>
      <c r="C51" s="13"/>
      <c r="D51" s="1">
        <f>SUM(OSRRefD22_5x_0)</f>
        <v>0</v>
      </c>
      <c r="E51" s="1"/>
      <c r="F51" s="5">
        <f t="shared" si="28"/>
        <v>0</v>
      </c>
      <c r="G51" s="1"/>
      <c r="H51" s="1">
        <f>SUM(OSRRefH22_5x_0)</f>
        <v>26</v>
      </c>
      <c r="I51" s="1"/>
      <c r="J51" s="5">
        <f t="shared" si="29"/>
        <v>6.4197530864197536E-2</v>
      </c>
      <c r="K51" s="1"/>
      <c r="L51" s="1">
        <f t="shared" si="30"/>
        <v>-26</v>
      </c>
      <c r="M51" s="1"/>
      <c r="N51" s="5">
        <f t="shared" si="31"/>
        <v>-1</v>
      </c>
      <c r="O51" s="13"/>
      <c r="P51" s="1">
        <f>SUM(OSRRefP22_5x_0)</f>
        <v>0</v>
      </c>
      <c r="Q51" s="1"/>
      <c r="R51" s="5">
        <f t="shared" si="32"/>
        <v>0</v>
      </c>
      <c r="S51" s="1"/>
      <c r="T51" s="1">
        <f>SUM(OSRRefT22_5x_0)</f>
        <v>26</v>
      </c>
      <c r="U51" s="1"/>
      <c r="V51" s="5">
        <f t="shared" si="33"/>
        <v>6.4197530864197536E-2</v>
      </c>
      <c r="W51" s="1"/>
      <c r="X51" s="1">
        <f t="shared" si="34"/>
        <v>-26</v>
      </c>
      <c r="Y51" s="1"/>
      <c r="Z51" s="5">
        <f t="shared" si="35"/>
        <v>-1</v>
      </c>
    </row>
    <row r="52" spans="1:26" s="24" customFormat="1" hidden="1" outlineLevel="2" x14ac:dyDescent="0.25">
      <c r="A52" s="27"/>
      <c r="B52" s="11" t="str">
        <f>CONCATENATE("          ", "6387", " - ", "COMMISSION DUE HOUSING")</f>
        <v xml:space="preserve">          6387 - COMMISSION DUE HOUSING</v>
      </c>
      <c r="C52" s="11"/>
      <c r="D52" s="6"/>
      <c r="E52" s="2"/>
      <c r="F52" s="7">
        <f t="shared" si="28"/>
        <v>0</v>
      </c>
      <c r="G52" s="2"/>
      <c r="H52" s="6">
        <v>26</v>
      </c>
      <c r="I52" s="2"/>
      <c r="J52" s="7">
        <f t="shared" si="29"/>
        <v>6.4197530864197536E-2</v>
      </c>
      <c r="K52" s="2"/>
      <c r="L52" s="6">
        <f t="shared" si="30"/>
        <v>-26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26</v>
      </c>
      <c r="U52" s="2"/>
      <c r="V52" s="7">
        <f t="shared" si="33"/>
        <v>6.4197530864197536E-2</v>
      </c>
      <c r="W52" s="2"/>
      <c r="X52" s="6">
        <f t="shared" si="34"/>
        <v>-26</v>
      </c>
      <c r="Y52" s="2"/>
      <c r="Z52" s="7">
        <f t="shared" si="35"/>
        <v>-1</v>
      </c>
    </row>
    <row r="53" spans="1:26" s="26" customFormat="1" outlineLevel="1" collapsed="1" x14ac:dyDescent="0.25">
      <c r="A53" s="25"/>
      <c r="B53" s="13" t="str">
        <f>CONCATENATE("     ","Supplies                                          ")</f>
        <v xml:space="preserve">     Supplies                                          </v>
      </c>
      <c r="C53" s="13"/>
      <c r="D53" s="1">
        <f>SUM(OSRRefD22_6x_0)</f>
        <v>1179.98</v>
      </c>
      <c r="E53" s="1"/>
      <c r="F53" s="5">
        <f t="shared" si="28"/>
        <v>3.7265664477008591</v>
      </c>
      <c r="G53" s="1"/>
      <c r="H53" s="1">
        <f>SUM(OSRRefH22_6x_0)</f>
        <v>8</v>
      </c>
      <c r="I53" s="1"/>
      <c r="J53" s="5">
        <f t="shared" si="29"/>
        <v>1.9753086419753086E-2</v>
      </c>
      <c r="K53" s="1"/>
      <c r="L53" s="1">
        <f t="shared" si="30"/>
        <v>1171.98</v>
      </c>
      <c r="M53" s="1"/>
      <c r="N53" s="5">
        <f t="shared" si="31"/>
        <v>146.4975</v>
      </c>
      <c r="O53" s="13"/>
      <c r="P53" s="1">
        <f>SUM(OSRRefP22_6x_0)</f>
        <v>1336.08</v>
      </c>
      <c r="Q53" s="1"/>
      <c r="R53" s="5">
        <f t="shared" si="32"/>
        <v>4.2195553309752398</v>
      </c>
      <c r="S53" s="1"/>
      <c r="T53" s="1">
        <f>SUM(OSRRefT22_6x_0)</f>
        <v>8</v>
      </c>
      <c r="U53" s="1"/>
      <c r="V53" s="5">
        <f t="shared" si="33"/>
        <v>1.9753086419753086E-2</v>
      </c>
      <c r="W53" s="1"/>
      <c r="X53" s="1">
        <f t="shared" si="34"/>
        <v>1328.08</v>
      </c>
      <c r="Y53" s="1"/>
      <c r="Z53" s="5">
        <f t="shared" si="35"/>
        <v>166.01</v>
      </c>
    </row>
    <row r="54" spans="1:26" s="24" customFormat="1" hidden="1" outlineLevel="2" x14ac:dyDescent="0.25">
      <c r="A54" s="27"/>
      <c r="B54" s="11" t="str">
        <f>CONCATENATE("          ", "6247", " - ", "STORE SUPPLIES")</f>
        <v xml:space="preserve">          6247 - STORE SUPPLIES</v>
      </c>
      <c r="C54" s="11"/>
      <c r="D54" s="6">
        <v>66.38</v>
      </c>
      <c r="E54" s="2"/>
      <c r="F54" s="7">
        <f t="shared" si="28"/>
        <v>0.2096387064173825</v>
      </c>
      <c r="G54" s="2"/>
      <c r="H54" s="6">
        <v>8</v>
      </c>
      <c r="I54" s="2"/>
      <c r="J54" s="7">
        <f t="shared" si="29"/>
        <v>1.9753086419753086E-2</v>
      </c>
      <c r="K54" s="2"/>
      <c r="L54" s="6">
        <f t="shared" si="30"/>
        <v>58.379999999999995</v>
      </c>
      <c r="M54" s="2"/>
      <c r="N54" s="7">
        <f t="shared" si="31"/>
        <v>7.2974999999999994</v>
      </c>
      <c r="O54" s="11"/>
      <c r="P54" s="6">
        <v>222.48</v>
      </c>
      <c r="Q54" s="2"/>
      <c r="R54" s="7">
        <f t="shared" si="32"/>
        <v>0.70262758969176353</v>
      </c>
      <c r="S54" s="2"/>
      <c r="T54" s="6">
        <v>8</v>
      </c>
      <c r="U54" s="2"/>
      <c r="V54" s="7">
        <f t="shared" si="33"/>
        <v>1.9753086419753086E-2</v>
      </c>
      <c r="W54" s="2"/>
      <c r="X54" s="6">
        <f t="shared" si="34"/>
        <v>214.48</v>
      </c>
      <c r="Y54" s="2"/>
      <c r="Z54" s="7">
        <f t="shared" si="35"/>
        <v>26.81</v>
      </c>
    </row>
    <row r="55" spans="1:26" s="24" customFormat="1" hidden="1" outlineLevel="2" x14ac:dyDescent="0.25">
      <c r="A55" s="27"/>
      <c r="B55" s="11" t="str">
        <f>CONCATENATE("          ", "6248", " - ", "UNIFORMS")</f>
        <v xml:space="preserve">          6248 - UNIFORMS</v>
      </c>
      <c r="C55" s="11"/>
      <c r="D55" s="6">
        <v>1113.5999999999999</v>
      </c>
      <c r="E55" s="2"/>
      <c r="F55" s="7">
        <f t="shared" si="28"/>
        <v>3.5169277412834763</v>
      </c>
      <c r="G55" s="2"/>
      <c r="H55" s="6"/>
      <c r="I55" s="2"/>
      <c r="J55" s="7">
        <f t="shared" si="29"/>
        <v>0</v>
      </c>
      <c r="K55" s="2"/>
      <c r="L55" s="6">
        <f t="shared" si="30"/>
        <v>1113.5999999999999</v>
      </c>
      <c r="M55" s="2"/>
      <c r="N55" s="7">
        <f t="shared" si="31"/>
        <v>0</v>
      </c>
      <c r="O55" s="11"/>
      <c r="P55" s="6">
        <v>1113.5999999999999</v>
      </c>
      <c r="Q55" s="2"/>
      <c r="R55" s="7">
        <f t="shared" si="32"/>
        <v>3.5169277412834763</v>
      </c>
      <c r="S55" s="2"/>
      <c r="T55" s="6"/>
      <c r="U55" s="2"/>
      <c r="V55" s="7">
        <f t="shared" si="33"/>
        <v>0</v>
      </c>
      <c r="W55" s="2"/>
      <c r="X55" s="6">
        <f t="shared" si="34"/>
        <v>1113.5999999999999</v>
      </c>
      <c r="Y55" s="2"/>
      <c r="Z55" s="7">
        <f t="shared" si="35"/>
        <v>0</v>
      </c>
    </row>
    <row r="56" spans="1:26" s="26" customFormat="1" outlineLevel="1" collapsed="1" x14ac:dyDescent="0.25">
      <c r="A56" s="25"/>
      <c r="B56" s="13" t="str">
        <f>CONCATENATE("     ","Telephone/Data Lines                              ")</f>
        <v xml:space="preserve">     Telephone/Data Lines                              </v>
      </c>
      <c r="C56" s="13"/>
      <c r="D56" s="1">
        <f>SUM(OSRRefD22_7x_0)</f>
        <v>75.5</v>
      </c>
      <c r="E56" s="1"/>
      <c r="F56" s="5">
        <f t="shared" ref="F56:F57" si="36">IF(D$12=0,0,D56/D$12)</f>
        <v>0.2384411318847903</v>
      </c>
      <c r="G56" s="1"/>
      <c r="H56" s="1">
        <f>SUM(OSRRefH22_7x_0)</f>
        <v>0</v>
      </c>
      <c r="I56" s="1"/>
      <c r="J56" s="5">
        <f t="shared" ref="J56:J57" si="37">IF(H$12=0,0,H56/H$12)</f>
        <v>0</v>
      </c>
      <c r="K56" s="1"/>
      <c r="L56" s="1">
        <f t="shared" ref="L56:L57" si="38">+D56-H56</f>
        <v>75.5</v>
      </c>
      <c r="M56" s="1"/>
      <c r="N56" s="5">
        <f t="shared" ref="N56:N57" si="39">IF(H56=0,0,L56/H56)</f>
        <v>0</v>
      </c>
      <c r="O56" s="13"/>
      <c r="P56" s="1">
        <f>SUM(OSRRefP22_7x_0)</f>
        <v>186.5</v>
      </c>
      <c r="Q56" s="1"/>
      <c r="R56" s="5">
        <f t="shared" ref="R56:R57" si="40">IF(P$12=0,0,P56/P$12)</f>
        <v>0.58899696816574032</v>
      </c>
      <c r="S56" s="1"/>
      <c r="T56" s="1">
        <f>SUM(OSRRefT22_7x_0)</f>
        <v>0</v>
      </c>
      <c r="U56" s="1"/>
      <c r="V56" s="5">
        <f t="shared" ref="V56:V57" si="41">IF(T$12=0,0,T56/T$12)</f>
        <v>0</v>
      </c>
      <c r="W56" s="1"/>
      <c r="X56" s="1">
        <f t="shared" ref="X56:X57" si="42">+P56-T56</f>
        <v>186.5</v>
      </c>
      <c r="Y56" s="1"/>
      <c r="Z56" s="5">
        <f t="shared" ref="Z56:Z57" si="43">IF(T56=0,0,X56/T56)</f>
        <v>0</v>
      </c>
    </row>
    <row r="57" spans="1:26" s="24" customFormat="1" hidden="1" outlineLevel="2" x14ac:dyDescent="0.25">
      <c r="A57" s="27"/>
      <c r="B57" s="11" t="str">
        <f>CONCATENATE("          ", "6309", " - ", "TELEPHONE")</f>
        <v xml:space="preserve">          6309 - TELEPHONE</v>
      </c>
      <c r="C57" s="11"/>
      <c r="D57" s="6">
        <v>75.5</v>
      </c>
      <c r="E57" s="2"/>
      <c r="F57" s="7">
        <f t="shared" si="36"/>
        <v>0.2384411318847903</v>
      </c>
      <c r="G57" s="2"/>
      <c r="H57" s="6"/>
      <c r="I57" s="2"/>
      <c r="J57" s="7">
        <f t="shared" si="37"/>
        <v>0</v>
      </c>
      <c r="K57" s="2"/>
      <c r="L57" s="6">
        <f t="shared" si="38"/>
        <v>75.5</v>
      </c>
      <c r="M57" s="2"/>
      <c r="N57" s="7">
        <f t="shared" si="39"/>
        <v>0</v>
      </c>
      <c r="O57" s="11"/>
      <c r="P57" s="6">
        <v>186.5</v>
      </c>
      <c r="Q57" s="2"/>
      <c r="R57" s="7">
        <f t="shared" si="40"/>
        <v>0.58899696816574032</v>
      </c>
      <c r="S57" s="2"/>
      <c r="T57" s="6"/>
      <c r="U57" s="2"/>
      <c r="V57" s="7">
        <f t="shared" si="41"/>
        <v>0</v>
      </c>
      <c r="W57" s="2"/>
      <c r="X57" s="6">
        <f t="shared" si="42"/>
        <v>186.5</v>
      </c>
      <c r="Y57" s="2"/>
      <c r="Z57" s="7">
        <f t="shared" si="43"/>
        <v>0</v>
      </c>
    </row>
    <row r="58" spans="1:26" s="63" customFormat="1" x14ac:dyDescent="0.25">
      <c r="A58" s="36"/>
      <c r="B58" s="36"/>
      <c r="C58" s="36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6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25">
      <c r="A59" s="10"/>
      <c r="B59" s="28" t="s">
        <v>0</v>
      </c>
      <c r="C59" s="10"/>
      <c r="D59" s="4">
        <f>SUM(0)</f>
        <v>0</v>
      </c>
      <c r="E59" s="4"/>
      <c r="F59" s="12">
        <f>IF(D$12=0,0,D59/D$12)</f>
        <v>0</v>
      </c>
      <c r="G59" s="4"/>
      <c r="H59" s="4">
        <f>SUM(0)</f>
        <v>0</v>
      </c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>
        <f>SUM(0)</f>
        <v>0</v>
      </c>
      <c r="Q59" s="4"/>
      <c r="R59" s="12">
        <f>IF(P$12=0,0,P59/P$12)</f>
        <v>0</v>
      </c>
      <c r="S59" s="4"/>
      <c r="T59" s="4">
        <f>SUM(0)</f>
        <v>0</v>
      </c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25">
      <c r="A61" s="10"/>
      <c r="B61" s="29" t="s">
        <v>3</v>
      </c>
      <c r="C61" s="29"/>
      <c r="D61" s="22">
        <f>+D22-D24+D59</f>
        <v>-2575.1800000000003</v>
      </c>
      <c r="E61" s="14"/>
      <c r="F61" s="20">
        <f>IF(D$12=0,0,D61/D$12)</f>
        <v>-8.1328322385042959</v>
      </c>
      <c r="G61" s="14"/>
      <c r="H61" s="22">
        <f>+H22-H24+H59</f>
        <v>-1424.0183999999999</v>
      </c>
      <c r="I61" s="14"/>
      <c r="J61" s="20">
        <f>IF(H$12=0,0,H61/H$12)</f>
        <v>-3.5160948148148146</v>
      </c>
      <c r="K61" s="15"/>
      <c r="L61" s="22">
        <f>+D61-H61</f>
        <v>-1151.1616000000004</v>
      </c>
      <c r="M61" s="15"/>
      <c r="N61" s="20">
        <f>IF(H61=0,0,L61/H61)</f>
        <v>0.80838955451699246</v>
      </c>
      <c r="O61" s="28"/>
      <c r="P61" s="22">
        <f>+P22-P24+P59</f>
        <v>-3937.38</v>
      </c>
      <c r="Q61" s="14"/>
      <c r="R61" s="20">
        <f>IF(P$12=0,0,P61/P$12)</f>
        <v>-12.434878726629611</v>
      </c>
      <c r="S61" s="14"/>
      <c r="T61" s="22">
        <f>+T22-T24+T59</f>
        <v>-1449.0183999999999</v>
      </c>
      <c r="U61" s="14"/>
      <c r="V61" s="20">
        <f>IF(T$12=0,0,T61/T$12)</f>
        <v>-3.5778232098765432</v>
      </c>
      <c r="W61" s="15"/>
      <c r="X61" s="22">
        <f>+P61-T61</f>
        <v>-2488.3616000000002</v>
      </c>
      <c r="Y61" s="15"/>
      <c r="Z61" s="20">
        <f>IF(T61=0,0,X61/T61)</f>
        <v>1.7172739835463788</v>
      </c>
    </row>
    <row r="62" spans="1:26" x14ac:dyDescent="0.25">
      <c r="A62" s="9"/>
      <c r="B62" s="10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52"/>
      <c r="B63" s="10" t="s">
        <v>14</v>
      </c>
      <c r="C63" s="10"/>
      <c r="D63" s="4">
        <v>39.479999999999997</v>
      </c>
      <c r="E63" s="4"/>
      <c r="F63" s="12">
        <f>IF(D$12=0,0,D63/D$12)</f>
        <v>0.12468418393127842</v>
      </c>
      <c r="G63" s="4"/>
      <c r="H63" s="4">
        <v>66</v>
      </c>
      <c r="I63" s="4"/>
      <c r="J63" s="12">
        <f>IF(H$12=0,0,H63/H$12)</f>
        <v>0.16296296296296298</v>
      </c>
      <c r="K63" s="4"/>
      <c r="L63" s="4">
        <f>+D63-H63</f>
        <v>-26.520000000000003</v>
      </c>
      <c r="M63" s="4"/>
      <c r="N63" s="12">
        <f>IF(H63=0,0,L63/H63)</f>
        <v>-0.40181818181818185</v>
      </c>
      <c r="O63" s="10"/>
      <c r="P63" s="4">
        <v>39.479999999999997</v>
      </c>
      <c r="Q63" s="4"/>
      <c r="R63" s="12">
        <f>IF(P$12=0,0,P63/P$12)</f>
        <v>0.12468418393127842</v>
      </c>
      <c r="S63" s="4"/>
      <c r="T63" s="4">
        <v>66</v>
      </c>
      <c r="U63" s="4"/>
      <c r="V63" s="12">
        <f>IF(T$12=0,0,T63/T$12)</f>
        <v>0.16296296296296298</v>
      </c>
      <c r="W63" s="4"/>
      <c r="X63" s="4">
        <f>+P63-T63</f>
        <v>-26.520000000000003</v>
      </c>
      <c r="Y63" s="4"/>
      <c r="Z63" s="12">
        <f>IF(T63=0,0,X63/T63)</f>
        <v>-0.40181818181818185</v>
      </c>
    </row>
    <row r="64" spans="1:26" x14ac:dyDescent="0.25">
      <c r="A64" s="9"/>
      <c r="B64" s="10"/>
      <c r="C64" s="10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O64" s="10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9" t="s">
        <v>4</v>
      </c>
      <c r="C65" s="29"/>
      <c r="D65" s="31">
        <f>+D61-D63</f>
        <v>-2614.6600000000003</v>
      </c>
      <c r="E65" s="14"/>
      <c r="F65" s="32">
        <f>IF(D$12=0,0,D65/D$12)</f>
        <v>-8.2575164224355753</v>
      </c>
      <c r="G65" s="14"/>
      <c r="H65" s="31">
        <f>+H61-H63</f>
        <v>-1490.0183999999999</v>
      </c>
      <c r="I65" s="14"/>
      <c r="J65" s="32">
        <f>IF(H$12=0,0,H65/H$12)</f>
        <v>-3.6790577777777775</v>
      </c>
      <c r="K65" s="15"/>
      <c r="L65" s="31">
        <f>D65-H65</f>
        <v>-1124.6416000000004</v>
      </c>
      <c r="M65" s="15"/>
      <c r="N65" s="32">
        <f>IF(H65=0,0,L65/H65)</f>
        <v>0.75478369931539124</v>
      </c>
      <c r="O65" s="28"/>
      <c r="P65" s="31">
        <f>+P61-P63</f>
        <v>-3976.86</v>
      </c>
      <c r="Q65" s="14"/>
      <c r="R65" s="32">
        <f>IF(P$12=0,0,P65/P$12)</f>
        <v>-12.55956291056089</v>
      </c>
      <c r="S65" s="14"/>
      <c r="T65" s="31">
        <f>+T61-T63</f>
        <v>-1515.0183999999999</v>
      </c>
      <c r="U65" s="14"/>
      <c r="V65" s="32">
        <f>IF(T$12=0,0,T65/T$12)</f>
        <v>-3.7407861728395062</v>
      </c>
      <c r="W65" s="15"/>
      <c r="X65" s="31">
        <f>P65-T65</f>
        <v>-2461.8416000000002</v>
      </c>
      <c r="Y65" s="15"/>
      <c r="Z65" s="32">
        <f>IF(T65=0,0,X65/T65)</f>
        <v>1.6249582183292297</v>
      </c>
    </row>
    <row r="66" spans="1:26" ht="15.75" thickTop="1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9" t="s">
        <v>5</v>
      </c>
      <c r="C68" s="29"/>
      <c r="D68" s="33">
        <f>SUM(D65:D67)</f>
        <v>-2614.6600000000003</v>
      </c>
      <c r="E68" s="14"/>
      <c r="F68" s="35">
        <f>IF(D$12=0,0,D68/D$12)</f>
        <v>-8.2575164224355753</v>
      </c>
      <c r="G68" s="14"/>
      <c r="H68" s="33">
        <f>SUM(H65:H67)</f>
        <v>-1490.0183999999999</v>
      </c>
      <c r="I68" s="14"/>
      <c r="J68" s="35">
        <f>IF(H$12=0,0,H68/H$12)</f>
        <v>-3.6790577777777775</v>
      </c>
      <c r="K68" s="15"/>
      <c r="L68" s="33">
        <f>+D68-H68</f>
        <v>-1124.6416000000004</v>
      </c>
      <c r="M68" s="15"/>
      <c r="N68" s="35">
        <f>IF(H68=0,0,L68/H68)</f>
        <v>0.75478369931539124</v>
      </c>
      <c r="O68" s="28"/>
      <c r="P68" s="33">
        <f>SUM(P65:P67)</f>
        <v>-3976.86</v>
      </c>
      <c r="Q68" s="14"/>
      <c r="R68" s="35">
        <f>IF(P$12=0,0,P68/P$12)</f>
        <v>-12.55956291056089</v>
      </c>
      <c r="S68" s="14"/>
      <c r="T68" s="33">
        <f>SUM(T65:T67)</f>
        <v>-1515.0183999999999</v>
      </c>
      <c r="U68" s="14"/>
      <c r="V68" s="35">
        <f>IF(T$12=0,0,T68/T$12)</f>
        <v>-3.7407861728395062</v>
      </c>
      <c r="W68" s="15"/>
      <c r="X68" s="33">
        <f>+P68-T68</f>
        <v>-2461.8416000000002</v>
      </c>
      <c r="Y68" s="15"/>
      <c r="Z68" s="35">
        <f>IF(T68=0,0,X68/T68)</f>
        <v>1.6249582183292297</v>
      </c>
    </row>
    <row r="69" spans="1:26" ht="15.75" thickTop="1" x14ac:dyDescent="0.25">
      <c r="A69" s="9"/>
      <c r="C69" s="9"/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25">
      <c r="A70" s="9"/>
      <c r="B70" s="61">
        <v>43732.706544097222</v>
      </c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25">
      <c r="A71" s="9"/>
      <c r="B71" s="62" t="s">
        <v>314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25">
      <c r="A72" s="9"/>
      <c r="B72" s="58"/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25"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","444", " - ", "Parkside Dining Hall")</f>
        <v>Department 444 - Parkside Dining Hall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185248.81</v>
      </c>
      <c r="E12" s="4"/>
      <c r="F12" s="12"/>
      <c r="G12" s="4"/>
      <c r="H12" s="4">
        <f>SUM(OSRRefH13x_0)</f>
        <v>174824</v>
      </c>
      <c r="I12" s="4"/>
      <c r="J12" s="12"/>
      <c r="K12" s="4"/>
      <c r="L12" s="4">
        <f t="shared" ref="L12:L16" si="0">+D12-H12</f>
        <v>10424.809999999998</v>
      </c>
      <c r="M12" s="4"/>
      <c r="N12" s="12">
        <f t="shared" ref="N12:N16" si="1">IF(H12=0,0,L12/H12)</f>
        <v>5.9630313915709499E-2</v>
      </c>
      <c r="O12" s="10"/>
      <c r="P12" s="4">
        <f>SUM(OSRRefP13x_0)</f>
        <v>401506.20999999996</v>
      </c>
      <c r="Q12" s="4"/>
      <c r="R12" s="12"/>
      <c r="S12" s="4"/>
      <c r="T12" s="4">
        <f>SUM(OSRRefT13x_0)</f>
        <v>396627</v>
      </c>
      <c r="U12" s="4"/>
      <c r="V12" s="12"/>
      <c r="W12" s="4"/>
      <c r="X12" s="4">
        <f t="shared" ref="X12:X16" si="2">+P12-T12</f>
        <v>4879.2099999999627</v>
      </c>
      <c r="Y12" s="4"/>
      <c r="Z12" s="12">
        <f t="shared" ref="Z12:Z16" si="3">IF(T12=0,0,X12/T12)</f>
        <v>1.2301759587723385E-2</v>
      </c>
    </row>
    <row r="13" spans="1:26" s="24" customFormat="1" hidden="1" outlineLevel="1" x14ac:dyDescent="0.25">
      <c r="A13" s="46"/>
      <c r="B13" s="11" t="str">
        <f>CONCATENATE("          ", "4053", " - ", "TAXABLE SALES-FOOD")</f>
        <v xml:space="preserve">          4053 - TAXABLE SALES-FOOD</v>
      </c>
      <c r="C13" s="11"/>
      <c r="D13" s="2">
        <f>--212.97</f>
        <v>212.97</v>
      </c>
      <c r="E13" s="2"/>
      <c r="F13" s="21"/>
      <c r="G13" s="2"/>
      <c r="H13" s="2"/>
      <c r="I13" s="2"/>
      <c r="J13" s="21"/>
      <c r="K13" s="2"/>
      <c r="L13" s="2">
        <f t="shared" si="0"/>
        <v>212.97</v>
      </c>
      <c r="M13" s="2"/>
      <c r="N13" s="21">
        <f t="shared" si="1"/>
        <v>0</v>
      </c>
      <c r="O13" s="11"/>
      <c r="P13" s="2">
        <f>--698.42</f>
        <v>698.42</v>
      </c>
      <c r="Q13" s="2"/>
      <c r="R13" s="21"/>
      <c r="S13" s="2"/>
      <c r="T13" s="2"/>
      <c r="U13" s="2"/>
      <c r="V13" s="21"/>
      <c r="W13" s="2"/>
      <c r="X13" s="2">
        <f t="shared" si="2"/>
        <v>698.42</v>
      </c>
      <c r="Y13" s="2"/>
      <c r="Z13" s="21">
        <f t="shared" si="3"/>
        <v>0</v>
      </c>
    </row>
    <row r="14" spans="1:26" s="24" customFormat="1" hidden="1" outlineLevel="1" x14ac:dyDescent="0.25">
      <c r="A14" s="46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1"/>
      <c r="G14" s="2"/>
      <c r="H14" s="2">
        <v>174824</v>
      </c>
      <c r="I14" s="2"/>
      <c r="J14" s="21"/>
      <c r="K14" s="2"/>
      <c r="L14" s="2">
        <f t="shared" si="0"/>
        <v>-174824</v>
      </c>
      <c r="M14" s="2"/>
      <c r="N14" s="21">
        <f t="shared" si="1"/>
        <v>-1</v>
      </c>
      <c r="O14" s="11"/>
      <c r="P14" s="2">
        <f>0</f>
        <v>0</v>
      </c>
      <c r="Q14" s="2"/>
      <c r="R14" s="21"/>
      <c r="S14" s="2"/>
      <c r="T14" s="2">
        <v>396627</v>
      </c>
      <c r="U14" s="2"/>
      <c r="V14" s="21"/>
      <c r="W14" s="2"/>
      <c r="X14" s="2">
        <f t="shared" si="2"/>
        <v>-396627</v>
      </c>
      <c r="Y14" s="2"/>
      <c r="Z14" s="21">
        <f t="shared" si="3"/>
        <v>-1</v>
      </c>
    </row>
    <row r="15" spans="1:26" s="24" customFormat="1" hidden="1" outlineLevel="1" x14ac:dyDescent="0.25">
      <c r="A15" s="46"/>
      <c r="B15" s="11" t="str">
        <f>CONCATENATE("          ", "4151", " - ", "NON-TAXABLE SALES-FOOD")</f>
        <v xml:space="preserve">          4151 - NON-TAXABLE SALES-FOOD</v>
      </c>
      <c r="C15" s="11"/>
      <c r="D15" s="2">
        <f>--181504.91</f>
        <v>181504.91</v>
      </c>
      <c r="E15" s="2"/>
      <c r="F15" s="21"/>
      <c r="G15" s="2"/>
      <c r="H15" s="2"/>
      <c r="I15" s="2"/>
      <c r="J15" s="21"/>
      <c r="K15" s="2"/>
      <c r="L15" s="2">
        <f t="shared" si="0"/>
        <v>181504.91</v>
      </c>
      <c r="M15" s="2"/>
      <c r="N15" s="21">
        <f t="shared" si="1"/>
        <v>0</v>
      </c>
      <c r="O15" s="11"/>
      <c r="P15" s="2">
        <f>--382161.91</f>
        <v>382161.91</v>
      </c>
      <c r="Q15" s="2"/>
      <c r="R15" s="21"/>
      <c r="S15" s="2"/>
      <c r="T15" s="2"/>
      <c r="U15" s="2"/>
      <c r="V15" s="21"/>
      <c r="W15" s="2"/>
      <c r="X15" s="2">
        <f t="shared" si="2"/>
        <v>382161.91</v>
      </c>
      <c r="Y15" s="2"/>
      <c r="Z15" s="21">
        <f t="shared" si="3"/>
        <v>0</v>
      </c>
    </row>
    <row r="16" spans="1:26" s="24" customFormat="1" hidden="1" outlineLevel="1" x14ac:dyDescent="0.25">
      <c r="A16" s="46"/>
      <c r="B16" s="11" t="str">
        <f>CONCATENATE("          ", "4153", " - ", "NON-TAXABLE SALES-FOOD")</f>
        <v xml:space="preserve">          4153 - NON-TAXABLE SALES-FOOD</v>
      </c>
      <c r="C16" s="11"/>
      <c r="D16" s="2">
        <f>--3530.93</f>
        <v>3530.93</v>
      </c>
      <c r="E16" s="2"/>
      <c r="F16" s="21"/>
      <c r="G16" s="2"/>
      <c r="H16" s="2"/>
      <c r="I16" s="2"/>
      <c r="J16" s="21"/>
      <c r="K16" s="2"/>
      <c r="L16" s="2">
        <f t="shared" si="0"/>
        <v>3530.93</v>
      </c>
      <c r="M16" s="2"/>
      <c r="N16" s="21">
        <f t="shared" si="1"/>
        <v>0</v>
      </c>
      <c r="O16" s="11"/>
      <c r="P16" s="2">
        <f>--18645.88</f>
        <v>18645.88</v>
      </c>
      <c r="Q16" s="2"/>
      <c r="R16" s="21"/>
      <c r="S16" s="2"/>
      <c r="T16" s="2"/>
      <c r="U16" s="2"/>
      <c r="V16" s="21"/>
      <c r="W16" s="2"/>
      <c r="X16" s="2">
        <f t="shared" si="2"/>
        <v>18645.88</v>
      </c>
      <c r="Y16" s="2"/>
      <c r="Z16" s="21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8" t="s">
        <v>8</v>
      </c>
      <c r="C18" s="10"/>
      <c r="D18" s="4">
        <f>SUM(OSRRefD16x_0)</f>
        <v>54615.399999999994</v>
      </c>
      <c r="E18" s="4"/>
      <c r="F18" s="12">
        <f t="shared" ref="F18:F21" si="4">IF(D$12=0,0,D18/D$12)</f>
        <v>0.29482186687191131</v>
      </c>
      <c r="G18" s="4"/>
      <c r="H18" s="4">
        <f>SUM(OSRRefH16x_0)</f>
        <v>75174</v>
      </c>
      <c r="I18" s="4"/>
      <c r="J18" s="12">
        <f t="shared" ref="J18:J21" si="5">IF(H$12=0,0,H18/H$12)</f>
        <v>0.42999816958769965</v>
      </c>
      <c r="K18" s="4"/>
      <c r="L18" s="4">
        <f t="shared" ref="L18:L21" si="6">+D18-H18</f>
        <v>-20558.600000000006</v>
      </c>
      <c r="M18" s="4"/>
      <c r="N18" s="12">
        <f t="shared" ref="N18:N21" si="7">IF(H18=0,0,L18/H18)</f>
        <v>-0.27348019261978884</v>
      </c>
      <c r="O18" s="10"/>
      <c r="P18" s="4">
        <f>SUM(OSRRefP16x_0)</f>
        <v>131572.5</v>
      </c>
      <c r="Q18" s="4"/>
      <c r="R18" s="12">
        <f t="shared" ref="R18:R21" si="8">IF(P$12=0,0,P18/P$12)</f>
        <v>0.32769729763332928</v>
      </c>
      <c r="S18" s="4"/>
      <c r="T18" s="4">
        <f>SUM(OSRRefT16x_0)</f>
        <v>150587</v>
      </c>
      <c r="U18" s="4"/>
      <c r="V18" s="12">
        <f t="shared" ref="V18:V21" si="9">IF(T$12=0,0,T18/T$12)</f>
        <v>0.37966905934290907</v>
      </c>
      <c r="W18" s="4"/>
      <c r="X18" s="4">
        <f t="shared" ref="X18:X21" si="10">+P18-T18</f>
        <v>-19014.5</v>
      </c>
      <c r="Y18" s="4"/>
      <c r="Z18" s="12">
        <f t="shared" ref="Z18:Z21" si="11">IF(T18=0,0,X18/T18)</f>
        <v>-0.12626919986453014</v>
      </c>
    </row>
    <row r="19" spans="1:26" s="24" customFormat="1" hidden="1" outlineLevel="1" x14ac:dyDescent="0.25">
      <c r="A19" s="46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1">
        <f t="shared" si="4"/>
        <v>0</v>
      </c>
      <c r="G19" s="2"/>
      <c r="H19" s="2">
        <v>75174</v>
      </c>
      <c r="I19" s="2"/>
      <c r="J19" s="21">
        <f t="shared" si="5"/>
        <v>0.42999816958769965</v>
      </c>
      <c r="K19" s="2"/>
      <c r="L19" s="2">
        <f t="shared" si="6"/>
        <v>-75174</v>
      </c>
      <c r="M19" s="2"/>
      <c r="N19" s="21">
        <f t="shared" si="7"/>
        <v>-1</v>
      </c>
      <c r="O19" s="11"/>
      <c r="P19" s="2"/>
      <c r="Q19" s="2"/>
      <c r="R19" s="21">
        <f t="shared" si="8"/>
        <v>0</v>
      </c>
      <c r="S19" s="2"/>
      <c r="T19" s="2">
        <v>150587</v>
      </c>
      <c r="U19" s="2"/>
      <c r="V19" s="21">
        <f t="shared" si="9"/>
        <v>0.37966905934290907</v>
      </c>
      <c r="W19" s="2"/>
      <c r="X19" s="2">
        <f t="shared" si="10"/>
        <v>-150587</v>
      </c>
      <c r="Y19" s="2"/>
      <c r="Z19" s="21">
        <f t="shared" si="11"/>
        <v>-1</v>
      </c>
    </row>
    <row r="20" spans="1:26" s="24" customFormat="1" hidden="1" outlineLevel="1" x14ac:dyDescent="0.25">
      <c r="A20" s="46"/>
      <c r="B20" s="11" t="str">
        <f>CONCATENATE("          ", "5053", " - ", "PURCHASES @ COST-FOOD")</f>
        <v xml:space="preserve">          5053 - PURCHASES @ COST-FOOD</v>
      </c>
      <c r="C20" s="11"/>
      <c r="D20" s="2">
        <v>70099.149999999994</v>
      </c>
      <c r="E20" s="2"/>
      <c r="F20" s="21">
        <f t="shared" si="4"/>
        <v>0.3784053997431886</v>
      </c>
      <c r="G20" s="2"/>
      <c r="H20" s="2"/>
      <c r="I20" s="2"/>
      <c r="J20" s="21">
        <f t="shared" si="5"/>
        <v>0</v>
      </c>
      <c r="K20" s="2"/>
      <c r="L20" s="2">
        <f t="shared" si="6"/>
        <v>70099.149999999994</v>
      </c>
      <c r="M20" s="2"/>
      <c r="N20" s="21">
        <f t="shared" si="7"/>
        <v>0</v>
      </c>
      <c r="O20" s="11"/>
      <c r="P20" s="2">
        <v>143653.25</v>
      </c>
      <c r="Q20" s="2"/>
      <c r="R20" s="21">
        <f t="shared" si="8"/>
        <v>0.3577858733492566</v>
      </c>
      <c r="S20" s="2"/>
      <c r="T20" s="2"/>
      <c r="U20" s="2"/>
      <c r="V20" s="21">
        <f t="shared" si="9"/>
        <v>0</v>
      </c>
      <c r="W20" s="2"/>
      <c r="X20" s="2">
        <f t="shared" si="10"/>
        <v>143653.25</v>
      </c>
      <c r="Y20" s="2"/>
      <c r="Z20" s="21">
        <f t="shared" si="11"/>
        <v>0</v>
      </c>
    </row>
    <row r="21" spans="1:26" s="24" customFormat="1" hidden="1" outlineLevel="1" x14ac:dyDescent="0.25">
      <c r="A21" s="46"/>
      <c r="B21" s="11" t="str">
        <f>CONCATENATE("          ", "5059", " - ", "PURCHASES @ COST-FOOD")</f>
        <v xml:space="preserve">          5059 - PURCHASES @ COST-FOOD</v>
      </c>
      <c r="C21" s="11"/>
      <c r="D21" s="2">
        <v>-15483.750000000002</v>
      </c>
      <c r="E21" s="2"/>
      <c r="F21" s="21">
        <f t="shared" si="4"/>
        <v>-8.3583532871277288E-2</v>
      </c>
      <c r="G21" s="2"/>
      <c r="H21" s="2"/>
      <c r="I21" s="2"/>
      <c r="J21" s="21">
        <f t="shared" si="5"/>
        <v>0</v>
      </c>
      <c r="K21" s="2"/>
      <c r="L21" s="2">
        <f t="shared" si="6"/>
        <v>-15483.750000000002</v>
      </c>
      <c r="M21" s="2"/>
      <c r="N21" s="21">
        <f t="shared" si="7"/>
        <v>0</v>
      </c>
      <c r="O21" s="11"/>
      <c r="P21" s="2">
        <v>-12080.75</v>
      </c>
      <c r="Q21" s="2"/>
      <c r="R21" s="21">
        <f t="shared" si="8"/>
        <v>-3.0088575715927286E-2</v>
      </c>
      <c r="S21" s="2"/>
      <c r="T21" s="2"/>
      <c r="U21" s="2"/>
      <c r="V21" s="21">
        <f t="shared" si="9"/>
        <v>0</v>
      </c>
      <c r="W21" s="2"/>
      <c r="X21" s="2">
        <f t="shared" si="10"/>
        <v>-12080.75</v>
      </c>
      <c r="Y21" s="2"/>
      <c r="Z21" s="21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9" t="s">
        <v>6</v>
      </c>
      <c r="C23" s="29"/>
      <c r="D23" s="22">
        <f>D12-D18</f>
        <v>130633.41</v>
      </c>
      <c r="E23" s="14"/>
      <c r="F23" s="20">
        <f>IF(D$12=0,0,D23/D$12)</f>
        <v>0.70517813312808864</v>
      </c>
      <c r="G23" s="14"/>
      <c r="H23" s="22">
        <f>H12-H18</f>
        <v>99650</v>
      </c>
      <c r="I23" s="14"/>
      <c r="J23" s="20">
        <f>IF(H$12=0,0,H23/H$12)</f>
        <v>0.57000183041230035</v>
      </c>
      <c r="K23" s="15"/>
      <c r="L23" s="22">
        <f>+D23-H23</f>
        <v>30983.410000000003</v>
      </c>
      <c r="M23" s="15"/>
      <c r="N23" s="20">
        <f>IF(H23=0,0,L23/H23)</f>
        <v>0.31092232814851983</v>
      </c>
      <c r="O23" s="28"/>
      <c r="P23" s="22">
        <f>P12-P18</f>
        <v>269933.70999999996</v>
      </c>
      <c r="Q23" s="14"/>
      <c r="R23" s="20">
        <f>IF(P$12=0,0,P23/P$12)</f>
        <v>0.67230270236667067</v>
      </c>
      <c r="S23" s="14"/>
      <c r="T23" s="22">
        <f>T12-T18</f>
        <v>246040</v>
      </c>
      <c r="U23" s="14"/>
      <c r="V23" s="20">
        <f>IF(T$12=0,0,T23/T$12)</f>
        <v>0.62033094065709093</v>
      </c>
      <c r="W23" s="15"/>
      <c r="X23" s="22">
        <f>+P23-T23</f>
        <v>23893.709999999963</v>
      </c>
      <c r="Y23" s="15"/>
      <c r="Z23" s="20">
        <f>IF(T23=0,0,X23/T23)</f>
        <v>9.7113111689156081E-2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8" t="s">
        <v>9</v>
      </c>
      <c r="C25" s="10"/>
      <c r="D25" s="19">
        <f>SUM(OSRRefD22x_0)</f>
        <v>138560.36999999997</v>
      </c>
      <c r="E25" s="19"/>
      <c r="F25" s="34">
        <f t="shared" ref="F25:F36" si="12">IF(D$12=0,0,D25/D$12)</f>
        <v>0.74796901529353932</v>
      </c>
      <c r="G25" s="19"/>
      <c r="H25" s="19">
        <f>SUM(OSRRefH22x_0)</f>
        <v>157426.09350622463</v>
      </c>
      <c r="I25" s="19"/>
      <c r="J25" s="34">
        <f t="shared" ref="J25:J36" si="13">IF(H$12=0,0,H25/H$12)</f>
        <v>0.90048330610342187</v>
      </c>
      <c r="K25" s="4"/>
      <c r="L25" s="19">
        <f t="shared" ref="L25:L36" si="14">+D25-H25</f>
        <v>-18865.723506224662</v>
      </c>
      <c r="M25" s="4"/>
      <c r="N25" s="34">
        <f t="shared" ref="N25:N36" si="15">IF(H25=0,0,L25/H25)</f>
        <v>-0.11983860544363131</v>
      </c>
      <c r="O25" s="10"/>
      <c r="P25" s="19">
        <f>SUM(OSRRefP22x_0)</f>
        <v>291829.07000000007</v>
      </c>
      <c r="Q25" s="19"/>
      <c r="R25" s="34">
        <f t="shared" ref="R25:R36" si="16">IF(P$12=0,0,P25/P$12)</f>
        <v>0.72683575678692514</v>
      </c>
      <c r="S25" s="19"/>
      <c r="T25" s="19">
        <f>SUM(OSRRefT22x_0)</f>
        <v>323968.93779200537</v>
      </c>
      <c r="U25" s="19"/>
      <c r="V25" s="34">
        <f t="shared" ref="V25:V36" si="17">IF(T$12=0,0,T25/T$12)</f>
        <v>0.81681009561125528</v>
      </c>
      <c r="W25" s="4"/>
      <c r="X25" s="19">
        <f t="shared" ref="X25:X36" si="18">+P25-T25</f>
        <v>-32139.867792005301</v>
      </c>
      <c r="Y25" s="4"/>
      <c r="Z25" s="34">
        <f t="shared" ref="Z25:Z36" si="19">IF(T25=0,0,X25/T25)</f>
        <v>-9.9206633855248638E-2</v>
      </c>
    </row>
    <row r="26" spans="1:26" s="26" customFormat="1" outlineLevel="1" collapsed="1" x14ac:dyDescent="0.25">
      <c r="A26" s="25"/>
      <c r="B26" s="13" t="str">
        <f>CONCATENATE("     ","*Benefits                                         ")</f>
        <v xml:space="preserve">     *Benefits                                         </v>
      </c>
      <c r="C26" s="13"/>
      <c r="D26" s="1">
        <f>SUM(OSRRefD22_0x_0)</f>
        <v>31822.109999999997</v>
      </c>
      <c r="E26" s="1"/>
      <c r="F26" s="5">
        <f t="shared" si="12"/>
        <v>0.17178037472953267</v>
      </c>
      <c r="G26" s="1"/>
      <c r="H26" s="1">
        <f>SUM(OSRRefH22_0x_0)</f>
        <v>32739.614429301528</v>
      </c>
      <c r="I26" s="1"/>
      <c r="J26" s="5">
        <f t="shared" si="13"/>
        <v>0.18727185300245691</v>
      </c>
      <c r="K26" s="1"/>
      <c r="L26" s="1">
        <f t="shared" si="14"/>
        <v>-917.50442930153076</v>
      </c>
      <c r="M26" s="1"/>
      <c r="N26" s="5">
        <f t="shared" si="15"/>
        <v>-2.8024289390542616E-2</v>
      </c>
      <c r="O26" s="13"/>
      <c r="P26" s="1">
        <f>SUM(OSRRefP22_0x_0)</f>
        <v>66991.350000000006</v>
      </c>
      <c r="Q26" s="1"/>
      <c r="R26" s="5">
        <f t="shared" si="16"/>
        <v>0.16685009678928756</v>
      </c>
      <c r="S26" s="1"/>
      <c r="T26" s="1">
        <f>SUM(OSRRefT22_0x_0)</f>
        <v>69123.80921892848</v>
      </c>
      <c r="U26" s="1"/>
      <c r="V26" s="5">
        <f t="shared" si="17"/>
        <v>0.17427913182644772</v>
      </c>
      <c r="W26" s="1"/>
      <c r="X26" s="1">
        <f t="shared" si="18"/>
        <v>-2132.459218928474</v>
      </c>
      <c r="Y26" s="1"/>
      <c r="Z26" s="5">
        <f t="shared" si="19"/>
        <v>-3.0849851057463615E-2</v>
      </c>
    </row>
    <row r="27" spans="1:26" s="24" customFormat="1" hidden="1" outlineLevel="2" x14ac:dyDescent="0.25">
      <c r="A27" s="27"/>
      <c r="B27" s="11" t="str">
        <f>CONCATENATE("          ", "6111", " - ", "F.I.C.A.")</f>
        <v xml:space="preserve">          6111 - F.I.C.A.</v>
      </c>
      <c r="C27" s="11"/>
      <c r="D27" s="6">
        <v>5021.96</v>
      </c>
      <c r="E27" s="2"/>
      <c r="F27" s="7">
        <f t="shared" si="12"/>
        <v>2.7109269959682873E-2</v>
      </c>
      <c r="G27" s="2"/>
      <c r="H27" s="6">
        <v>5800.0299965630802</v>
      </c>
      <c r="I27" s="2"/>
      <c r="J27" s="7">
        <f t="shared" si="13"/>
        <v>3.3176394525712034E-2</v>
      </c>
      <c r="K27" s="2"/>
      <c r="L27" s="6">
        <f t="shared" si="14"/>
        <v>-778.06999656308017</v>
      </c>
      <c r="M27" s="2"/>
      <c r="N27" s="7">
        <f t="shared" si="15"/>
        <v>-0.13414930561120211</v>
      </c>
      <c r="O27" s="11"/>
      <c r="P27" s="6">
        <v>10131.61</v>
      </c>
      <c r="Q27" s="2"/>
      <c r="R27" s="7">
        <f t="shared" si="16"/>
        <v>2.523400572060891E-2</v>
      </c>
      <c r="S27" s="2"/>
      <c r="T27" s="6">
        <v>11690.894692266929</v>
      </c>
      <c r="U27" s="2"/>
      <c r="V27" s="7">
        <f t="shared" si="17"/>
        <v>2.9475791341151584E-2</v>
      </c>
      <c r="W27" s="2"/>
      <c r="X27" s="6">
        <f t="shared" si="18"/>
        <v>-1559.2846922669287</v>
      </c>
      <c r="Y27" s="2"/>
      <c r="Z27" s="7">
        <f t="shared" si="19"/>
        <v>-0.13337599331027544</v>
      </c>
    </row>
    <row r="28" spans="1:26" s="24" customFormat="1" hidden="1" outlineLevel="2" x14ac:dyDescent="0.25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2731.16</v>
      </c>
      <c r="E28" s="2"/>
      <c r="F28" s="7">
        <f t="shared" si="12"/>
        <v>1.4743198620277237E-2</v>
      </c>
      <c r="G28" s="2"/>
      <c r="H28" s="6">
        <v>3512.6060950153797</v>
      </c>
      <c r="I28" s="2"/>
      <c r="J28" s="7">
        <f t="shared" si="13"/>
        <v>2.0092241883353429E-2</v>
      </c>
      <c r="K28" s="2"/>
      <c r="L28" s="6">
        <f t="shared" si="14"/>
        <v>-781.4460950153798</v>
      </c>
      <c r="M28" s="2"/>
      <c r="N28" s="7">
        <f t="shared" si="15"/>
        <v>-0.22246903691373293</v>
      </c>
      <c r="O28" s="11"/>
      <c r="P28" s="6">
        <v>5430.76</v>
      </c>
      <c r="Q28" s="2"/>
      <c r="R28" s="7">
        <f t="shared" si="16"/>
        <v>1.352596763073727E-2</v>
      </c>
      <c r="S28" s="2"/>
      <c r="T28" s="6">
        <v>7103.2357397846099</v>
      </c>
      <c r="U28" s="2"/>
      <c r="V28" s="7">
        <f t="shared" si="17"/>
        <v>1.7909107901843822E-2</v>
      </c>
      <c r="W28" s="2"/>
      <c r="X28" s="6">
        <f t="shared" si="18"/>
        <v>-1672.4757397846097</v>
      </c>
      <c r="Y28" s="2"/>
      <c r="Z28" s="7">
        <f t="shared" si="19"/>
        <v>-0.23545265862671819</v>
      </c>
    </row>
    <row r="29" spans="1:26" s="24" customFormat="1" hidden="1" outlineLevel="2" x14ac:dyDescent="0.25">
      <c r="A29" s="27"/>
      <c r="B29" s="11" t="str">
        <f>CONCATENATE("          ", "6113", " - ", "GROUP INSURANCE")</f>
        <v xml:space="preserve">          6113 - GROUP INSURANCE</v>
      </c>
      <c r="C29" s="11"/>
      <c r="D29" s="6">
        <v>16686.48</v>
      </c>
      <c r="E29" s="2"/>
      <c r="F29" s="7">
        <f t="shared" si="12"/>
        <v>9.0076044213185491E-2</v>
      </c>
      <c r="G29" s="2"/>
      <c r="H29" s="6">
        <v>16958.384615384599</v>
      </c>
      <c r="I29" s="2"/>
      <c r="J29" s="7">
        <f t="shared" si="13"/>
        <v>9.7002611857551588E-2</v>
      </c>
      <c r="K29" s="2"/>
      <c r="L29" s="6">
        <f t="shared" si="14"/>
        <v>-271.90461538459931</v>
      </c>
      <c r="M29" s="2"/>
      <c r="N29" s="7">
        <f t="shared" si="15"/>
        <v>-1.6033638907913917E-2</v>
      </c>
      <c r="O29" s="11"/>
      <c r="P29" s="6">
        <v>33372.959999999999</v>
      </c>
      <c r="Q29" s="2"/>
      <c r="R29" s="7">
        <f t="shared" si="16"/>
        <v>8.3119411776968535E-2</v>
      </c>
      <c r="S29" s="2"/>
      <c r="T29" s="6">
        <v>36822.615384615397</v>
      </c>
      <c r="U29" s="2"/>
      <c r="V29" s="7">
        <f t="shared" si="17"/>
        <v>9.2839406759034043E-2</v>
      </c>
      <c r="W29" s="2"/>
      <c r="X29" s="6">
        <f t="shared" si="18"/>
        <v>-3449.6553846153984</v>
      </c>
      <c r="Y29" s="2"/>
      <c r="Z29" s="7">
        <f t="shared" si="19"/>
        <v>-9.3683062666338329E-2</v>
      </c>
    </row>
    <row r="30" spans="1:26" s="24" customFormat="1" hidden="1" outlineLevel="2" x14ac:dyDescent="0.25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183</v>
      </c>
      <c r="E30" s="2"/>
      <c r="F30" s="7">
        <f t="shared" si="12"/>
        <v>9.878605967833208E-4</v>
      </c>
      <c r="G30" s="2"/>
      <c r="H30" s="6">
        <v>235.38082080000001</v>
      </c>
      <c r="I30" s="2"/>
      <c r="J30" s="7">
        <f t="shared" si="13"/>
        <v>1.3463873426989429E-3</v>
      </c>
      <c r="K30" s="2"/>
      <c r="L30" s="6">
        <f t="shared" si="14"/>
        <v>-52.380820800000009</v>
      </c>
      <c r="M30" s="2"/>
      <c r="N30" s="7">
        <f t="shared" si="15"/>
        <v>-0.2225364862862268</v>
      </c>
      <c r="O30" s="11"/>
      <c r="P30" s="6">
        <v>363.9</v>
      </c>
      <c r="Q30" s="2"/>
      <c r="R30" s="7">
        <f t="shared" si="16"/>
        <v>9.0633716474771342E-4</v>
      </c>
      <c r="S30" s="2"/>
      <c r="T30" s="6">
        <v>475.99002380000002</v>
      </c>
      <c r="U30" s="2"/>
      <c r="V30" s="7">
        <f t="shared" si="17"/>
        <v>1.2000948594019067E-3</v>
      </c>
      <c r="W30" s="2"/>
      <c r="X30" s="6">
        <f t="shared" si="18"/>
        <v>-112.09002380000004</v>
      </c>
      <c r="Y30" s="2"/>
      <c r="Z30" s="7">
        <f t="shared" si="19"/>
        <v>-0.23548817873354772</v>
      </c>
    </row>
    <row r="31" spans="1:26" s="24" customFormat="1" hidden="1" outlineLevel="2" x14ac:dyDescent="0.25">
      <c r="A31" s="27"/>
      <c r="B31" s="11" t="str">
        <f>CONCATENATE("          ", "6115", " - ", "P.E.R.S.")</f>
        <v xml:space="preserve">          6115 - P.E.R.S.</v>
      </c>
      <c r="C31" s="11"/>
      <c r="D31" s="6">
        <v>1216.6600000000001</v>
      </c>
      <c r="E31" s="2"/>
      <c r="F31" s="7">
        <f t="shared" si="12"/>
        <v>6.5677075064611758E-3</v>
      </c>
      <c r="G31" s="2"/>
      <c r="H31" s="6">
        <v>1267.60705538462</v>
      </c>
      <c r="I31" s="2"/>
      <c r="J31" s="7">
        <f t="shared" si="13"/>
        <v>7.2507610819144974E-3</v>
      </c>
      <c r="K31" s="2"/>
      <c r="L31" s="6">
        <f t="shared" si="14"/>
        <v>-50.947055384619944</v>
      </c>
      <c r="M31" s="2"/>
      <c r="N31" s="7">
        <f t="shared" si="15"/>
        <v>-4.0191520840945051E-2</v>
      </c>
      <c r="O31" s="11"/>
      <c r="P31" s="6">
        <v>2433.3200000000002</v>
      </c>
      <c r="Q31" s="2"/>
      <c r="R31" s="7">
        <f t="shared" si="16"/>
        <v>6.0604791143828145E-3</v>
      </c>
      <c r="S31" s="2"/>
      <c r="T31" s="6">
        <v>2852.1158746153901</v>
      </c>
      <c r="U31" s="2"/>
      <c r="V31" s="7">
        <f t="shared" si="17"/>
        <v>7.1909271799836874E-3</v>
      </c>
      <c r="W31" s="2"/>
      <c r="X31" s="6">
        <f t="shared" si="18"/>
        <v>-418.79587461538995</v>
      </c>
      <c r="Y31" s="2"/>
      <c r="Z31" s="7">
        <f t="shared" si="19"/>
        <v>-0.14683690741417191</v>
      </c>
    </row>
    <row r="32" spans="1:26" s="24" customFormat="1" hidden="1" outlineLevel="2" x14ac:dyDescent="0.25">
      <c r="A32" s="27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593.1</v>
      </c>
      <c r="E33" s="2"/>
      <c r="F33" s="7">
        <f t="shared" si="12"/>
        <v>3.2016399997387298E-3</v>
      </c>
      <c r="G33" s="2"/>
      <c r="H33" s="6"/>
      <c r="I33" s="2"/>
      <c r="J33" s="7">
        <f t="shared" si="13"/>
        <v>0</v>
      </c>
      <c r="K33" s="2"/>
      <c r="L33" s="6">
        <f t="shared" si="14"/>
        <v>593.1</v>
      </c>
      <c r="M33" s="2"/>
      <c r="N33" s="7">
        <f t="shared" si="15"/>
        <v>0</v>
      </c>
      <c r="O33" s="11"/>
      <c r="P33" s="6">
        <v>1270.56</v>
      </c>
      <c r="Q33" s="2"/>
      <c r="R33" s="7">
        <f t="shared" si="16"/>
        <v>3.1644840561743741E-3</v>
      </c>
      <c r="S33" s="2"/>
      <c r="T33" s="6"/>
      <c r="U33" s="2"/>
      <c r="V33" s="7">
        <f t="shared" si="17"/>
        <v>0</v>
      </c>
      <c r="W33" s="2"/>
      <c r="X33" s="6">
        <f t="shared" si="18"/>
        <v>1270.56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"6118", " - ", "VACATION")</f>
        <v xml:space="preserve">          6118 - VACATION</v>
      </c>
      <c r="C34" s="11"/>
      <c r="D34" s="6">
        <v>2637.87</v>
      </c>
      <c r="E34" s="2"/>
      <c r="F34" s="7">
        <f t="shared" si="12"/>
        <v>1.4239605641731247E-2</v>
      </c>
      <c r="G34" s="2"/>
      <c r="H34" s="6">
        <v>1124.5099476923101</v>
      </c>
      <c r="I34" s="2"/>
      <c r="J34" s="7">
        <f t="shared" si="13"/>
        <v>6.4322401254536567E-3</v>
      </c>
      <c r="K34" s="2"/>
      <c r="L34" s="6">
        <f t="shared" si="14"/>
        <v>1513.3600523076898</v>
      </c>
      <c r="M34" s="2"/>
      <c r="N34" s="7">
        <f t="shared" si="15"/>
        <v>1.3457951665197516</v>
      </c>
      <c r="O34" s="11"/>
      <c r="P34" s="6">
        <v>6093.25</v>
      </c>
      <c r="Q34" s="2"/>
      <c r="R34" s="7">
        <f t="shared" si="16"/>
        <v>1.5175979469906582E-2</v>
      </c>
      <c r="S34" s="2"/>
      <c r="T34" s="6">
        <v>2530.1473823076899</v>
      </c>
      <c r="U34" s="2"/>
      <c r="V34" s="7">
        <f t="shared" si="17"/>
        <v>6.3791607286132557E-3</v>
      </c>
      <c r="W34" s="2"/>
      <c r="X34" s="6">
        <f t="shared" si="18"/>
        <v>3563.1026176923101</v>
      </c>
      <c r="Y34" s="2"/>
      <c r="Z34" s="7">
        <f t="shared" si="19"/>
        <v>1.4082589190683767</v>
      </c>
    </row>
    <row r="35" spans="1:26" s="24" customFormat="1" hidden="1" outlineLevel="2" x14ac:dyDescent="0.25">
      <c r="A35" s="27"/>
      <c r="B35" s="11" t="str">
        <f>CONCATENATE("          ", "6119", " - ", "SICK LEAVE")</f>
        <v xml:space="preserve">          6119 - SICK LEAVE</v>
      </c>
      <c r="C35" s="11"/>
      <c r="D35" s="6">
        <v>1637.04</v>
      </c>
      <c r="E35" s="2"/>
      <c r="F35" s="7">
        <f t="shared" si="12"/>
        <v>8.836979843487254E-3</v>
      </c>
      <c r="G35" s="2"/>
      <c r="H35" s="6">
        <v>2341.0958984615399</v>
      </c>
      <c r="I35" s="2"/>
      <c r="J35" s="7">
        <f t="shared" si="13"/>
        <v>1.3391158527785316E-2</v>
      </c>
      <c r="K35" s="2"/>
      <c r="L35" s="6">
        <f t="shared" si="14"/>
        <v>-704.05589846153998</v>
      </c>
      <c r="M35" s="2"/>
      <c r="N35" s="7">
        <f t="shared" si="15"/>
        <v>-0.30073774377385093</v>
      </c>
      <c r="O35" s="11"/>
      <c r="P35" s="6">
        <v>5366.33</v>
      </c>
      <c r="Q35" s="2"/>
      <c r="R35" s="7">
        <f t="shared" si="16"/>
        <v>1.3365496887333326E-2</v>
      </c>
      <c r="S35" s="2"/>
      <c r="T35" s="6">
        <v>4648.8101215384604</v>
      </c>
      <c r="U35" s="2"/>
      <c r="V35" s="7">
        <f t="shared" si="17"/>
        <v>1.172086146817655E-2</v>
      </c>
      <c r="W35" s="2"/>
      <c r="X35" s="6">
        <f t="shared" si="18"/>
        <v>717.51987846153952</v>
      </c>
      <c r="Y35" s="2"/>
      <c r="Z35" s="7">
        <f t="shared" si="19"/>
        <v>0.1543448451760138</v>
      </c>
    </row>
    <row r="36" spans="1:26" s="24" customFormat="1" hidden="1" outlineLevel="2" x14ac:dyDescent="0.25">
      <c r="A36" s="27"/>
      <c r="B36" s="11" t="str">
        <f>CONCATENATE("          ", "6156", " - ", "EMPLOYEE MEALS")</f>
        <v xml:space="preserve">          6156 - EMPLOYEE MEALS</v>
      </c>
      <c r="C36" s="11"/>
      <c r="D36" s="6">
        <v>1114.8399999999999</v>
      </c>
      <c r="E36" s="2"/>
      <c r="F36" s="7">
        <f t="shared" si="12"/>
        <v>6.0180683481853405E-3</v>
      </c>
      <c r="G36" s="2"/>
      <c r="H36" s="6">
        <v>1500</v>
      </c>
      <c r="I36" s="2"/>
      <c r="J36" s="7">
        <f t="shared" si="13"/>
        <v>8.5800576579874617E-3</v>
      </c>
      <c r="K36" s="2"/>
      <c r="L36" s="6">
        <f t="shared" si="14"/>
        <v>-385.16000000000008</v>
      </c>
      <c r="M36" s="2"/>
      <c r="N36" s="7">
        <f t="shared" si="15"/>
        <v>-0.25677333333333341</v>
      </c>
      <c r="O36" s="11"/>
      <c r="P36" s="6">
        <v>2528.66</v>
      </c>
      <c r="Q36" s="2"/>
      <c r="R36" s="7">
        <f t="shared" si="16"/>
        <v>6.2979349684280104E-3</v>
      </c>
      <c r="S36" s="2"/>
      <c r="T36" s="6">
        <v>3000</v>
      </c>
      <c r="U36" s="2"/>
      <c r="V36" s="7">
        <f t="shared" si="17"/>
        <v>7.5637815882428575E-3</v>
      </c>
      <c r="W36" s="2"/>
      <c r="X36" s="6">
        <f t="shared" si="18"/>
        <v>-471.34000000000015</v>
      </c>
      <c r="Y36" s="2"/>
      <c r="Z36" s="7">
        <f t="shared" si="19"/>
        <v>-0.15711333333333338</v>
      </c>
    </row>
    <row r="37" spans="1:26" s="26" customFormat="1" outlineLevel="1" collapsed="1" x14ac:dyDescent="0.25">
      <c r="A37" s="25"/>
      <c r="B37" s="13" t="str">
        <f>CONCATENATE("     ","*Payroll                                          ")</f>
        <v xml:space="preserve">     *Payroll                                          </v>
      </c>
      <c r="C37" s="13"/>
      <c r="D37" s="1">
        <f>SUM(OSRRefD22_1x_0)</f>
        <v>72770.200000000012</v>
      </c>
      <c r="E37" s="1"/>
      <c r="F37" s="5">
        <f t="shared" ref="F37:F47" si="20">IF(D$12=0,0,D37/D$12)</f>
        <v>0.39282411584722199</v>
      </c>
      <c r="G37" s="1"/>
      <c r="H37" s="1">
        <f>SUM(OSRRefH22_1x_0)</f>
        <v>87065.479076923104</v>
      </c>
      <c r="I37" s="1"/>
      <c r="J37" s="5">
        <f t="shared" ref="J37:J47" si="21">IF(H$12=0,0,H37/H$12)</f>
        <v>0.49801788700020078</v>
      </c>
      <c r="K37" s="1"/>
      <c r="L37" s="1">
        <f t="shared" ref="L37:L47" si="22">+D37-H37</f>
        <v>-14295.279076923092</v>
      </c>
      <c r="M37" s="1"/>
      <c r="N37" s="5">
        <f t="shared" ref="N37:N47" si="23">IF(H37=0,0,L37/H37)</f>
        <v>-0.16418997780157035</v>
      </c>
      <c r="O37" s="13"/>
      <c r="P37" s="1">
        <f>SUM(OSRRefP22_1x_0)</f>
        <v>157079.34</v>
      </c>
      <c r="Q37" s="1"/>
      <c r="R37" s="5">
        <f t="shared" ref="R37:R47" si="24">IF(P$12=0,0,P37/P$12)</f>
        <v>0.39122518179731269</v>
      </c>
      <c r="S37" s="1"/>
      <c r="T37" s="1">
        <f>SUM(OSRRefT22_1x_0)</f>
        <v>175894.12857307692</v>
      </c>
      <c r="U37" s="1"/>
      <c r="V37" s="5">
        <f t="shared" ref="V37:V47" si="25">IF(T$12=0,0,T37/T$12)</f>
        <v>0.44347492372702041</v>
      </c>
      <c r="W37" s="1"/>
      <c r="X37" s="1">
        <f t="shared" ref="X37:X47" si="26">+P37-T37</f>
        <v>-18814.788573076919</v>
      </c>
      <c r="Y37" s="1"/>
      <c r="Z37" s="5">
        <f t="shared" ref="Z37:Z47" si="27">IF(T37=0,0,X37/T37)</f>
        <v>-0.10696655269684079</v>
      </c>
    </row>
    <row r="38" spans="1:26" s="24" customFormat="1" hidden="1" outlineLevel="2" x14ac:dyDescent="0.25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7"/>
      <c r="B39" s="11" t="str">
        <f>CONCATENATE("          ", "6002", " - ", "STAFF SALARIES")</f>
        <v xml:space="preserve">          6002 - STAFF SALARIES</v>
      </c>
      <c r="C39" s="11"/>
      <c r="D39" s="6">
        <v>14021.36</v>
      </c>
      <c r="E39" s="2"/>
      <c r="F39" s="7">
        <f t="shared" si="20"/>
        <v>7.5689339111004283E-2</v>
      </c>
      <c r="G39" s="2"/>
      <c r="H39" s="6">
        <v>14002.6360769231</v>
      </c>
      <c r="I39" s="2"/>
      <c r="J39" s="7">
        <f t="shared" si="21"/>
        <v>8.0095616602543704E-2</v>
      </c>
      <c r="K39" s="2"/>
      <c r="L39" s="6">
        <f t="shared" si="22"/>
        <v>18.723923076900974</v>
      </c>
      <c r="M39" s="2"/>
      <c r="N39" s="7">
        <f t="shared" si="23"/>
        <v>1.337171299321186E-3</v>
      </c>
      <c r="O39" s="11"/>
      <c r="P39" s="6">
        <v>32301.779999999995</v>
      </c>
      <c r="Q39" s="2"/>
      <c r="R39" s="7">
        <f t="shared" si="24"/>
        <v>8.0451507835956004E-2</v>
      </c>
      <c r="S39" s="2"/>
      <c r="T39" s="6">
        <v>31505.9311730769</v>
      </c>
      <c r="U39" s="2"/>
      <c r="V39" s="7">
        <f t="shared" si="25"/>
        <v>7.9434660709121918E-2</v>
      </c>
      <c r="W39" s="2"/>
      <c r="X39" s="6">
        <f t="shared" si="26"/>
        <v>795.84882692309475</v>
      </c>
      <c r="Y39" s="2"/>
      <c r="Z39" s="7">
        <f t="shared" si="27"/>
        <v>2.5260285834788464E-2</v>
      </c>
    </row>
    <row r="40" spans="1:26" s="24" customFormat="1" hidden="1" outlineLevel="2" x14ac:dyDescent="0.25">
      <c r="A40" s="27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7"/>
      <c r="B41" s="11" t="str">
        <f>CONCATENATE("          ", "6004", " - ", "STAFF HOURLY")</f>
        <v xml:space="preserve">          6004 - STAFF HOURLY</v>
      </c>
      <c r="C41" s="11"/>
      <c r="D41" s="6">
        <v>13780.45</v>
      </c>
      <c r="E41" s="2"/>
      <c r="F41" s="7">
        <f t="shared" si="20"/>
        <v>7.4388871917719743E-2</v>
      </c>
      <c r="G41" s="2"/>
      <c r="H41" s="6">
        <v>21606.845600000001</v>
      </c>
      <c r="I41" s="2"/>
      <c r="J41" s="7">
        <f t="shared" si="21"/>
        <v>0.12359198737015513</v>
      </c>
      <c r="K41" s="2"/>
      <c r="L41" s="6">
        <f t="shared" si="22"/>
        <v>-7826.3955999999998</v>
      </c>
      <c r="M41" s="2"/>
      <c r="N41" s="7">
        <f t="shared" si="23"/>
        <v>-0.36221833324897734</v>
      </c>
      <c r="O41" s="11"/>
      <c r="P41" s="6">
        <v>32184.52</v>
      </c>
      <c r="Q41" s="2"/>
      <c r="R41" s="7">
        <f t="shared" si="24"/>
        <v>8.0159457558576744E-2</v>
      </c>
      <c r="S41" s="2"/>
      <c r="T41" s="6">
        <v>48615.402600000001</v>
      </c>
      <c r="U41" s="2"/>
      <c r="V41" s="7">
        <f t="shared" si="25"/>
        <v>0.12257209569696466</v>
      </c>
      <c r="W41" s="2"/>
      <c r="X41" s="6">
        <f t="shared" si="26"/>
        <v>-16430.882600000001</v>
      </c>
      <c r="Y41" s="2"/>
      <c r="Z41" s="7">
        <f t="shared" si="27"/>
        <v>-0.33797689047627061</v>
      </c>
    </row>
    <row r="42" spans="1:26" s="24" customFormat="1" hidden="1" outlineLevel="2" x14ac:dyDescent="0.25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14670.57</v>
      </c>
      <c r="E42" s="2"/>
      <c r="F42" s="7">
        <f t="shared" si="20"/>
        <v>7.9193869045636509E-2</v>
      </c>
      <c r="G42" s="2"/>
      <c r="H42" s="6">
        <v>14301.117400000001</v>
      </c>
      <c r="I42" s="2"/>
      <c r="J42" s="7">
        <f t="shared" si="21"/>
        <v>8.1802941243765165E-2</v>
      </c>
      <c r="K42" s="2"/>
      <c r="L42" s="6">
        <f t="shared" si="22"/>
        <v>369.45259999999871</v>
      </c>
      <c r="M42" s="2"/>
      <c r="N42" s="7">
        <f t="shared" si="23"/>
        <v>2.5833827502178164E-2</v>
      </c>
      <c r="O42" s="11"/>
      <c r="P42" s="6">
        <v>32867.08</v>
      </c>
      <c r="Q42" s="2"/>
      <c r="R42" s="7">
        <f t="shared" si="24"/>
        <v>8.1859456171300582E-2</v>
      </c>
      <c r="S42" s="2"/>
      <c r="T42" s="6">
        <v>29401.514800000001</v>
      </c>
      <c r="U42" s="2"/>
      <c r="V42" s="7">
        <f t="shared" si="25"/>
        <v>7.4128878770229972E-2</v>
      </c>
      <c r="W42" s="2"/>
      <c r="X42" s="6">
        <f t="shared" si="26"/>
        <v>3465.5652000000009</v>
      </c>
      <c r="Y42" s="2"/>
      <c r="Z42" s="7">
        <f t="shared" si="27"/>
        <v>0.11787029422035088</v>
      </c>
    </row>
    <row r="43" spans="1:26" s="24" customFormat="1" hidden="1" outlineLevel="2" x14ac:dyDescent="0.25">
      <c r="A43" s="27"/>
      <c r="B43" s="11" t="str">
        <f>CONCATENATE("          ", "6006", " - ", "TEMPORARY PART TIME")</f>
        <v xml:space="preserve">          6006 - TEMPORARY PART TIME</v>
      </c>
      <c r="C43" s="11"/>
      <c r="D43" s="6">
        <v>1971</v>
      </c>
      <c r="E43" s="2"/>
      <c r="F43" s="7">
        <f t="shared" si="20"/>
        <v>1.0639744460436751E-2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1971</v>
      </c>
      <c r="M43" s="2"/>
      <c r="N43" s="7">
        <f t="shared" si="23"/>
        <v>0</v>
      </c>
      <c r="O43" s="11"/>
      <c r="P43" s="6">
        <v>4422</v>
      </c>
      <c r="Q43" s="2"/>
      <c r="R43" s="7">
        <f t="shared" si="24"/>
        <v>1.1013528283908735E-2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4422</v>
      </c>
      <c r="Y43" s="2"/>
      <c r="Z43" s="7">
        <f t="shared" si="27"/>
        <v>0</v>
      </c>
    </row>
    <row r="44" spans="1:26" s="24" customFormat="1" hidden="1" outlineLevel="2" x14ac:dyDescent="0.25">
      <c r="A44" s="27"/>
      <c r="B44" s="11" t="str">
        <f>CONCATENATE("          ", "6007", " - ", "STUDENT HOURLY")</f>
        <v xml:space="preserve">          6007 - STUDENT HOURLY</v>
      </c>
      <c r="C44" s="11"/>
      <c r="D44" s="6">
        <v>22635.82</v>
      </c>
      <c r="E44" s="2"/>
      <c r="F44" s="7">
        <f t="shared" si="20"/>
        <v>0.12219144619606463</v>
      </c>
      <c r="G44" s="2"/>
      <c r="H44" s="6">
        <v>37154.879999999997</v>
      </c>
      <c r="I44" s="2"/>
      <c r="J44" s="7">
        <f t="shared" si="21"/>
        <v>0.21252734178373678</v>
      </c>
      <c r="K44" s="2"/>
      <c r="L44" s="6">
        <f t="shared" si="22"/>
        <v>-14519.059999999998</v>
      </c>
      <c r="M44" s="2"/>
      <c r="N44" s="7">
        <f t="shared" si="23"/>
        <v>-0.39077127957350416</v>
      </c>
      <c r="O44" s="11"/>
      <c r="P44" s="6">
        <v>44518.96</v>
      </c>
      <c r="Q44" s="2"/>
      <c r="R44" s="7">
        <f t="shared" si="24"/>
        <v>0.11087987904346487</v>
      </c>
      <c r="S44" s="2"/>
      <c r="T44" s="6">
        <v>66371.28</v>
      </c>
      <c r="U44" s="2"/>
      <c r="V44" s="7">
        <f t="shared" si="25"/>
        <v>0.16733928855070382</v>
      </c>
      <c r="W44" s="2"/>
      <c r="X44" s="6">
        <f t="shared" si="26"/>
        <v>-21852.32</v>
      </c>
      <c r="Y44" s="2"/>
      <c r="Z44" s="7">
        <f t="shared" si="27"/>
        <v>-0.32924361259870233</v>
      </c>
    </row>
    <row r="45" spans="1:26" s="24" customFormat="1" hidden="1" outlineLevel="2" x14ac:dyDescent="0.25">
      <c r="A45" s="27"/>
      <c r="B45" s="11" t="str">
        <f>CONCATENATE("          ", "6008", " - ", "STUDENT HOURLY-FICA EXEMPT")</f>
        <v xml:space="preserve">          6008 - STUDENT HOURLY-FICA EXEMPT</v>
      </c>
      <c r="C45" s="11"/>
      <c r="D45" s="6">
        <v>5691</v>
      </c>
      <c r="E45" s="2"/>
      <c r="F45" s="7">
        <f t="shared" si="20"/>
        <v>3.0720845116359991E-2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5691</v>
      </c>
      <c r="M45" s="2"/>
      <c r="N45" s="7">
        <f t="shared" si="23"/>
        <v>0</v>
      </c>
      <c r="O45" s="11"/>
      <c r="P45" s="6">
        <v>10785</v>
      </c>
      <c r="Q45" s="2"/>
      <c r="R45" s="7">
        <f t="shared" si="24"/>
        <v>2.6861352904105771E-2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10785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7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6" customFormat="1" outlineLevel="1" collapsed="1" x14ac:dyDescent="0.25">
      <c r="A48" s="25"/>
      <c r="B48" s="13" t="str">
        <f>CONCATENATE("     ","Advertising/Promo                                 ")</f>
        <v xml:space="preserve">     Advertising/Promo                                 </v>
      </c>
      <c r="C48" s="13"/>
      <c r="D48" s="1">
        <f>SUM(OSRRefD22_2x_0)</f>
        <v>1717.46</v>
      </c>
      <c r="E48" s="1"/>
      <c r="F48" s="5">
        <f t="shared" ref="F48:F69" si="28">IF(D$12=0,0,D48/D$12)</f>
        <v>9.2710986915381533E-3</v>
      </c>
      <c r="G48" s="1"/>
      <c r="H48" s="1">
        <f>SUM(OSRRefH22_2x_0)</f>
        <v>750</v>
      </c>
      <c r="I48" s="1"/>
      <c r="J48" s="5">
        <f t="shared" ref="J48:J69" si="29">IF(H$12=0,0,H48/H$12)</f>
        <v>4.2900288289937309E-3</v>
      </c>
      <c r="K48" s="1"/>
      <c r="L48" s="1">
        <f t="shared" ref="L48:L69" si="30">+D48-H48</f>
        <v>967.46</v>
      </c>
      <c r="M48" s="1"/>
      <c r="N48" s="5">
        <f t="shared" ref="N48:N69" si="31">IF(H48=0,0,L48/H48)</f>
        <v>1.2899466666666668</v>
      </c>
      <c r="O48" s="13"/>
      <c r="P48" s="1">
        <f>SUM(OSRRefP22_2x_0)</f>
        <v>2140.15</v>
      </c>
      <c r="Q48" s="1"/>
      <c r="R48" s="5">
        <f t="shared" ref="R48:R69" si="32">IF(P$12=0,0,P48/P$12)</f>
        <v>5.3303036085045868E-3</v>
      </c>
      <c r="S48" s="1"/>
      <c r="T48" s="1">
        <f>SUM(OSRRefT22_2x_0)</f>
        <v>1500</v>
      </c>
      <c r="U48" s="1"/>
      <c r="V48" s="5">
        <f t="shared" ref="V48:V69" si="33">IF(T$12=0,0,T48/T$12)</f>
        <v>3.7818907941214288E-3</v>
      </c>
      <c r="W48" s="1"/>
      <c r="X48" s="1">
        <f t="shared" ref="X48:X69" si="34">+P48-T48</f>
        <v>640.15000000000009</v>
      </c>
      <c r="Y48" s="1"/>
      <c r="Z48" s="5">
        <f t="shared" ref="Z48:Z69" si="35">IF(T48=0,0,X48/T48)</f>
        <v>0.42676666666666674</v>
      </c>
    </row>
    <row r="49" spans="1:26" s="24" customFormat="1" hidden="1" outlineLevel="2" x14ac:dyDescent="0.25">
      <c r="A49" s="27"/>
      <c r="B49" s="11" t="str">
        <f>CONCATENATE("          ", "6362", " - ", "ADVERTISING EXPENSE")</f>
        <v xml:space="preserve">          6362 - ADVERTISING EXPENSE</v>
      </c>
      <c r="C49" s="11"/>
      <c r="D49" s="6">
        <v>1717.46</v>
      </c>
      <c r="E49" s="2"/>
      <c r="F49" s="7">
        <f t="shared" si="28"/>
        <v>9.2710986915381533E-3</v>
      </c>
      <c r="G49" s="2"/>
      <c r="H49" s="6">
        <v>750</v>
      </c>
      <c r="I49" s="2"/>
      <c r="J49" s="7">
        <f t="shared" si="29"/>
        <v>4.2900288289937309E-3</v>
      </c>
      <c r="K49" s="2"/>
      <c r="L49" s="6">
        <f t="shared" si="30"/>
        <v>967.46</v>
      </c>
      <c r="M49" s="2"/>
      <c r="N49" s="7">
        <f t="shared" si="31"/>
        <v>1.2899466666666668</v>
      </c>
      <c r="O49" s="11"/>
      <c r="P49" s="6">
        <v>2140.15</v>
      </c>
      <c r="Q49" s="2"/>
      <c r="R49" s="7">
        <f t="shared" si="32"/>
        <v>5.3303036085045868E-3</v>
      </c>
      <c r="S49" s="2"/>
      <c r="T49" s="6">
        <v>1500</v>
      </c>
      <c r="U49" s="2"/>
      <c r="V49" s="7">
        <f t="shared" si="33"/>
        <v>3.7818907941214288E-3</v>
      </c>
      <c r="W49" s="2"/>
      <c r="X49" s="6">
        <f t="shared" si="34"/>
        <v>640.15000000000009</v>
      </c>
      <c r="Y49" s="2"/>
      <c r="Z49" s="7">
        <f t="shared" si="35"/>
        <v>0.42676666666666674</v>
      </c>
    </row>
    <row r="50" spans="1:26" s="26" customFormat="1" outlineLevel="1" collapsed="1" x14ac:dyDescent="0.25">
      <c r="A50" s="25"/>
      <c r="B50" s="13" t="str">
        <f>CONCATENATE("     ","Bad Debts/Over/Short                              ")</f>
        <v xml:space="preserve">     Bad Debts/Over/Short                              </v>
      </c>
      <c r="C50" s="13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4.5760307509266459E-5</v>
      </c>
      <c r="K50" s="1"/>
      <c r="L50" s="1">
        <f t="shared" si="30"/>
        <v>-8</v>
      </c>
      <c r="M50" s="1"/>
      <c r="N50" s="5">
        <f t="shared" si="31"/>
        <v>-1</v>
      </c>
      <c r="O50" s="13"/>
      <c r="P50" s="1">
        <f>SUM(OSRRefP22_3x_0)</f>
        <v>-2</v>
      </c>
      <c r="Q50" s="1"/>
      <c r="R50" s="5">
        <f t="shared" si="32"/>
        <v>-4.9812430049338466E-6</v>
      </c>
      <c r="S50" s="1"/>
      <c r="T50" s="1">
        <f>SUM(OSRRefT22_3x_0)</f>
        <v>16</v>
      </c>
      <c r="U50" s="1"/>
      <c r="V50" s="5">
        <f t="shared" si="33"/>
        <v>4.0340168470628578E-5</v>
      </c>
      <c r="W50" s="1"/>
      <c r="X50" s="1">
        <f t="shared" si="34"/>
        <v>-18</v>
      </c>
      <c r="Y50" s="1"/>
      <c r="Z50" s="5">
        <f t="shared" si="35"/>
        <v>-1.125</v>
      </c>
    </row>
    <row r="51" spans="1:26" s="24" customFormat="1" hidden="1" outlineLevel="2" x14ac:dyDescent="0.25">
      <c r="A51" s="27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8</v>
      </c>
      <c r="I51" s="2"/>
      <c r="J51" s="7">
        <f t="shared" si="29"/>
        <v>4.5760307509266459E-5</v>
      </c>
      <c r="K51" s="2"/>
      <c r="L51" s="6">
        <f t="shared" si="30"/>
        <v>-8</v>
      </c>
      <c r="M51" s="2"/>
      <c r="N51" s="7">
        <f t="shared" si="31"/>
        <v>-1</v>
      </c>
      <c r="O51" s="11"/>
      <c r="P51" s="6">
        <v>-2</v>
      </c>
      <c r="Q51" s="2"/>
      <c r="R51" s="7">
        <f t="shared" si="32"/>
        <v>-4.9812430049338466E-6</v>
      </c>
      <c r="S51" s="2"/>
      <c r="T51" s="6">
        <v>16</v>
      </c>
      <c r="U51" s="2"/>
      <c r="V51" s="7">
        <f t="shared" si="33"/>
        <v>4.0340168470628578E-5</v>
      </c>
      <c r="W51" s="2"/>
      <c r="X51" s="6">
        <f t="shared" si="34"/>
        <v>-18</v>
      </c>
      <c r="Y51" s="2"/>
      <c r="Z51" s="7">
        <f t="shared" si="35"/>
        <v>-1.125</v>
      </c>
    </row>
    <row r="52" spans="1:26" s="26" customFormat="1" outlineLevel="1" collapsed="1" x14ac:dyDescent="0.25">
      <c r="A52" s="25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73.760000000000005</v>
      </c>
      <c r="E52" s="1"/>
      <c r="F52" s="5">
        <f t="shared" si="28"/>
        <v>3.9816720010239207E-4</v>
      </c>
      <c r="G52" s="1"/>
      <c r="H52" s="1">
        <f>SUM(OSRRefH22_4x_0)</f>
        <v>170</v>
      </c>
      <c r="I52" s="1"/>
      <c r="J52" s="5">
        <f t="shared" si="29"/>
        <v>9.7240653457191233E-4</v>
      </c>
      <c r="K52" s="1"/>
      <c r="L52" s="1">
        <f t="shared" si="30"/>
        <v>-96.24</v>
      </c>
      <c r="M52" s="1"/>
      <c r="N52" s="5">
        <f t="shared" si="31"/>
        <v>-0.5661176470588235</v>
      </c>
      <c r="O52" s="13"/>
      <c r="P52" s="1">
        <f>SUM(OSRRefP22_4x_0)</f>
        <v>368.31</v>
      </c>
      <c r="Q52" s="1"/>
      <c r="R52" s="5">
        <f t="shared" si="32"/>
        <v>9.1732080557359254E-4</v>
      </c>
      <c r="S52" s="1"/>
      <c r="T52" s="1">
        <f>SUM(OSRRefT22_4x_0)</f>
        <v>340</v>
      </c>
      <c r="U52" s="1"/>
      <c r="V52" s="5">
        <f t="shared" si="33"/>
        <v>8.5722858000085726E-4</v>
      </c>
      <c r="W52" s="1"/>
      <c r="X52" s="1">
        <f t="shared" si="34"/>
        <v>28.310000000000002</v>
      </c>
      <c r="Y52" s="1"/>
      <c r="Z52" s="5">
        <f t="shared" si="35"/>
        <v>8.3264705882352949E-2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73.760000000000005</v>
      </c>
      <c r="E53" s="2"/>
      <c r="F53" s="7">
        <f t="shared" si="28"/>
        <v>3.9816720010239207E-4</v>
      </c>
      <c r="G53" s="2"/>
      <c r="H53" s="6">
        <v>170</v>
      </c>
      <c r="I53" s="2"/>
      <c r="J53" s="7">
        <f t="shared" si="29"/>
        <v>9.7240653457191233E-4</v>
      </c>
      <c r="K53" s="2"/>
      <c r="L53" s="6">
        <f t="shared" si="30"/>
        <v>-96.24</v>
      </c>
      <c r="M53" s="2"/>
      <c r="N53" s="7">
        <f t="shared" si="31"/>
        <v>-0.5661176470588235</v>
      </c>
      <c r="O53" s="11"/>
      <c r="P53" s="6">
        <v>368.31</v>
      </c>
      <c r="Q53" s="2"/>
      <c r="R53" s="7">
        <f t="shared" si="32"/>
        <v>9.1732080557359254E-4</v>
      </c>
      <c r="S53" s="2"/>
      <c r="T53" s="6">
        <v>340</v>
      </c>
      <c r="U53" s="2"/>
      <c r="V53" s="7">
        <f t="shared" si="33"/>
        <v>8.5722858000085726E-4</v>
      </c>
      <c r="W53" s="2"/>
      <c r="X53" s="6">
        <f t="shared" si="34"/>
        <v>28.310000000000002</v>
      </c>
      <c r="Y53" s="2"/>
      <c r="Z53" s="7">
        <f t="shared" si="35"/>
        <v>8.3264705882352949E-2</v>
      </c>
    </row>
    <row r="54" spans="1:26" s="26" customFormat="1" outlineLevel="1" collapsed="1" x14ac:dyDescent="0.25">
      <c r="A54" s="25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2057.67</v>
      </c>
      <c r="E54" s="1"/>
      <c r="F54" s="5">
        <f t="shared" si="28"/>
        <v>1.1107601716847736E-2</v>
      </c>
      <c r="G54" s="1"/>
      <c r="H54" s="1">
        <f>SUM(OSRRefH22_5x_0)</f>
        <v>3100</v>
      </c>
      <c r="I54" s="1"/>
      <c r="J54" s="5">
        <f t="shared" si="29"/>
        <v>1.7732119159840753E-2</v>
      </c>
      <c r="K54" s="1"/>
      <c r="L54" s="1">
        <f t="shared" si="30"/>
        <v>-1042.33</v>
      </c>
      <c r="M54" s="1"/>
      <c r="N54" s="5">
        <f t="shared" si="31"/>
        <v>-0.33623548387096774</v>
      </c>
      <c r="O54" s="13"/>
      <c r="P54" s="1">
        <f>SUM(OSRRefP22_5x_0)</f>
        <v>2057.67</v>
      </c>
      <c r="Q54" s="1"/>
      <c r="R54" s="5">
        <f t="shared" si="32"/>
        <v>5.1248771469811147E-3</v>
      </c>
      <c r="S54" s="1"/>
      <c r="T54" s="1">
        <f>SUM(OSRRefT22_5x_0)</f>
        <v>3100</v>
      </c>
      <c r="U54" s="1"/>
      <c r="V54" s="5">
        <f t="shared" si="33"/>
        <v>7.8159076411842866E-3</v>
      </c>
      <c r="W54" s="1"/>
      <c r="X54" s="1">
        <f t="shared" si="34"/>
        <v>-1042.33</v>
      </c>
      <c r="Y54" s="1"/>
      <c r="Z54" s="5">
        <f t="shared" si="35"/>
        <v>-0.33623548387096774</v>
      </c>
    </row>
    <row r="55" spans="1:26" s="24" customFormat="1" hidden="1" outlineLevel="2" x14ac:dyDescent="0.25">
      <c r="A55" s="27"/>
      <c r="B55" s="11" t="str">
        <f>CONCATENATE("          ", "6399", " - ", "DONATION-ON CAMPUS")</f>
        <v xml:space="preserve">          6399 - DONATION-ON CAMPUS</v>
      </c>
      <c r="C55" s="11"/>
      <c r="D55" s="6">
        <v>2057.67</v>
      </c>
      <c r="E55" s="2"/>
      <c r="F55" s="7">
        <f t="shared" si="28"/>
        <v>1.1107601716847736E-2</v>
      </c>
      <c r="G55" s="2"/>
      <c r="H55" s="6">
        <v>3100</v>
      </c>
      <c r="I55" s="2"/>
      <c r="J55" s="7">
        <f t="shared" si="29"/>
        <v>1.7732119159840753E-2</v>
      </c>
      <c r="K55" s="2"/>
      <c r="L55" s="6">
        <f t="shared" si="30"/>
        <v>-1042.33</v>
      </c>
      <c r="M55" s="2"/>
      <c r="N55" s="7">
        <f t="shared" si="31"/>
        <v>-0.33623548387096774</v>
      </c>
      <c r="O55" s="11"/>
      <c r="P55" s="6">
        <v>2057.67</v>
      </c>
      <c r="Q55" s="2"/>
      <c r="R55" s="7">
        <f t="shared" si="32"/>
        <v>5.1248771469811147E-3</v>
      </c>
      <c r="S55" s="2"/>
      <c r="T55" s="6">
        <v>3100</v>
      </c>
      <c r="U55" s="2"/>
      <c r="V55" s="7">
        <f t="shared" si="33"/>
        <v>7.8159076411842866E-3</v>
      </c>
      <c r="W55" s="2"/>
      <c r="X55" s="6">
        <f t="shared" si="34"/>
        <v>-1042.33</v>
      </c>
      <c r="Y55" s="2"/>
      <c r="Z55" s="7">
        <f t="shared" si="35"/>
        <v>-0.33623548387096774</v>
      </c>
    </row>
    <row r="56" spans="1:26" s="26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113.06</v>
      </c>
      <c r="E56" s="1"/>
      <c r="F56" s="5">
        <f t="shared" si="28"/>
        <v>6.1031431187061336E-4</v>
      </c>
      <c r="G56" s="1"/>
      <c r="H56" s="1">
        <f>SUM(OSRRefH22_6x_0)</f>
        <v>145</v>
      </c>
      <c r="I56" s="1"/>
      <c r="J56" s="5">
        <f t="shared" si="29"/>
        <v>8.2940557360545466E-4</v>
      </c>
      <c r="K56" s="1"/>
      <c r="L56" s="1">
        <f t="shared" si="30"/>
        <v>-31.939999999999998</v>
      </c>
      <c r="M56" s="1"/>
      <c r="N56" s="5">
        <f t="shared" si="31"/>
        <v>-0.22027586206896549</v>
      </c>
      <c r="O56" s="13"/>
      <c r="P56" s="1">
        <f>SUM(OSRRefP22_6x_0)</f>
        <v>113.06</v>
      </c>
      <c r="Q56" s="1"/>
      <c r="R56" s="5">
        <f t="shared" si="32"/>
        <v>2.8158966706891037E-4</v>
      </c>
      <c r="S56" s="1"/>
      <c r="T56" s="1">
        <f>SUM(OSRRefT22_6x_0)</f>
        <v>290</v>
      </c>
      <c r="U56" s="1"/>
      <c r="V56" s="5">
        <f t="shared" si="33"/>
        <v>7.3116555353014293E-4</v>
      </c>
      <c r="W56" s="1"/>
      <c r="X56" s="1">
        <f t="shared" si="34"/>
        <v>-176.94</v>
      </c>
      <c r="Y56" s="1"/>
      <c r="Z56" s="5">
        <f t="shared" si="35"/>
        <v>-0.61013793103448277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>
        <v>113.06</v>
      </c>
      <c r="E57" s="2"/>
      <c r="F57" s="7">
        <f t="shared" si="28"/>
        <v>6.1031431187061336E-4</v>
      </c>
      <c r="G57" s="2"/>
      <c r="H57" s="6">
        <v>145</v>
      </c>
      <c r="I57" s="2"/>
      <c r="J57" s="7">
        <f t="shared" si="29"/>
        <v>8.2940557360545466E-4</v>
      </c>
      <c r="K57" s="2"/>
      <c r="L57" s="6">
        <f t="shared" si="30"/>
        <v>-31.939999999999998</v>
      </c>
      <c r="M57" s="2"/>
      <c r="N57" s="7">
        <f t="shared" si="31"/>
        <v>-0.22027586206896549</v>
      </c>
      <c r="O57" s="11"/>
      <c r="P57" s="6">
        <v>113.06</v>
      </c>
      <c r="Q57" s="2"/>
      <c r="R57" s="7">
        <f t="shared" si="32"/>
        <v>2.8158966706891037E-4</v>
      </c>
      <c r="S57" s="2"/>
      <c r="T57" s="6">
        <v>290</v>
      </c>
      <c r="U57" s="2"/>
      <c r="V57" s="7">
        <f t="shared" si="33"/>
        <v>7.3116555353014293E-4</v>
      </c>
      <c r="W57" s="2"/>
      <c r="X57" s="6">
        <f t="shared" si="34"/>
        <v>-176.94</v>
      </c>
      <c r="Y57" s="2"/>
      <c r="Z57" s="7">
        <f t="shared" si="35"/>
        <v>-0.61013793103448277</v>
      </c>
    </row>
    <row r="58" spans="1:26" s="26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900.45</v>
      </c>
      <c r="E58" s="1"/>
      <c r="F58" s="5">
        <f t="shared" si="28"/>
        <v>4.8607599692543236E-3</v>
      </c>
      <c r="G58" s="1"/>
      <c r="H58" s="1">
        <f>SUM(OSRRefH22_7x_0)</f>
        <v>270</v>
      </c>
      <c r="I58" s="1"/>
      <c r="J58" s="5">
        <f t="shared" si="29"/>
        <v>1.5444103784377431E-3</v>
      </c>
      <c r="K58" s="1"/>
      <c r="L58" s="1">
        <f t="shared" si="30"/>
        <v>630.45000000000005</v>
      </c>
      <c r="M58" s="1"/>
      <c r="N58" s="5">
        <f t="shared" si="31"/>
        <v>2.335</v>
      </c>
      <c r="O58" s="13"/>
      <c r="P58" s="1">
        <f>SUM(OSRRefP22_7x_0)</f>
        <v>1068.3</v>
      </c>
      <c r="Q58" s="1"/>
      <c r="R58" s="5">
        <f t="shared" si="32"/>
        <v>2.660730951085414E-3</v>
      </c>
      <c r="S58" s="1"/>
      <c r="T58" s="1">
        <f>SUM(OSRRefT22_7x_0)</f>
        <v>540</v>
      </c>
      <c r="U58" s="1"/>
      <c r="V58" s="5">
        <f t="shared" si="33"/>
        <v>1.3614806858837144E-3</v>
      </c>
      <c r="W58" s="1"/>
      <c r="X58" s="1">
        <f t="shared" si="34"/>
        <v>528.29999999999995</v>
      </c>
      <c r="Y58" s="1"/>
      <c r="Z58" s="5">
        <f t="shared" si="35"/>
        <v>0.97833333333333328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900.45</v>
      </c>
      <c r="E59" s="2"/>
      <c r="F59" s="7">
        <f t="shared" si="28"/>
        <v>4.8607599692543236E-3</v>
      </c>
      <c r="G59" s="2"/>
      <c r="H59" s="6">
        <v>270</v>
      </c>
      <c r="I59" s="2"/>
      <c r="J59" s="7">
        <f t="shared" si="29"/>
        <v>1.5444103784377431E-3</v>
      </c>
      <c r="K59" s="2"/>
      <c r="L59" s="6">
        <f t="shared" si="30"/>
        <v>630.45000000000005</v>
      </c>
      <c r="M59" s="2"/>
      <c r="N59" s="7">
        <f t="shared" si="31"/>
        <v>2.335</v>
      </c>
      <c r="O59" s="11"/>
      <c r="P59" s="6">
        <v>1068.3</v>
      </c>
      <c r="Q59" s="2"/>
      <c r="R59" s="7">
        <f t="shared" si="32"/>
        <v>2.660730951085414E-3</v>
      </c>
      <c r="S59" s="2"/>
      <c r="T59" s="6">
        <v>540</v>
      </c>
      <c r="U59" s="2"/>
      <c r="V59" s="7">
        <f t="shared" si="33"/>
        <v>1.3614806858837144E-3</v>
      </c>
      <c r="W59" s="2"/>
      <c r="X59" s="6">
        <f t="shared" si="34"/>
        <v>528.29999999999995</v>
      </c>
      <c r="Y59" s="2"/>
      <c r="Z59" s="7">
        <f t="shared" si="35"/>
        <v>0.97833333333333328</v>
      </c>
    </row>
    <row r="60" spans="1:26" s="26" customFormat="1" outlineLevel="1" collapsed="1" x14ac:dyDescent="0.25">
      <c r="A60" s="25"/>
      <c r="B60" s="13" t="str">
        <f>CONCATENATE("     ","Freight out/Postage                               ")</f>
        <v xml:space="preserve">     Freight out/Postage                               </v>
      </c>
      <c r="C60" s="13"/>
      <c r="D60" s="1">
        <f>SUM(OSRRefD22_8x_0)</f>
        <v>0</v>
      </c>
      <c r="E60" s="1"/>
      <c r="F60" s="5">
        <f t="shared" si="28"/>
        <v>0</v>
      </c>
      <c r="G60" s="1"/>
      <c r="H60" s="1">
        <f>SUM(OSRRefH22_8x_0)</f>
        <v>1</v>
      </c>
      <c r="I60" s="1"/>
      <c r="J60" s="5">
        <f t="shared" si="29"/>
        <v>5.7200384386583074E-6</v>
      </c>
      <c r="K60" s="1"/>
      <c r="L60" s="1">
        <f t="shared" si="30"/>
        <v>-1</v>
      </c>
      <c r="M60" s="1"/>
      <c r="N60" s="5">
        <f t="shared" si="31"/>
        <v>-1</v>
      </c>
      <c r="O60" s="13"/>
      <c r="P60" s="1">
        <f>SUM(OSRRefP22_8x_0)</f>
        <v>0</v>
      </c>
      <c r="Q60" s="1"/>
      <c r="R60" s="5">
        <f t="shared" si="32"/>
        <v>0</v>
      </c>
      <c r="S60" s="1"/>
      <c r="T60" s="1">
        <f>SUM(OSRRefT22_8x_0)</f>
        <v>2</v>
      </c>
      <c r="U60" s="1"/>
      <c r="V60" s="5">
        <f t="shared" si="33"/>
        <v>5.0425210588285722E-6</v>
      </c>
      <c r="W60" s="1"/>
      <c r="X60" s="1">
        <f t="shared" si="34"/>
        <v>-2</v>
      </c>
      <c r="Y60" s="1"/>
      <c r="Z60" s="5">
        <f t="shared" si="35"/>
        <v>-1</v>
      </c>
    </row>
    <row r="61" spans="1:26" s="24" customFormat="1" hidden="1" outlineLevel="2" x14ac:dyDescent="0.25">
      <c r="A61" s="27"/>
      <c r="B61" s="11" t="str">
        <f>CONCATENATE("          ", "6307", " - ", "POSTAGE")</f>
        <v xml:space="preserve">          6307 - POSTAGE</v>
      </c>
      <c r="C61" s="11"/>
      <c r="D61" s="6"/>
      <c r="E61" s="2"/>
      <c r="F61" s="7">
        <f t="shared" si="28"/>
        <v>0</v>
      </c>
      <c r="G61" s="2"/>
      <c r="H61" s="6">
        <v>1</v>
      </c>
      <c r="I61" s="2"/>
      <c r="J61" s="7">
        <f t="shared" si="29"/>
        <v>5.7200384386583074E-6</v>
      </c>
      <c r="K61" s="2"/>
      <c r="L61" s="6">
        <f t="shared" si="30"/>
        <v>-1</v>
      </c>
      <c r="M61" s="2"/>
      <c r="N61" s="7">
        <f t="shared" si="31"/>
        <v>-1</v>
      </c>
      <c r="O61" s="11"/>
      <c r="P61" s="6"/>
      <c r="Q61" s="2"/>
      <c r="R61" s="7">
        <f t="shared" si="32"/>
        <v>0</v>
      </c>
      <c r="S61" s="2"/>
      <c r="T61" s="6">
        <v>2</v>
      </c>
      <c r="U61" s="2"/>
      <c r="V61" s="7">
        <f t="shared" si="33"/>
        <v>5.0425210588285722E-6</v>
      </c>
      <c r="W61" s="2"/>
      <c r="X61" s="6">
        <f t="shared" si="34"/>
        <v>-2</v>
      </c>
      <c r="Y61" s="2"/>
      <c r="Z61" s="7">
        <f t="shared" si="35"/>
        <v>-1</v>
      </c>
    </row>
    <row r="62" spans="1:26" s="26" customFormat="1" outlineLevel="1" collapsed="1" x14ac:dyDescent="0.25">
      <c r="A62" s="25"/>
      <c r="B62" s="13" t="str">
        <f>CONCATENATE("     ","General                                           ")</f>
        <v xml:space="preserve">     General                                           </v>
      </c>
      <c r="C62" s="13"/>
      <c r="D62" s="1">
        <f>SUM(OSRRefD22_9x_0)</f>
        <v>360</v>
      </c>
      <c r="E62" s="1"/>
      <c r="F62" s="5">
        <f t="shared" si="28"/>
        <v>1.9433323215409589E-3</v>
      </c>
      <c r="G62" s="1"/>
      <c r="H62" s="1">
        <f>SUM(OSRRefH22_9x_0)</f>
        <v>100</v>
      </c>
      <c r="I62" s="1"/>
      <c r="J62" s="5">
        <f t="shared" si="29"/>
        <v>5.720038438658308E-4</v>
      </c>
      <c r="K62" s="1"/>
      <c r="L62" s="1">
        <f t="shared" si="30"/>
        <v>260</v>
      </c>
      <c r="M62" s="1"/>
      <c r="N62" s="5">
        <f t="shared" si="31"/>
        <v>2.6</v>
      </c>
      <c r="O62" s="13"/>
      <c r="P62" s="1">
        <f>SUM(OSRRefP22_9x_0)</f>
        <v>1877.1</v>
      </c>
      <c r="Q62" s="1"/>
      <c r="R62" s="5">
        <f t="shared" si="32"/>
        <v>4.6751456222806622E-3</v>
      </c>
      <c r="S62" s="1"/>
      <c r="T62" s="1">
        <f>SUM(OSRRefT22_9x_0)</f>
        <v>1850</v>
      </c>
      <c r="U62" s="1"/>
      <c r="V62" s="5">
        <f t="shared" si="33"/>
        <v>4.6643319794164289E-3</v>
      </c>
      <c r="W62" s="1"/>
      <c r="X62" s="1">
        <f t="shared" si="34"/>
        <v>27.099999999999909</v>
      </c>
      <c r="Y62" s="1"/>
      <c r="Z62" s="5">
        <f t="shared" si="35"/>
        <v>1.46486486486486E-2</v>
      </c>
    </row>
    <row r="63" spans="1:26" s="24" customFormat="1" hidden="1" outlineLevel="2" x14ac:dyDescent="0.25">
      <c r="A63" s="27"/>
      <c r="B63" s="11" t="str">
        <f>CONCATENATE("          ", "6279", " - ", "GENERAL EXPENSE")</f>
        <v xml:space="preserve">          6279 - GENERAL EXPENSE</v>
      </c>
      <c r="C63" s="11"/>
      <c r="D63" s="6">
        <v>360</v>
      </c>
      <c r="E63" s="2"/>
      <c r="F63" s="7">
        <f t="shared" si="28"/>
        <v>1.9433323215409589E-3</v>
      </c>
      <c r="G63" s="2"/>
      <c r="H63" s="6">
        <v>100</v>
      </c>
      <c r="I63" s="2"/>
      <c r="J63" s="7">
        <f t="shared" si="29"/>
        <v>5.720038438658308E-4</v>
      </c>
      <c r="K63" s="2"/>
      <c r="L63" s="6">
        <f t="shared" si="30"/>
        <v>260</v>
      </c>
      <c r="M63" s="2"/>
      <c r="N63" s="7">
        <f t="shared" si="31"/>
        <v>2.6</v>
      </c>
      <c r="O63" s="11"/>
      <c r="P63" s="6">
        <v>1877.1</v>
      </c>
      <c r="Q63" s="2"/>
      <c r="R63" s="7">
        <f t="shared" si="32"/>
        <v>4.6751456222806622E-3</v>
      </c>
      <c r="S63" s="2"/>
      <c r="T63" s="6">
        <v>1850</v>
      </c>
      <c r="U63" s="2"/>
      <c r="V63" s="7">
        <f t="shared" si="33"/>
        <v>4.6643319794164289E-3</v>
      </c>
      <c r="W63" s="2"/>
      <c r="X63" s="6">
        <f t="shared" si="34"/>
        <v>27.099999999999909</v>
      </c>
      <c r="Y63" s="2"/>
      <c r="Z63" s="7">
        <f t="shared" si="35"/>
        <v>1.46486486486486E-2</v>
      </c>
    </row>
    <row r="64" spans="1:26" s="26" customFormat="1" outlineLevel="1" collapsed="1" x14ac:dyDescent="0.25">
      <c r="A64" s="25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14713.83</v>
      </c>
      <c r="E64" s="1"/>
      <c r="F64" s="5">
        <f t="shared" si="28"/>
        <v>7.9427392812941686E-2</v>
      </c>
      <c r="G64" s="1"/>
      <c r="H64" s="1">
        <f>SUM(OSRRefH22_10x_0)</f>
        <v>13985</v>
      </c>
      <c r="I64" s="1"/>
      <c r="J64" s="5">
        <f t="shared" si="29"/>
        <v>7.9994737564636431E-2</v>
      </c>
      <c r="K64" s="1"/>
      <c r="L64" s="1">
        <f t="shared" si="30"/>
        <v>728.82999999999993</v>
      </c>
      <c r="M64" s="1"/>
      <c r="N64" s="5">
        <f t="shared" si="31"/>
        <v>5.211512334644261E-2</v>
      </c>
      <c r="O64" s="13"/>
      <c r="P64" s="1">
        <f>SUM(OSRRefP22_10x_0)</f>
        <v>31336.79</v>
      </c>
      <c r="Q64" s="1"/>
      <c r="R64" s="5">
        <f t="shared" si="32"/>
        <v>7.8048082992290463E-2</v>
      </c>
      <c r="S64" s="1"/>
      <c r="T64" s="1">
        <f>SUM(OSRRefT22_10x_0)</f>
        <v>31729</v>
      </c>
      <c r="U64" s="1"/>
      <c r="V64" s="5">
        <f t="shared" si="33"/>
        <v>7.9997075337785883E-2</v>
      </c>
      <c r="W64" s="1"/>
      <c r="X64" s="1">
        <f t="shared" si="34"/>
        <v>-392.20999999999913</v>
      </c>
      <c r="Y64" s="1"/>
      <c r="Z64" s="5">
        <f t="shared" si="35"/>
        <v>-1.2361246808912955E-2</v>
      </c>
    </row>
    <row r="65" spans="1:26" s="24" customFormat="1" hidden="1" outlineLevel="2" x14ac:dyDescent="0.25">
      <c r="A65" s="27"/>
      <c r="B65" s="11" t="str">
        <f>CONCATENATE("          ", "6387", " - ", "COMMISSION DUE HOUSING")</f>
        <v xml:space="preserve">          6387 - COMMISSION DUE HOUSING</v>
      </c>
      <c r="C65" s="11"/>
      <c r="D65" s="6">
        <v>14713.83</v>
      </c>
      <c r="E65" s="2"/>
      <c r="F65" s="7">
        <f t="shared" si="28"/>
        <v>7.9427392812941686E-2</v>
      </c>
      <c r="G65" s="2"/>
      <c r="H65" s="6">
        <v>13985</v>
      </c>
      <c r="I65" s="2"/>
      <c r="J65" s="7">
        <f t="shared" si="29"/>
        <v>7.9994737564636431E-2</v>
      </c>
      <c r="K65" s="2"/>
      <c r="L65" s="6">
        <f t="shared" si="30"/>
        <v>728.82999999999993</v>
      </c>
      <c r="M65" s="2"/>
      <c r="N65" s="7">
        <f t="shared" si="31"/>
        <v>5.211512334644261E-2</v>
      </c>
      <c r="O65" s="11"/>
      <c r="P65" s="6">
        <v>31336.79</v>
      </c>
      <c r="Q65" s="2"/>
      <c r="R65" s="7">
        <f t="shared" si="32"/>
        <v>7.8048082992290463E-2</v>
      </c>
      <c r="S65" s="2"/>
      <c r="T65" s="6">
        <v>31729</v>
      </c>
      <c r="U65" s="2"/>
      <c r="V65" s="7">
        <f t="shared" si="33"/>
        <v>7.9997075337785883E-2</v>
      </c>
      <c r="W65" s="2"/>
      <c r="X65" s="6">
        <f t="shared" si="34"/>
        <v>-392.20999999999913</v>
      </c>
      <c r="Y65" s="2"/>
      <c r="Z65" s="7">
        <f t="shared" si="35"/>
        <v>-1.2361246808912955E-2</v>
      </c>
    </row>
    <row r="66" spans="1:26" s="26" customFormat="1" outlineLevel="1" collapsed="1" x14ac:dyDescent="0.25">
      <c r="A66" s="25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20.39</v>
      </c>
      <c r="E66" s="1"/>
      <c r="F66" s="5">
        <f t="shared" si="28"/>
        <v>1.1006818343394488E-4</v>
      </c>
      <c r="G66" s="1"/>
      <c r="H66" s="1">
        <f>SUM(OSRRefH22_11x_0)</f>
        <v>1290</v>
      </c>
      <c r="I66" s="1"/>
      <c r="J66" s="5">
        <f t="shared" si="29"/>
        <v>7.3788495858692167E-3</v>
      </c>
      <c r="K66" s="1"/>
      <c r="L66" s="1">
        <f t="shared" si="30"/>
        <v>-1269.6099999999999</v>
      </c>
      <c r="M66" s="1"/>
      <c r="N66" s="5">
        <f t="shared" si="31"/>
        <v>-0.9841937984496123</v>
      </c>
      <c r="O66" s="13"/>
      <c r="P66" s="1">
        <f>SUM(OSRRefP22_11x_0)</f>
        <v>29.21</v>
      </c>
      <c r="Q66" s="1"/>
      <c r="R66" s="5">
        <f t="shared" si="32"/>
        <v>7.2751054087058842E-5</v>
      </c>
      <c r="S66" s="1"/>
      <c r="T66" s="1">
        <f>SUM(OSRRefT22_11x_0)</f>
        <v>2580</v>
      </c>
      <c r="U66" s="1"/>
      <c r="V66" s="5">
        <f t="shared" si="33"/>
        <v>6.5048521658888575E-3</v>
      </c>
      <c r="W66" s="1"/>
      <c r="X66" s="1">
        <f t="shared" si="34"/>
        <v>-2550.79</v>
      </c>
      <c r="Y66" s="1"/>
      <c r="Z66" s="5">
        <f t="shared" si="35"/>
        <v>-0.98867829457364342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28"/>
        <v>0</v>
      </c>
      <c r="G67" s="2"/>
      <c r="H67" s="6">
        <v>1000</v>
      </c>
      <c r="I67" s="2"/>
      <c r="J67" s="7">
        <f t="shared" si="29"/>
        <v>5.7200384386583078E-3</v>
      </c>
      <c r="K67" s="2"/>
      <c r="L67" s="6">
        <f t="shared" si="30"/>
        <v>-1000</v>
      </c>
      <c r="M67" s="2"/>
      <c r="N67" s="7">
        <f t="shared" si="31"/>
        <v>-1</v>
      </c>
      <c r="O67" s="11"/>
      <c r="P67" s="6"/>
      <c r="Q67" s="2"/>
      <c r="R67" s="7">
        <f t="shared" si="32"/>
        <v>0</v>
      </c>
      <c r="S67" s="2"/>
      <c r="T67" s="6">
        <v>2000</v>
      </c>
      <c r="U67" s="2"/>
      <c r="V67" s="7">
        <f t="shared" si="33"/>
        <v>5.0425210588285717E-3</v>
      </c>
      <c r="W67" s="2"/>
      <c r="X67" s="6">
        <f t="shared" si="34"/>
        <v>-2000</v>
      </c>
      <c r="Y67" s="2"/>
      <c r="Z67" s="7">
        <f t="shared" si="35"/>
        <v>-1</v>
      </c>
    </row>
    <row r="68" spans="1:26" s="24" customFormat="1" hidden="1" outlineLevel="2" x14ac:dyDescent="0.25">
      <c r="A68" s="27"/>
      <c r="B68" s="11" t="str">
        <f>CONCATENATE("          ", "6373", " - ", "MAINTENANCE CONTRACTS")</f>
        <v xml:space="preserve">          6373 - MAINTENANCE CONTRACTS</v>
      </c>
      <c r="C68" s="11"/>
      <c r="D68" s="6">
        <v>20.39</v>
      </c>
      <c r="E68" s="2"/>
      <c r="F68" s="7">
        <f t="shared" si="28"/>
        <v>1.1006818343394488E-4</v>
      </c>
      <c r="G68" s="2"/>
      <c r="H68" s="6">
        <v>30</v>
      </c>
      <c r="I68" s="2"/>
      <c r="J68" s="7">
        <f t="shared" si="29"/>
        <v>1.7160115315974925E-4</v>
      </c>
      <c r="K68" s="2"/>
      <c r="L68" s="6">
        <f t="shared" si="30"/>
        <v>-9.61</v>
      </c>
      <c r="M68" s="2"/>
      <c r="N68" s="7">
        <f t="shared" si="31"/>
        <v>-0.3203333333333333</v>
      </c>
      <c r="O68" s="11"/>
      <c r="P68" s="6">
        <v>29.21</v>
      </c>
      <c r="Q68" s="2"/>
      <c r="R68" s="7">
        <f t="shared" si="32"/>
        <v>7.2751054087058842E-5</v>
      </c>
      <c r="S68" s="2"/>
      <c r="T68" s="6">
        <v>60</v>
      </c>
      <c r="U68" s="2"/>
      <c r="V68" s="7">
        <f t="shared" si="33"/>
        <v>1.5127563176485715E-4</v>
      </c>
      <c r="W68" s="2"/>
      <c r="X68" s="6">
        <f t="shared" si="34"/>
        <v>-30.79</v>
      </c>
      <c r="Y68" s="2"/>
      <c r="Z68" s="7">
        <f t="shared" si="35"/>
        <v>-0.51316666666666666</v>
      </c>
    </row>
    <row r="69" spans="1:26" s="24" customFormat="1" hidden="1" outlineLevel="2" x14ac:dyDescent="0.25">
      <c r="A69" s="27"/>
      <c r="B69" s="11" t="str">
        <f>CONCATENATE("          ", "6375", " - ", "OUTSIDE REPAIRS &amp; MAINTENANCE")</f>
        <v xml:space="preserve">          6375 - OUTSIDE REPAIRS &amp; MAINTENANCE</v>
      </c>
      <c r="C69" s="11"/>
      <c r="D69" s="6"/>
      <c r="E69" s="2"/>
      <c r="F69" s="7">
        <f t="shared" si="28"/>
        <v>0</v>
      </c>
      <c r="G69" s="2"/>
      <c r="H69" s="6">
        <v>260</v>
      </c>
      <c r="I69" s="2"/>
      <c r="J69" s="7">
        <f t="shared" si="29"/>
        <v>1.4872099940511599E-3</v>
      </c>
      <c r="K69" s="2"/>
      <c r="L69" s="6">
        <f t="shared" si="30"/>
        <v>-260</v>
      </c>
      <c r="M69" s="2"/>
      <c r="N69" s="7">
        <f t="shared" si="31"/>
        <v>-1</v>
      </c>
      <c r="O69" s="11"/>
      <c r="P69" s="6"/>
      <c r="Q69" s="2"/>
      <c r="R69" s="7">
        <f t="shared" si="32"/>
        <v>0</v>
      </c>
      <c r="S69" s="2"/>
      <c r="T69" s="6">
        <v>520</v>
      </c>
      <c r="U69" s="2"/>
      <c r="V69" s="7">
        <f t="shared" si="33"/>
        <v>1.3110554752954287E-3</v>
      </c>
      <c r="W69" s="2"/>
      <c r="X69" s="6">
        <f t="shared" si="34"/>
        <v>-520</v>
      </c>
      <c r="Y69" s="2"/>
      <c r="Z69" s="7">
        <f t="shared" si="35"/>
        <v>-1</v>
      </c>
    </row>
    <row r="70" spans="1:26" s="26" customFormat="1" outlineLevel="1" collapsed="1" x14ac:dyDescent="0.25">
      <c r="A70" s="25"/>
      <c r="B70" s="13" t="str">
        <f>CONCATENATE("     ","Services                                          ")</f>
        <v xml:space="preserve">     Services                                          </v>
      </c>
      <c r="C70" s="13"/>
      <c r="D70" s="1">
        <f>SUM(OSRRefD22_12x_0)</f>
        <v>5624.88</v>
      </c>
      <c r="E70" s="1"/>
      <c r="F70" s="5">
        <f t="shared" ref="F70:F74" si="36">IF(D$12=0,0,D70/D$12)</f>
        <v>3.0363919746636971E-2</v>
      </c>
      <c r="G70" s="1"/>
      <c r="H70" s="1">
        <f>SUM(OSRRefH22_12x_0)</f>
        <v>5947</v>
      </c>
      <c r="I70" s="1"/>
      <c r="J70" s="5">
        <f t="shared" ref="J70:J74" si="37">IF(H$12=0,0,H70/H$12)</f>
        <v>3.401706859470096E-2</v>
      </c>
      <c r="K70" s="1"/>
      <c r="L70" s="1">
        <f t="shared" ref="L70:L74" si="38">+D70-H70</f>
        <v>-322.11999999999989</v>
      </c>
      <c r="M70" s="1"/>
      <c r="N70" s="5">
        <f t="shared" ref="N70:N74" si="39">IF(H70=0,0,L70/H70)</f>
        <v>-5.4165125273246996E-2</v>
      </c>
      <c r="O70" s="13"/>
      <c r="P70" s="1">
        <f>SUM(OSRRefP22_12x_0)</f>
        <v>11722.67</v>
      </c>
      <c r="Q70" s="1"/>
      <c r="R70" s="5">
        <f t="shared" ref="R70:R74" si="40">IF(P$12=0,0,P70/P$12)</f>
        <v>2.919673396832393E-2</v>
      </c>
      <c r="S70" s="1"/>
      <c r="T70" s="1">
        <f>SUM(OSRRefT22_12x_0)</f>
        <v>14294</v>
      </c>
      <c r="U70" s="1"/>
      <c r="V70" s="5">
        <f t="shared" ref="V70:V74" si="41">IF(T$12=0,0,T70/T$12)</f>
        <v>3.6038898007447806E-2</v>
      </c>
      <c r="W70" s="1"/>
      <c r="X70" s="1">
        <f t="shared" ref="X70:X74" si="42">+P70-T70</f>
        <v>-2571.33</v>
      </c>
      <c r="Y70" s="1"/>
      <c r="Z70" s="5">
        <f t="shared" ref="Z70:Z74" si="43">IF(T70=0,0,X70/T70)</f>
        <v>-0.17988876451658037</v>
      </c>
    </row>
    <row r="71" spans="1:26" s="24" customFormat="1" hidden="1" outlineLevel="2" x14ac:dyDescent="0.25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421.34</v>
      </c>
      <c r="E71" s="2"/>
      <c r="F71" s="7">
        <f t="shared" si="36"/>
        <v>2.2744545565501879E-3</v>
      </c>
      <c r="G71" s="2"/>
      <c r="H71" s="6">
        <v>430</v>
      </c>
      <c r="I71" s="2"/>
      <c r="J71" s="7">
        <f t="shared" si="37"/>
        <v>2.4596165286230724E-3</v>
      </c>
      <c r="K71" s="2"/>
      <c r="L71" s="6">
        <f t="shared" si="38"/>
        <v>-8.660000000000025</v>
      </c>
      <c r="M71" s="2"/>
      <c r="N71" s="7">
        <f t="shared" si="39"/>
        <v>-2.0139534883720989E-2</v>
      </c>
      <c r="O71" s="11"/>
      <c r="P71" s="6">
        <v>842.68</v>
      </c>
      <c r="Q71" s="2"/>
      <c r="R71" s="7">
        <f t="shared" si="40"/>
        <v>2.098796927698827E-3</v>
      </c>
      <c r="S71" s="2"/>
      <c r="T71" s="6">
        <v>860</v>
      </c>
      <c r="U71" s="2"/>
      <c r="V71" s="7">
        <f t="shared" si="41"/>
        <v>2.1682840552962861E-3</v>
      </c>
      <c r="W71" s="2"/>
      <c r="X71" s="6">
        <f t="shared" si="42"/>
        <v>-17.32000000000005</v>
      </c>
      <c r="Y71" s="2"/>
      <c r="Z71" s="7">
        <f t="shared" si="43"/>
        <v>-2.0139534883720989E-2</v>
      </c>
    </row>
    <row r="72" spans="1:26" s="24" customFormat="1" hidden="1" outlineLevel="2" x14ac:dyDescent="0.25">
      <c r="A72" s="27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36"/>
        <v>0</v>
      </c>
      <c r="G72" s="2"/>
      <c r="H72" s="6"/>
      <c r="I72" s="2"/>
      <c r="J72" s="7">
        <f t="shared" si="37"/>
        <v>0</v>
      </c>
      <c r="K72" s="2"/>
      <c r="L72" s="6">
        <f t="shared" si="38"/>
        <v>0</v>
      </c>
      <c r="M72" s="2"/>
      <c r="N72" s="7">
        <f t="shared" si="39"/>
        <v>0</v>
      </c>
      <c r="O72" s="11"/>
      <c r="P72" s="6"/>
      <c r="Q72" s="2"/>
      <c r="R72" s="7">
        <f t="shared" si="40"/>
        <v>0</v>
      </c>
      <c r="S72" s="2"/>
      <c r="T72" s="6">
        <v>0</v>
      </c>
      <c r="U72" s="2"/>
      <c r="V72" s="7">
        <f t="shared" si="41"/>
        <v>0</v>
      </c>
      <c r="W72" s="2"/>
      <c r="X72" s="6">
        <f t="shared" si="42"/>
        <v>0</v>
      </c>
      <c r="Y72" s="2"/>
      <c r="Z72" s="7">
        <f t="shared" si="43"/>
        <v>0</v>
      </c>
    </row>
    <row r="73" spans="1:26" s="24" customFormat="1" hidden="1" outlineLevel="2" x14ac:dyDescent="0.25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3916.67</v>
      </c>
      <c r="E73" s="2"/>
      <c r="F73" s="7">
        <f t="shared" si="36"/>
        <v>2.1142753899471744E-2</v>
      </c>
      <c r="G73" s="2"/>
      <c r="H73" s="6">
        <v>3917</v>
      </c>
      <c r="I73" s="2"/>
      <c r="J73" s="7">
        <f t="shared" si="37"/>
        <v>2.2405390564224591E-2</v>
      </c>
      <c r="K73" s="2"/>
      <c r="L73" s="6">
        <f t="shared" si="38"/>
        <v>-0.32999999999992724</v>
      </c>
      <c r="M73" s="2"/>
      <c r="N73" s="7">
        <f t="shared" si="39"/>
        <v>-8.4248149093675581E-5</v>
      </c>
      <c r="O73" s="11"/>
      <c r="P73" s="6">
        <v>8020.84</v>
      </c>
      <c r="Q73" s="2"/>
      <c r="R73" s="7">
        <f t="shared" si="40"/>
        <v>1.99768765718468E-2</v>
      </c>
      <c r="S73" s="2"/>
      <c r="T73" s="6">
        <v>10234</v>
      </c>
      <c r="U73" s="2"/>
      <c r="V73" s="7">
        <f t="shared" si="41"/>
        <v>2.5802580258025804E-2</v>
      </c>
      <c r="W73" s="2"/>
      <c r="X73" s="6">
        <f t="shared" si="42"/>
        <v>-2213.16</v>
      </c>
      <c r="Y73" s="2"/>
      <c r="Z73" s="7">
        <f t="shared" si="43"/>
        <v>-0.21625561852648034</v>
      </c>
    </row>
    <row r="74" spans="1:26" s="24" customFormat="1" hidden="1" outlineLevel="2" x14ac:dyDescent="0.25">
      <c r="A74" s="27"/>
      <c r="B74" s="11" t="str">
        <f>CONCATENATE("          ", "6286", " - ", "LAUNDRY EXPENSE")</f>
        <v xml:space="preserve">          6286 - LAUNDRY EXPENSE</v>
      </c>
      <c r="C74" s="11"/>
      <c r="D74" s="6">
        <v>1286.8699999999999</v>
      </c>
      <c r="E74" s="2"/>
      <c r="F74" s="7">
        <f t="shared" si="36"/>
        <v>6.9467112906150376E-3</v>
      </c>
      <c r="G74" s="2"/>
      <c r="H74" s="6">
        <v>1600</v>
      </c>
      <c r="I74" s="2"/>
      <c r="J74" s="7">
        <f t="shared" si="37"/>
        <v>9.1520615018532928E-3</v>
      </c>
      <c r="K74" s="2"/>
      <c r="L74" s="6">
        <f t="shared" si="38"/>
        <v>-313.13000000000011</v>
      </c>
      <c r="M74" s="2"/>
      <c r="N74" s="7">
        <f t="shared" si="39"/>
        <v>-0.19570625000000008</v>
      </c>
      <c r="O74" s="11"/>
      <c r="P74" s="6">
        <v>2859.15</v>
      </c>
      <c r="Q74" s="2"/>
      <c r="R74" s="7">
        <f t="shared" si="40"/>
        <v>7.1210604687783046E-3</v>
      </c>
      <c r="S74" s="2"/>
      <c r="T74" s="6">
        <v>3200</v>
      </c>
      <c r="U74" s="2"/>
      <c r="V74" s="7">
        <f t="shared" si="41"/>
        <v>8.0680336941257157E-3</v>
      </c>
      <c r="W74" s="2"/>
      <c r="X74" s="6">
        <f t="shared" si="42"/>
        <v>-340.84999999999991</v>
      </c>
      <c r="Y74" s="2"/>
      <c r="Z74" s="7">
        <f t="shared" si="43"/>
        <v>-0.10651562499999997</v>
      </c>
    </row>
    <row r="75" spans="1:26" s="26" customFormat="1" outlineLevel="1" collapsed="1" x14ac:dyDescent="0.25">
      <c r="A75" s="25"/>
      <c r="B75" s="13" t="str">
        <f>CONCATENATE("     ","Supplies                                          ")</f>
        <v xml:space="preserve">     Supplies                                          </v>
      </c>
      <c r="C75" s="13"/>
      <c r="D75" s="1">
        <f>SUM(OSRRefD22_13x_0)</f>
        <v>8075.96</v>
      </c>
      <c r="E75" s="1"/>
      <c r="F75" s="5">
        <f t="shared" ref="F75:F82" si="44">IF(D$12=0,0,D75/D$12)</f>
        <v>4.3595205820755344E-2</v>
      </c>
      <c r="G75" s="1"/>
      <c r="H75" s="1">
        <f>SUM(OSRRefH22_13x_0)</f>
        <v>10880</v>
      </c>
      <c r="I75" s="1"/>
      <c r="J75" s="5">
        <f t="shared" ref="J75:J82" si="45">IF(H$12=0,0,H75/H$12)</f>
        <v>6.2234018212602389E-2</v>
      </c>
      <c r="K75" s="1"/>
      <c r="L75" s="1">
        <f t="shared" ref="L75:L82" si="46">+D75-H75</f>
        <v>-2804.04</v>
      </c>
      <c r="M75" s="1"/>
      <c r="N75" s="5">
        <f t="shared" ref="N75:N82" si="47">IF(H75=0,0,L75/H75)</f>
        <v>-0.25772426470588233</v>
      </c>
      <c r="O75" s="13"/>
      <c r="P75" s="1">
        <f>SUM(OSRRefP22_13x_0)</f>
        <v>15888.530000000002</v>
      </c>
      <c r="Q75" s="1"/>
      <c r="R75" s="5">
        <f t="shared" ref="R75:R82" si="48">IF(P$12=0,0,P75/P$12)</f>
        <v>3.9572314460590792E-2</v>
      </c>
      <c r="S75" s="1"/>
      <c r="T75" s="1">
        <f>SUM(OSRRefT22_13x_0)</f>
        <v>20760</v>
      </c>
      <c r="U75" s="1"/>
      <c r="V75" s="5">
        <f t="shared" ref="V75:V82" si="49">IF(T$12=0,0,T75/T$12)</f>
        <v>5.2341368590640577E-2</v>
      </c>
      <c r="W75" s="1"/>
      <c r="X75" s="1">
        <f t="shared" ref="X75:X82" si="50">+P75-T75</f>
        <v>-4871.4699999999975</v>
      </c>
      <c r="Y75" s="1"/>
      <c r="Z75" s="5">
        <f t="shared" ref="Z75:Z82" si="51">IF(T75=0,0,X75/T75)</f>
        <v>-0.23465655105973013</v>
      </c>
    </row>
    <row r="76" spans="1:26" s="24" customFormat="1" hidden="1" outlineLevel="2" x14ac:dyDescent="0.25">
      <c r="A76" s="27"/>
      <c r="B76" s="11" t="str">
        <f>CONCATENATE("          ", "6237", " - ", "JANITORIAL SUPPLIES")</f>
        <v xml:space="preserve">          6237 - JANITORIAL SUPPLIES</v>
      </c>
      <c r="C76" s="11"/>
      <c r="D76" s="6">
        <v>3412.55</v>
      </c>
      <c r="E76" s="2"/>
      <c r="F76" s="7">
        <f t="shared" si="44"/>
        <v>1.8421440871873886E-2</v>
      </c>
      <c r="G76" s="2"/>
      <c r="H76" s="6">
        <v>4000</v>
      </c>
      <c r="I76" s="2"/>
      <c r="J76" s="7">
        <f t="shared" si="45"/>
        <v>2.2880153754633231E-2</v>
      </c>
      <c r="K76" s="2"/>
      <c r="L76" s="6">
        <f t="shared" si="46"/>
        <v>-587.44999999999982</v>
      </c>
      <c r="M76" s="2"/>
      <c r="N76" s="7">
        <f t="shared" si="47"/>
        <v>-0.14686249999999995</v>
      </c>
      <c r="O76" s="11"/>
      <c r="P76" s="6">
        <v>7364.03</v>
      </c>
      <c r="Q76" s="2"/>
      <c r="R76" s="7">
        <f t="shared" si="48"/>
        <v>1.8341011462811498E-2</v>
      </c>
      <c r="S76" s="2"/>
      <c r="T76" s="6">
        <v>8000</v>
      </c>
      <c r="U76" s="2"/>
      <c r="V76" s="7">
        <f t="shared" si="49"/>
        <v>2.0170084235314287E-2</v>
      </c>
      <c r="W76" s="2"/>
      <c r="X76" s="6">
        <f t="shared" si="50"/>
        <v>-635.97000000000025</v>
      </c>
      <c r="Y76" s="2"/>
      <c r="Z76" s="7">
        <f t="shared" si="51"/>
        <v>-7.9496250000000032E-2</v>
      </c>
    </row>
    <row r="77" spans="1:26" s="24" customFormat="1" hidden="1" outlineLevel="2" x14ac:dyDescent="0.25">
      <c r="A77" s="27"/>
      <c r="B77" s="11" t="str">
        <f>CONCATENATE("          ", "6239", " - ", "KITCHEN SUPPLIES")</f>
        <v xml:space="preserve">          6239 - KITCHEN SUPPLIES</v>
      </c>
      <c r="C77" s="11"/>
      <c r="D77" s="6">
        <v>1797.08</v>
      </c>
      <c r="E77" s="2"/>
      <c r="F77" s="7">
        <f t="shared" si="44"/>
        <v>9.700899023318962E-3</v>
      </c>
      <c r="G77" s="2"/>
      <c r="H77" s="6">
        <v>3000</v>
      </c>
      <c r="I77" s="2"/>
      <c r="J77" s="7">
        <f t="shared" si="45"/>
        <v>1.7160115315974923E-2</v>
      </c>
      <c r="K77" s="2"/>
      <c r="L77" s="6">
        <f t="shared" si="46"/>
        <v>-1202.92</v>
      </c>
      <c r="M77" s="2"/>
      <c r="N77" s="7">
        <f t="shared" si="47"/>
        <v>-0.40097333333333335</v>
      </c>
      <c r="O77" s="11"/>
      <c r="P77" s="6">
        <v>1873.08</v>
      </c>
      <c r="Q77" s="2"/>
      <c r="R77" s="7">
        <f t="shared" si="48"/>
        <v>4.6651333238407451E-3</v>
      </c>
      <c r="S77" s="2"/>
      <c r="T77" s="6">
        <v>5000</v>
      </c>
      <c r="U77" s="2"/>
      <c r="V77" s="7">
        <f t="shared" si="49"/>
        <v>1.2606302647071429E-2</v>
      </c>
      <c r="W77" s="2"/>
      <c r="X77" s="6">
        <f t="shared" si="50"/>
        <v>-3126.92</v>
      </c>
      <c r="Y77" s="2"/>
      <c r="Z77" s="7">
        <f t="shared" si="51"/>
        <v>-0.62538400000000005</v>
      </c>
    </row>
    <row r="78" spans="1:26" s="24" customFormat="1" hidden="1" outlineLevel="2" x14ac:dyDescent="0.25">
      <c r="A78" s="27"/>
      <c r="B78" s="11" t="str">
        <f>CONCATENATE("          ", "6241", " - ", "OFFICE EXPENSE")</f>
        <v xml:space="preserve">          6241 - OFFICE EXPENSE</v>
      </c>
      <c r="C78" s="11"/>
      <c r="D78" s="6">
        <v>298.66000000000003</v>
      </c>
      <c r="E78" s="2"/>
      <c r="F78" s="7">
        <f t="shared" si="44"/>
        <v>1.6122100865317301E-3</v>
      </c>
      <c r="G78" s="2"/>
      <c r="H78" s="6">
        <v>305</v>
      </c>
      <c r="I78" s="2"/>
      <c r="J78" s="7">
        <f t="shared" si="45"/>
        <v>1.7446117237907839E-3</v>
      </c>
      <c r="K78" s="2"/>
      <c r="L78" s="6">
        <f t="shared" si="46"/>
        <v>-6.339999999999975</v>
      </c>
      <c r="M78" s="2"/>
      <c r="N78" s="7">
        <f t="shared" si="47"/>
        <v>-2.0786885245901558E-2</v>
      </c>
      <c r="O78" s="11"/>
      <c r="P78" s="6">
        <v>832.59</v>
      </c>
      <c r="Q78" s="2"/>
      <c r="R78" s="7">
        <f t="shared" si="48"/>
        <v>2.0736665567389358E-3</v>
      </c>
      <c r="S78" s="2"/>
      <c r="T78" s="6">
        <v>610</v>
      </c>
      <c r="U78" s="2"/>
      <c r="V78" s="7">
        <f t="shared" si="49"/>
        <v>1.5379689229427145E-3</v>
      </c>
      <c r="W78" s="2"/>
      <c r="X78" s="6">
        <f t="shared" si="50"/>
        <v>222.59000000000003</v>
      </c>
      <c r="Y78" s="2"/>
      <c r="Z78" s="7">
        <f t="shared" si="51"/>
        <v>0.36490163934426234</v>
      </c>
    </row>
    <row r="79" spans="1:26" s="24" customFormat="1" hidden="1" outlineLevel="2" x14ac:dyDescent="0.25">
      <c r="A79" s="27"/>
      <c r="B79" s="11" t="str">
        <f>CONCATENATE("          ", "6243", " - ", "PAPER SUPPLIES")</f>
        <v xml:space="preserve">          6243 - PAPER SUPPLIES</v>
      </c>
      <c r="C79" s="11"/>
      <c r="D79" s="6">
        <v>1972.8</v>
      </c>
      <c r="E79" s="2"/>
      <c r="F79" s="7">
        <f t="shared" si="44"/>
        <v>1.0649461122044455E-2</v>
      </c>
      <c r="G79" s="2"/>
      <c r="H79" s="6">
        <v>3200</v>
      </c>
      <c r="I79" s="2"/>
      <c r="J79" s="7">
        <f t="shared" si="45"/>
        <v>1.8304123003706586E-2</v>
      </c>
      <c r="K79" s="2"/>
      <c r="L79" s="6">
        <f t="shared" si="46"/>
        <v>-1227.2</v>
      </c>
      <c r="M79" s="2"/>
      <c r="N79" s="7">
        <f t="shared" si="47"/>
        <v>-0.38350000000000001</v>
      </c>
      <c r="O79" s="11"/>
      <c r="P79" s="6">
        <v>3956.11</v>
      </c>
      <c r="Q79" s="2"/>
      <c r="R79" s="7">
        <f t="shared" si="48"/>
        <v>9.8531726321244208E-3</v>
      </c>
      <c r="S79" s="2"/>
      <c r="T79" s="6">
        <v>6400</v>
      </c>
      <c r="U79" s="2"/>
      <c r="V79" s="7">
        <f t="shared" si="49"/>
        <v>1.6136067388251431E-2</v>
      </c>
      <c r="W79" s="2"/>
      <c r="X79" s="6">
        <f t="shared" si="50"/>
        <v>-2443.89</v>
      </c>
      <c r="Y79" s="2"/>
      <c r="Z79" s="7">
        <f t="shared" si="51"/>
        <v>-0.3818578125</v>
      </c>
    </row>
    <row r="80" spans="1:26" s="24" customFormat="1" hidden="1" outlineLevel="2" x14ac:dyDescent="0.25">
      <c r="A80" s="27"/>
      <c r="B80" s="11" t="str">
        <f>CONCATENATE("          ", "6245", " - ", "PRINTING")</f>
        <v xml:space="preserve">          6245 - PRINTING</v>
      </c>
      <c r="C80" s="11"/>
      <c r="D80" s="6">
        <v>441</v>
      </c>
      <c r="E80" s="2"/>
      <c r="F80" s="7">
        <f t="shared" si="44"/>
        <v>2.3805820938876746E-3</v>
      </c>
      <c r="G80" s="2"/>
      <c r="H80" s="6"/>
      <c r="I80" s="2"/>
      <c r="J80" s="7">
        <f t="shared" si="45"/>
        <v>0</v>
      </c>
      <c r="K80" s="2"/>
      <c r="L80" s="6">
        <f t="shared" si="46"/>
        <v>441</v>
      </c>
      <c r="M80" s="2"/>
      <c r="N80" s="7">
        <f t="shared" si="47"/>
        <v>0</v>
      </c>
      <c r="O80" s="11"/>
      <c r="P80" s="6">
        <v>441</v>
      </c>
      <c r="Q80" s="2"/>
      <c r="R80" s="7">
        <f t="shared" si="48"/>
        <v>1.0983640825879132E-3</v>
      </c>
      <c r="S80" s="2"/>
      <c r="T80" s="6"/>
      <c r="U80" s="2"/>
      <c r="V80" s="7">
        <f t="shared" si="49"/>
        <v>0</v>
      </c>
      <c r="W80" s="2"/>
      <c r="X80" s="6">
        <f t="shared" si="50"/>
        <v>441</v>
      </c>
      <c r="Y80" s="2"/>
      <c r="Z80" s="7">
        <f t="shared" si="51"/>
        <v>0</v>
      </c>
    </row>
    <row r="81" spans="1:26" s="24" customFormat="1" hidden="1" outlineLevel="2" x14ac:dyDescent="0.25">
      <c r="A81" s="27"/>
      <c r="B81" s="11" t="str">
        <f>CONCATENATE("          ", "6247", " - ", "STORE SUPPLIES")</f>
        <v xml:space="preserve">          6247 - STORE SUPPLIES</v>
      </c>
      <c r="C81" s="11"/>
      <c r="D81" s="6">
        <v>153.87</v>
      </c>
      <c r="E81" s="2"/>
      <c r="F81" s="7">
        <f t="shared" si="44"/>
        <v>8.306126230986315E-4</v>
      </c>
      <c r="G81" s="2"/>
      <c r="H81" s="6"/>
      <c r="I81" s="2"/>
      <c r="J81" s="7">
        <f t="shared" si="45"/>
        <v>0</v>
      </c>
      <c r="K81" s="2"/>
      <c r="L81" s="6">
        <f t="shared" si="46"/>
        <v>153.87</v>
      </c>
      <c r="M81" s="2"/>
      <c r="N81" s="7">
        <f t="shared" si="47"/>
        <v>0</v>
      </c>
      <c r="O81" s="11"/>
      <c r="P81" s="6">
        <v>153.87</v>
      </c>
      <c r="Q81" s="2"/>
      <c r="R81" s="7">
        <f t="shared" si="48"/>
        <v>3.8323193058458551E-4</v>
      </c>
      <c r="S81" s="2"/>
      <c r="T81" s="6"/>
      <c r="U81" s="2"/>
      <c r="V81" s="7">
        <f t="shared" si="49"/>
        <v>0</v>
      </c>
      <c r="W81" s="2"/>
      <c r="X81" s="6">
        <f t="shared" si="50"/>
        <v>153.87</v>
      </c>
      <c r="Y81" s="2"/>
      <c r="Z81" s="7">
        <f t="shared" si="51"/>
        <v>0</v>
      </c>
    </row>
    <row r="82" spans="1:26" s="24" customFormat="1" hidden="1" outlineLevel="2" x14ac:dyDescent="0.25">
      <c r="A82" s="27"/>
      <c r="B82" s="11" t="str">
        <f>CONCATENATE("          ", "6248", " - ", "UNIFORMS")</f>
        <v xml:space="preserve">          6248 - UNIFORMS</v>
      </c>
      <c r="C82" s="11"/>
      <c r="D82" s="6"/>
      <c r="E82" s="2"/>
      <c r="F82" s="7">
        <f t="shared" si="44"/>
        <v>0</v>
      </c>
      <c r="G82" s="2"/>
      <c r="H82" s="6">
        <v>375</v>
      </c>
      <c r="I82" s="2"/>
      <c r="J82" s="7">
        <f t="shared" si="45"/>
        <v>2.1450144144968654E-3</v>
      </c>
      <c r="K82" s="2"/>
      <c r="L82" s="6">
        <f t="shared" si="46"/>
        <v>-375</v>
      </c>
      <c r="M82" s="2"/>
      <c r="N82" s="7">
        <f t="shared" si="47"/>
        <v>-1</v>
      </c>
      <c r="O82" s="11"/>
      <c r="P82" s="6">
        <v>1267.8499999999999</v>
      </c>
      <c r="Q82" s="2"/>
      <c r="R82" s="7">
        <f t="shared" si="48"/>
        <v>3.1577344719026885E-3</v>
      </c>
      <c r="S82" s="2"/>
      <c r="T82" s="6">
        <v>750</v>
      </c>
      <c r="U82" s="2"/>
      <c r="V82" s="7">
        <f t="shared" si="49"/>
        <v>1.8909453970607144E-3</v>
      </c>
      <c r="W82" s="2"/>
      <c r="X82" s="6">
        <f t="shared" si="50"/>
        <v>517.84999999999991</v>
      </c>
      <c r="Y82" s="2"/>
      <c r="Z82" s="7">
        <f t="shared" si="51"/>
        <v>0.69046666666666656</v>
      </c>
    </row>
    <row r="83" spans="1:26" s="26" customFormat="1" outlineLevel="1" collapsed="1" x14ac:dyDescent="0.25">
      <c r="A83" s="25"/>
      <c r="B83" s="13" t="str">
        <f>CONCATENATE("     ","Telephone/Data Lines                              ")</f>
        <v xml:space="preserve">     Telephone/Data Lines                              </v>
      </c>
      <c r="C83" s="13"/>
      <c r="D83" s="1">
        <f>SUM(OSRRefD22_14x_0)</f>
        <v>310.60000000000002</v>
      </c>
      <c r="E83" s="1"/>
      <c r="F83" s="5">
        <f t="shared" ref="F83:F88" si="52">IF(D$12=0,0,D83/D$12)</f>
        <v>1.6766639418628385E-3</v>
      </c>
      <c r="G83" s="1"/>
      <c r="H83" s="1">
        <f>SUM(OSRRefH22_14x_0)</f>
        <v>275</v>
      </c>
      <c r="I83" s="1"/>
      <c r="J83" s="5">
        <f t="shared" ref="J83:J88" si="53">IF(H$12=0,0,H83/H$12)</f>
        <v>1.5730105706310347E-3</v>
      </c>
      <c r="K83" s="1"/>
      <c r="L83" s="1">
        <f t="shared" ref="L83:L88" si="54">+D83-H83</f>
        <v>35.600000000000023</v>
      </c>
      <c r="M83" s="1"/>
      <c r="N83" s="5">
        <f t="shared" ref="N83:N88" si="55">IF(H83=0,0,L83/H83)</f>
        <v>0.12945454545454554</v>
      </c>
      <c r="O83" s="13"/>
      <c r="P83" s="1">
        <f>SUM(OSRRefP22_14x_0)</f>
        <v>605.45000000000005</v>
      </c>
      <c r="Q83" s="1"/>
      <c r="R83" s="5">
        <f t="shared" ref="R83:R88" si="56">IF(P$12=0,0,P83/P$12)</f>
        <v>1.507946788668599E-3</v>
      </c>
      <c r="S83" s="1"/>
      <c r="T83" s="1">
        <f>SUM(OSRRefT22_14x_0)</f>
        <v>550</v>
      </c>
      <c r="U83" s="1"/>
      <c r="V83" s="5">
        <f t="shared" ref="V83:V88" si="57">IF(T$12=0,0,T83/T$12)</f>
        <v>1.3866932911778573E-3</v>
      </c>
      <c r="W83" s="1"/>
      <c r="X83" s="1">
        <f t="shared" ref="X83:X88" si="58">+P83-T83</f>
        <v>55.450000000000045</v>
      </c>
      <c r="Y83" s="1"/>
      <c r="Z83" s="5">
        <f t="shared" ref="Z83:Z88" si="59">IF(T83=0,0,X83/T83)</f>
        <v>0.1008181818181819</v>
      </c>
    </row>
    <row r="84" spans="1:26" s="24" customFormat="1" hidden="1" outlineLevel="2" x14ac:dyDescent="0.25">
      <c r="A84" s="27"/>
      <c r="B84" s="11" t="str">
        <f>CONCATENATE("          ", "6309", " - ", "TELEPHONE")</f>
        <v xml:space="preserve">          6309 - TELEPHONE</v>
      </c>
      <c r="C84" s="11"/>
      <c r="D84" s="6">
        <v>310.60000000000002</v>
      </c>
      <c r="E84" s="2"/>
      <c r="F84" s="7">
        <f t="shared" si="52"/>
        <v>1.6766639418628385E-3</v>
      </c>
      <c r="G84" s="2"/>
      <c r="H84" s="6">
        <v>275</v>
      </c>
      <c r="I84" s="2"/>
      <c r="J84" s="7">
        <f t="shared" si="53"/>
        <v>1.5730105706310347E-3</v>
      </c>
      <c r="K84" s="2"/>
      <c r="L84" s="6">
        <f t="shared" si="54"/>
        <v>35.600000000000023</v>
      </c>
      <c r="M84" s="2"/>
      <c r="N84" s="7">
        <f t="shared" si="55"/>
        <v>0.12945454545454554</v>
      </c>
      <c r="O84" s="11"/>
      <c r="P84" s="6">
        <v>605.45000000000005</v>
      </c>
      <c r="Q84" s="2"/>
      <c r="R84" s="7">
        <f t="shared" si="56"/>
        <v>1.507946788668599E-3</v>
      </c>
      <c r="S84" s="2"/>
      <c r="T84" s="6">
        <v>550</v>
      </c>
      <c r="U84" s="2"/>
      <c r="V84" s="7">
        <f t="shared" si="57"/>
        <v>1.3866932911778573E-3</v>
      </c>
      <c r="W84" s="2"/>
      <c r="X84" s="6">
        <f t="shared" si="58"/>
        <v>55.450000000000045</v>
      </c>
      <c r="Y84" s="2"/>
      <c r="Z84" s="7">
        <f t="shared" si="59"/>
        <v>0.1008181818181819</v>
      </c>
    </row>
    <row r="85" spans="1:26" s="26" customFormat="1" outlineLevel="1" collapsed="1" x14ac:dyDescent="0.25">
      <c r="A85" s="25"/>
      <c r="B85" s="13" t="str">
        <f>CONCATENATE("     ","Training                                          ")</f>
        <v xml:space="preserve">     Training                                          </v>
      </c>
      <c r="C85" s="13"/>
      <c r="D85" s="1">
        <f>SUM(OSRRefD22_15x_0)</f>
        <v>0</v>
      </c>
      <c r="E85" s="1"/>
      <c r="F85" s="5">
        <f t="shared" si="52"/>
        <v>0</v>
      </c>
      <c r="G85" s="1"/>
      <c r="H85" s="1">
        <f>SUM(OSRRefH22_15x_0)</f>
        <v>700</v>
      </c>
      <c r="I85" s="1"/>
      <c r="J85" s="5">
        <f t="shared" si="53"/>
        <v>4.0040269070608153E-3</v>
      </c>
      <c r="K85" s="1"/>
      <c r="L85" s="1">
        <f t="shared" si="54"/>
        <v>-700</v>
      </c>
      <c r="M85" s="1"/>
      <c r="N85" s="5">
        <f t="shared" si="55"/>
        <v>-1</v>
      </c>
      <c r="O85" s="13"/>
      <c r="P85" s="1">
        <f>SUM(OSRRefP22_15x_0)</f>
        <v>494</v>
      </c>
      <c r="Q85" s="1"/>
      <c r="R85" s="5">
        <f t="shared" si="56"/>
        <v>1.2303670222186603E-3</v>
      </c>
      <c r="S85" s="1"/>
      <c r="T85" s="1">
        <f>SUM(OSRRefT22_15x_0)</f>
        <v>1400</v>
      </c>
      <c r="U85" s="1"/>
      <c r="V85" s="5">
        <f t="shared" si="57"/>
        <v>3.5297647411800005E-3</v>
      </c>
      <c r="W85" s="1"/>
      <c r="X85" s="1">
        <f t="shared" si="58"/>
        <v>-906</v>
      </c>
      <c r="Y85" s="1"/>
      <c r="Z85" s="5">
        <f t="shared" si="59"/>
        <v>-0.64714285714285713</v>
      </c>
    </row>
    <row r="86" spans="1:26" s="24" customFormat="1" hidden="1" outlineLevel="2" x14ac:dyDescent="0.25">
      <c r="A86" s="27"/>
      <c r="B86" s="11" t="str">
        <f>CONCATENATE("          ", "6376", " - ", "TRAINING")</f>
        <v xml:space="preserve">          6376 - TRAINING</v>
      </c>
      <c r="C86" s="11"/>
      <c r="D86" s="6"/>
      <c r="E86" s="2"/>
      <c r="F86" s="7">
        <f t="shared" si="52"/>
        <v>0</v>
      </c>
      <c r="G86" s="2"/>
      <c r="H86" s="6">
        <v>700</v>
      </c>
      <c r="I86" s="2"/>
      <c r="J86" s="7">
        <f t="shared" si="53"/>
        <v>4.0040269070608153E-3</v>
      </c>
      <c r="K86" s="2"/>
      <c r="L86" s="6">
        <f t="shared" si="54"/>
        <v>-700</v>
      </c>
      <c r="M86" s="2"/>
      <c r="N86" s="7">
        <f t="shared" si="55"/>
        <v>-1</v>
      </c>
      <c r="O86" s="11"/>
      <c r="P86" s="6">
        <v>494</v>
      </c>
      <c r="Q86" s="2"/>
      <c r="R86" s="7">
        <f t="shared" si="56"/>
        <v>1.2303670222186603E-3</v>
      </c>
      <c r="S86" s="2"/>
      <c r="T86" s="6">
        <v>1400</v>
      </c>
      <c r="U86" s="2"/>
      <c r="V86" s="7">
        <f t="shared" si="57"/>
        <v>3.5297647411800005E-3</v>
      </c>
      <c r="W86" s="2"/>
      <c r="X86" s="6">
        <f t="shared" si="58"/>
        <v>-906</v>
      </c>
      <c r="Y86" s="2"/>
      <c r="Z86" s="7">
        <f t="shared" si="59"/>
        <v>-0.64714285714285713</v>
      </c>
    </row>
    <row r="87" spans="1:26" s="26" customFormat="1" outlineLevel="1" collapsed="1" x14ac:dyDescent="0.25">
      <c r="A87" s="25"/>
      <c r="B87" s="13" t="str">
        <f>CONCATENATE("     ","Travel                                            ")</f>
        <v xml:space="preserve">     Travel                                            </v>
      </c>
      <c r="C87" s="13"/>
      <c r="D87" s="1">
        <f>SUM(OSRRefD22_16x_0)</f>
        <v>0</v>
      </c>
      <c r="E87" s="1"/>
      <c r="F87" s="5">
        <f t="shared" si="52"/>
        <v>0</v>
      </c>
      <c r="G87" s="1"/>
      <c r="H87" s="1">
        <f>SUM(OSRRefH22_16x_0)</f>
        <v>0</v>
      </c>
      <c r="I87" s="1"/>
      <c r="J87" s="5">
        <f t="shared" si="53"/>
        <v>0</v>
      </c>
      <c r="K87" s="1"/>
      <c r="L87" s="1">
        <f t="shared" si="54"/>
        <v>0</v>
      </c>
      <c r="M87" s="1"/>
      <c r="N87" s="5">
        <f t="shared" si="55"/>
        <v>0</v>
      </c>
      <c r="O87" s="13"/>
      <c r="P87" s="1">
        <f>SUM(OSRRefP22_16x_0)</f>
        <v>59.14</v>
      </c>
      <c r="Q87" s="1"/>
      <c r="R87" s="5">
        <f t="shared" si="56"/>
        <v>1.4729535565589385E-4</v>
      </c>
      <c r="S87" s="1"/>
      <c r="T87" s="1">
        <f>SUM(OSRRefT22_16x_0)</f>
        <v>0</v>
      </c>
      <c r="U87" s="1"/>
      <c r="V87" s="5">
        <f t="shared" si="57"/>
        <v>0</v>
      </c>
      <c r="W87" s="1"/>
      <c r="X87" s="1">
        <f t="shared" si="58"/>
        <v>59.14</v>
      </c>
      <c r="Y87" s="1"/>
      <c r="Z87" s="5">
        <f t="shared" si="59"/>
        <v>0</v>
      </c>
    </row>
    <row r="88" spans="1:26" s="24" customFormat="1" hidden="1" outlineLevel="2" x14ac:dyDescent="0.25">
      <c r="A88" s="27"/>
      <c r="B88" s="11" t="str">
        <f>CONCATENATE("          ", "6292", " - ", "TRAVEL/CONFERENCE")</f>
        <v xml:space="preserve">          6292 - TRAVEL/CONFERENCE</v>
      </c>
      <c r="C88" s="11"/>
      <c r="D88" s="6"/>
      <c r="E88" s="2"/>
      <c r="F88" s="7">
        <f t="shared" si="52"/>
        <v>0</v>
      </c>
      <c r="G88" s="2"/>
      <c r="H88" s="6"/>
      <c r="I88" s="2"/>
      <c r="J88" s="7">
        <f t="shared" si="53"/>
        <v>0</v>
      </c>
      <c r="K88" s="2"/>
      <c r="L88" s="6">
        <f t="shared" si="54"/>
        <v>0</v>
      </c>
      <c r="M88" s="2"/>
      <c r="N88" s="7">
        <f t="shared" si="55"/>
        <v>0</v>
      </c>
      <c r="O88" s="11"/>
      <c r="P88" s="6">
        <v>59.14</v>
      </c>
      <c r="Q88" s="2"/>
      <c r="R88" s="7">
        <f t="shared" si="56"/>
        <v>1.4729535565589385E-4</v>
      </c>
      <c r="S88" s="2"/>
      <c r="T88" s="6"/>
      <c r="U88" s="2"/>
      <c r="V88" s="7">
        <f t="shared" si="57"/>
        <v>0</v>
      </c>
      <c r="W88" s="2"/>
      <c r="X88" s="6">
        <f t="shared" si="58"/>
        <v>59.14</v>
      </c>
      <c r="Y88" s="2"/>
      <c r="Z88" s="7">
        <f t="shared" si="59"/>
        <v>0</v>
      </c>
    </row>
    <row r="89" spans="1:26" s="63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8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9" t="s">
        <v>3</v>
      </c>
      <c r="C92" s="29"/>
      <c r="D92" s="22">
        <f>+D23-D25+D90</f>
        <v>-7926.9599999999627</v>
      </c>
      <c r="E92" s="14"/>
      <c r="F92" s="20">
        <f>IF(D$12=0,0,D92/D$12)</f>
        <v>-4.279088216545069E-2</v>
      </c>
      <c r="G92" s="14"/>
      <c r="H92" s="22">
        <f>+H23-H25+H90</f>
        <v>-57776.093506224628</v>
      </c>
      <c r="I92" s="14"/>
      <c r="J92" s="20">
        <f>IF(H$12=0,0,H92/H$12)</f>
        <v>-0.33048147569112152</v>
      </c>
      <c r="K92" s="15"/>
      <c r="L92" s="22">
        <f>+D92-H92</f>
        <v>49849.133506224665</v>
      </c>
      <c r="M92" s="15"/>
      <c r="N92" s="20">
        <f>IF(H92=0,0,L92/H92)</f>
        <v>-0.86279861584712481</v>
      </c>
      <c r="O92" s="28"/>
      <c r="P92" s="22">
        <f>+P23-P25+P90</f>
        <v>-21895.360000000102</v>
      </c>
      <c r="Q92" s="14"/>
      <c r="R92" s="20">
        <f>IF(P$12=0,0,P92/P$12)</f>
        <v>-5.4533054420254433E-2</v>
      </c>
      <c r="S92" s="14"/>
      <c r="T92" s="22">
        <f>+T23-T25+T90</f>
        <v>-77928.937792005367</v>
      </c>
      <c r="U92" s="14"/>
      <c r="V92" s="20">
        <f>IF(T$12=0,0,T92/T$12)</f>
        <v>-0.1964791549541644</v>
      </c>
      <c r="W92" s="15"/>
      <c r="X92" s="22">
        <f>+P92-T92</f>
        <v>56033.577792005264</v>
      </c>
      <c r="Y92" s="15"/>
      <c r="Z92" s="20">
        <f>IF(T92=0,0,X92/T92)</f>
        <v>-0.71903428148296511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5094.21</v>
      </c>
      <c r="E94" s="4"/>
      <c r="F94" s="12">
        <f>IF(D$12=0,0,D94/D$12)</f>
        <v>2.7499285960325467E-2</v>
      </c>
      <c r="G94" s="4"/>
      <c r="H94" s="4">
        <v>10359</v>
      </c>
      <c r="I94" s="4"/>
      <c r="J94" s="12">
        <f>IF(H$12=0,0,H94/H$12)</f>
        <v>5.9253878186061412E-2</v>
      </c>
      <c r="K94" s="4"/>
      <c r="L94" s="4">
        <f>+D94-H94</f>
        <v>-5264.79</v>
      </c>
      <c r="M94" s="4"/>
      <c r="N94" s="12">
        <f>IF(H94=0,0,L94/H94)</f>
        <v>-0.5082334202143064</v>
      </c>
      <c r="O94" s="10"/>
      <c r="P94" s="4">
        <v>50060.5</v>
      </c>
      <c r="Q94" s="4"/>
      <c r="R94" s="12">
        <f>IF(P$12=0,0,P94/P$12)</f>
        <v>0.12468175772424542</v>
      </c>
      <c r="S94" s="4"/>
      <c r="T94" s="4">
        <v>64414</v>
      </c>
      <c r="U94" s="4"/>
      <c r="V94" s="12">
        <f>IF(T$12=0,0,T94/T$12)</f>
        <v>0.16240447574169181</v>
      </c>
      <c r="W94" s="4"/>
      <c r="X94" s="4">
        <f>+P94-T94</f>
        <v>-14353.5</v>
      </c>
      <c r="Y94" s="4"/>
      <c r="Z94" s="12">
        <f>IF(T94=0,0,X94/T94)</f>
        <v>-0.22283199304499021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4</v>
      </c>
      <c r="C96" s="29"/>
      <c r="D96" s="31">
        <f>+D92-D94</f>
        <v>-13021.169999999962</v>
      </c>
      <c r="E96" s="14"/>
      <c r="F96" s="32">
        <f>IF(D$12=0,0,D96/D$12)</f>
        <v>-7.0290168125776153E-2</v>
      </c>
      <c r="G96" s="14"/>
      <c r="H96" s="31">
        <f>+H92-H94</f>
        <v>-68135.093506224628</v>
      </c>
      <c r="I96" s="14"/>
      <c r="J96" s="32">
        <f>IF(H$12=0,0,H96/H$12)</f>
        <v>-0.38973535387718294</v>
      </c>
      <c r="K96" s="15"/>
      <c r="L96" s="31">
        <f>D96-H96</f>
        <v>55113.923506224666</v>
      </c>
      <c r="M96" s="15"/>
      <c r="N96" s="32">
        <f>IF(H96=0,0,L96/H96)</f>
        <v>-0.80889187451088795</v>
      </c>
      <c r="O96" s="28"/>
      <c r="P96" s="31">
        <f>+P92-P94</f>
        <v>-71955.860000000102</v>
      </c>
      <c r="Q96" s="14"/>
      <c r="R96" s="32">
        <f>IF(P$12=0,0,P96/P$12)</f>
        <v>-0.17921481214449986</v>
      </c>
      <c r="S96" s="14"/>
      <c r="T96" s="31">
        <f>+T92-T94</f>
        <v>-142342.93779200537</v>
      </c>
      <c r="U96" s="14"/>
      <c r="V96" s="32">
        <f>IF(T$12=0,0,T96/T$12)</f>
        <v>-0.35888363069585622</v>
      </c>
      <c r="W96" s="15"/>
      <c r="X96" s="31">
        <f>P96-T96</f>
        <v>70387.077792005264</v>
      </c>
      <c r="Y96" s="15"/>
      <c r="Z96" s="32">
        <f>IF(T96=0,0,X96/T96)</f>
        <v>-0.49448942732133583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9" t="s">
        <v>5</v>
      </c>
      <c r="C99" s="29"/>
      <c r="D99" s="33">
        <f>SUM(D96:D98)</f>
        <v>-13021.169999999962</v>
      </c>
      <c r="E99" s="14"/>
      <c r="F99" s="35">
        <f>IF(D$12=0,0,D99/D$12)</f>
        <v>-7.0290168125776153E-2</v>
      </c>
      <c r="G99" s="14"/>
      <c r="H99" s="33">
        <f>SUM(H96:H98)</f>
        <v>-68135.093506224628</v>
      </c>
      <c r="I99" s="14"/>
      <c r="J99" s="35">
        <f>IF(H$12=0,0,H99/H$12)</f>
        <v>-0.38973535387718294</v>
      </c>
      <c r="K99" s="15"/>
      <c r="L99" s="33">
        <f>+D99-H99</f>
        <v>55113.923506224666</v>
      </c>
      <c r="M99" s="15"/>
      <c r="N99" s="35">
        <f>IF(H99=0,0,L99/H99)</f>
        <v>-0.80889187451088795</v>
      </c>
      <c r="O99" s="28"/>
      <c r="P99" s="33">
        <f>SUM(P96:P98)</f>
        <v>-71955.860000000102</v>
      </c>
      <c r="Q99" s="14"/>
      <c r="R99" s="35">
        <f>IF(P$12=0,0,P99/P$12)</f>
        <v>-0.17921481214449986</v>
      </c>
      <c r="S99" s="14"/>
      <c r="T99" s="33">
        <f>SUM(T96:T98)</f>
        <v>-142342.93779200537</v>
      </c>
      <c r="U99" s="14"/>
      <c r="V99" s="35">
        <f>IF(T$12=0,0,T99/T$12)</f>
        <v>-0.35888363069585622</v>
      </c>
      <c r="W99" s="15"/>
      <c r="X99" s="33">
        <f>+P99-T99</f>
        <v>70387.077792005264</v>
      </c>
      <c r="Y99" s="15"/>
      <c r="Z99" s="35">
        <f>IF(T99=0,0,X99/T99)</f>
        <v>-0.49448942732133583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25">
      <c r="A101" s="9"/>
      <c r="B101" s="61">
        <v>43732.706562581021</v>
      </c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25">
      <c r="A102" s="9"/>
      <c r="B102" s="62" t="s">
        <v>314</v>
      </c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  <row r="103" spans="1:26" x14ac:dyDescent="0.25">
      <c r="A103" s="9"/>
      <c r="B103" s="58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AA40" sqref="AA40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","445", " - ", "Central Park Coffee House")</f>
        <v>Department 445 - Central Park Coffee House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x14ac:dyDescent="0.25">
      <c r="A12" s="10"/>
      <c r="B12" s="28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8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9" t="s">
        <v>6</v>
      </c>
      <c r="C16" s="29"/>
      <c r="D16" s="22">
        <f>D12-D14</f>
        <v>0</v>
      </c>
      <c r="E16" s="14"/>
      <c r="F16" s="20">
        <f>IF(D$12=0,0,D16/D$12)</f>
        <v>0</v>
      </c>
      <c r="G16" s="14"/>
      <c r="H16" s="22">
        <f>H12-H14</f>
        <v>0</v>
      </c>
      <c r="I16" s="14"/>
      <c r="J16" s="20">
        <f>IF(H$12=0,0,H16/H$12)</f>
        <v>0</v>
      </c>
      <c r="K16" s="15"/>
      <c r="L16" s="22">
        <f>+D16-H16</f>
        <v>0</v>
      </c>
      <c r="M16" s="15"/>
      <c r="N16" s="20">
        <f>IF(H16=0,0,L16/H16)</f>
        <v>0</v>
      </c>
      <c r="O16" s="28"/>
      <c r="P16" s="22">
        <f>P12-P14</f>
        <v>0</v>
      </c>
      <c r="Q16" s="14"/>
      <c r="R16" s="20">
        <f>IF(P$12=0,0,P16/P$12)</f>
        <v>0</v>
      </c>
      <c r="S16" s="14"/>
      <c r="T16" s="22">
        <f>T12-T14</f>
        <v>0</v>
      </c>
      <c r="U16" s="14"/>
      <c r="V16" s="20">
        <f>IF(T$12=0,0,T16/T$12)</f>
        <v>0</v>
      </c>
      <c r="W16" s="15"/>
      <c r="X16" s="22">
        <f>+P16-T16</f>
        <v>0</v>
      </c>
      <c r="Y16" s="15"/>
      <c r="Z16" s="20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8" t="s">
        <v>9</v>
      </c>
      <c r="C18" s="10"/>
      <c r="D18" s="19">
        <f>SUM(0)</f>
        <v>0</v>
      </c>
      <c r="E18" s="19"/>
      <c r="F18" s="34">
        <f>IF(D$12=0,0,D18/D$12)</f>
        <v>0</v>
      </c>
      <c r="G18" s="19"/>
      <c r="H18" s="19">
        <f>SUM(0)</f>
        <v>0</v>
      </c>
      <c r="I18" s="19"/>
      <c r="J18" s="34">
        <f>IF(H$12=0,0,H18/H$12)</f>
        <v>0</v>
      </c>
      <c r="K18" s="4"/>
      <c r="L18" s="19">
        <f>+D18-H18</f>
        <v>0</v>
      </c>
      <c r="M18" s="4"/>
      <c r="N18" s="34">
        <f>IF(H18=0,0,L18/H18)</f>
        <v>0</v>
      </c>
      <c r="O18" s="10"/>
      <c r="P18" s="19">
        <f>SUM(0)</f>
        <v>0</v>
      </c>
      <c r="Q18" s="19"/>
      <c r="R18" s="34">
        <f>IF(P$12=0,0,P18/P$12)</f>
        <v>0</v>
      </c>
      <c r="S18" s="19"/>
      <c r="T18" s="19">
        <f>SUM(0)</f>
        <v>0</v>
      </c>
      <c r="U18" s="19"/>
      <c r="V18" s="34">
        <f>IF(T$12=0,0,T18/T$12)</f>
        <v>0</v>
      </c>
      <c r="W18" s="4"/>
      <c r="X18" s="19">
        <f>+P18-T18</f>
        <v>0</v>
      </c>
      <c r="Y18" s="4"/>
      <c r="Z18" s="34">
        <f>IF(T18=0,0,X18/T18)</f>
        <v>0</v>
      </c>
    </row>
    <row r="19" spans="1:26" s="63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8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3</v>
      </c>
      <c r="C22" s="29"/>
      <c r="D22" s="22">
        <f>+D16-D18+D20</f>
        <v>0</v>
      </c>
      <c r="E22" s="14"/>
      <c r="F22" s="20">
        <f>IF(D$12=0,0,D22/D$12)</f>
        <v>0</v>
      </c>
      <c r="G22" s="14"/>
      <c r="H22" s="22">
        <f>+H16-H18+H20</f>
        <v>0</v>
      </c>
      <c r="I22" s="14"/>
      <c r="J22" s="20">
        <f>IF(H$12=0,0,H22/H$12)</f>
        <v>0</v>
      </c>
      <c r="K22" s="15"/>
      <c r="L22" s="22">
        <f>+D22-H22</f>
        <v>0</v>
      </c>
      <c r="M22" s="15"/>
      <c r="N22" s="20">
        <f>IF(H22=0,0,L22/H22)</f>
        <v>0</v>
      </c>
      <c r="O22" s="28"/>
      <c r="P22" s="22">
        <f>+P16-P18+P20</f>
        <v>0</v>
      </c>
      <c r="Q22" s="14"/>
      <c r="R22" s="20">
        <f>IF(P$12=0,0,P22/P$12)</f>
        <v>0</v>
      </c>
      <c r="S22" s="14"/>
      <c r="T22" s="22">
        <f>+T16-T18+T20</f>
        <v>0</v>
      </c>
      <c r="U22" s="14"/>
      <c r="V22" s="20">
        <f>IF(T$12=0,0,T22/T$12)</f>
        <v>0</v>
      </c>
      <c r="W22" s="15"/>
      <c r="X22" s="22">
        <f>+P22-T22</f>
        <v>0</v>
      </c>
      <c r="Y22" s="15"/>
      <c r="Z22" s="20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9" t="s">
        <v>4</v>
      </c>
      <c r="C26" s="29"/>
      <c r="D26" s="31">
        <f>+D22-D24</f>
        <v>0</v>
      </c>
      <c r="E26" s="14"/>
      <c r="F26" s="32">
        <f>IF(D$12=0,0,D26/D$12)</f>
        <v>0</v>
      </c>
      <c r="G26" s="14"/>
      <c r="H26" s="31">
        <f>+H22-H24</f>
        <v>0</v>
      </c>
      <c r="I26" s="14"/>
      <c r="J26" s="32">
        <f>IF(H$12=0,0,H26/H$12)</f>
        <v>0</v>
      </c>
      <c r="K26" s="15"/>
      <c r="L26" s="31">
        <f>D26-H26</f>
        <v>0</v>
      </c>
      <c r="M26" s="15"/>
      <c r="N26" s="32">
        <f>IF(H26=0,0,L26/H26)</f>
        <v>0</v>
      </c>
      <c r="O26" s="28"/>
      <c r="P26" s="31">
        <f>+P22-P24</f>
        <v>0</v>
      </c>
      <c r="Q26" s="14"/>
      <c r="R26" s="32">
        <f>IF(P$12=0,0,P26/P$12)</f>
        <v>0</v>
      </c>
      <c r="S26" s="14"/>
      <c r="T26" s="31">
        <f>+T22-T24</f>
        <v>0</v>
      </c>
      <c r="U26" s="14"/>
      <c r="V26" s="32">
        <f>IF(T$12=0,0,T26/T$12)</f>
        <v>0</v>
      </c>
      <c r="W26" s="15"/>
      <c r="X26" s="31">
        <f>P26-T26</f>
        <v>0</v>
      </c>
      <c r="Y26" s="15"/>
      <c r="Z26" s="32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9" t="s">
        <v>5</v>
      </c>
      <c r="C29" s="29"/>
      <c r="D29" s="33">
        <f>SUM(D26:D28)</f>
        <v>0</v>
      </c>
      <c r="E29" s="14"/>
      <c r="F29" s="35">
        <f>IF(D$12=0,0,D29/D$12)</f>
        <v>0</v>
      </c>
      <c r="G29" s="14"/>
      <c r="H29" s="33">
        <f>SUM(H26:H28)</f>
        <v>0</v>
      </c>
      <c r="I29" s="14"/>
      <c r="J29" s="35">
        <f>IF(H$12=0,0,H29/H$12)</f>
        <v>0</v>
      </c>
      <c r="K29" s="15"/>
      <c r="L29" s="33">
        <f>+D29-H29</f>
        <v>0</v>
      </c>
      <c r="M29" s="15"/>
      <c r="N29" s="35">
        <f>IF(H29=0,0,L29/H29)</f>
        <v>0</v>
      </c>
      <c r="O29" s="28"/>
      <c r="P29" s="33">
        <f>SUM(P26:P28)</f>
        <v>0</v>
      </c>
      <c r="Q29" s="14"/>
      <c r="R29" s="35">
        <f>IF(P$12=0,0,P29/P$12)</f>
        <v>0</v>
      </c>
      <c r="S29" s="14"/>
      <c r="T29" s="33">
        <f>SUM(T26:T28)</f>
        <v>0</v>
      </c>
      <c r="U29" s="14"/>
      <c r="V29" s="35">
        <f>IF(T$12=0,0,T29/T$12)</f>
        <v>0</v>
      </c>
      <c r="W29" s="15"/>
      <c r="X29" s="33">
        <f>+P29-T29</f>
        <v>0</v>
      </c>
      <c r="Y29" s="15"/>
      <c r="Z29" s="35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2"/>
      <c r="K30" s="17"/>
      <c r="L30" s="17"/>
      <c r="M30" s="17"/>
      <c r="P30" s="17"/>
      <c r="Q30" s="17"/>
      <c r="R30" s="42"/>
      <c r="S30" s="17"/>
      <c r="T30" s="17"/>
      <c r="U30" s="17"/>
      <c r="V30" s="42"/>
      <c r="W30" s="17"/>
      <c r="X30" s="17"/>
    </row>
    <row r="31" spans="1:26" x14ac:dyDescent="0.25">
      <c r="A31" s="9"/>
      <c r="B31" s="61">
        <v>43732.706578703706</v>
      </c>
      <c r="D31" s="17"/>
      <c r="E31" s="17"/>
      <c r="G31" s="17"/>
      <c r="H31" s="17"/>
      <c r="I31" s="17"/>
      <c r="J31" s="42"/>
      <c r="K31" s="17"/>
      <c r="L31" s="17"/>
      <c r="M31" s="17"/>
      <c r="P31" s="17"/>
      <c r="Q31" s="17"/>
      <c r="R31" s="42"/>
      <c r="S31" s="17"/>
      <c r="T31" s="17"/>
      <c r="U31" s="17"/>
      <c r="V31" s="42"/>
      <c r="W31" s="17"/>
      <c r="X31" s="17"/>
    </row>
    <row r="32" spans="1:26" x14ac:dyDescent="0.25">
      <c r="A32" s="9"/>
      <c r="B32" s="62" t="s">
        <v>314</v>
      </c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25">
      <c r="A33" s="9"/>
      <c r="B33" s="58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25"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tr">
        <f>CONCATENATE("Department ","450", " - ", "Beachside Dining Hall")</f>
        <v>Department 450 - Beachside Dining Hall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79050.31</v>
      </c>
      <c r="E12" s="4"/>
      <c r="F12" s="12"/>
      <c r="G12" s="4"/>
      <c r="H12" s="4">
        <f>SUM(OSRRefH13x_0)</f>
        <v>78617</v>
      </c>
      <c r="I12" s="4"/>
      <c r="J12" s="12"/>
      <c r="K12" s="4"/>
      <c r="L12" s="4">
        <f t="shared" ref="L12:L15" si="0">+D12-H12</f>
        <v>433.30999999999767</v>
      </c>
      <c r="M12" s="4"/>
      <c r="N12" s="12">
        <f t="shared" ref="N12:N15" si="1">IF(H12=0,0,L12/H12)</f>
        <v>5.5116577839398311E-3</v>
      </c>
      <c r="O12" s="10"/>
      <c r="P12" s="4">
        <f>SUM(OSRRefP13x_0)</f>
        <v>125727.15000000001</v>
      </c>
      <c r="Q12" s="4"/>
      <c r="R12" s="12"/>
      <c r="S12" s="4"/>
      <c r="T12" s="4">
        <f>SUM(OSRRefT13x_0)</f>
        <v>78617</v>
      </c>
      <c r="U12" s="4"/>
      <c r="V12" s="12"/>
      <c r="W12" s="4"/>
      <c r="X12" s="4">
        <f t="shared" ref="X12:X15" si="2">+P12-T12</f>
        <v>47110.150000000009</v>
      </c>
      <c r="Y12" s="4"/>
      <c r="Z12" s="12">
        <f t="shared" ref="Z12:Z15" si="3">IF(T12=0,0,X12/T12)</f>
        <v>0.59923617029395693</v>
      </c>
    </row>
    <row r="13" spans="1:26" s="24" customFormat="1" hidden="1" outlineLevel="1" x14ac:dyDescent="0.25">
      <c r="A13" s="46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1"/>
      <c r="G13" s="2"/>
      <c r="H13" s="2">
        <v>78617</v>
      </c>
      <c r="I13" s="2"/>
      <c r="J13" s="21"/>
      <c r="K13" s="2"/>
      <c r="L13" s="2">
        <f t="shared" si="0"/>
        <v>-78617</v>
      </c>
      <c r="M13" s="2"/>
      <c r="N13" s="21">
        <f t="shared" si="1"/>
        <v>-1</v>
      </c>
      <c r="O13" s="11"/>
      <c r="P13" s="2">
        <f>0</f>
        <v>0</v>
      </c>
      <c r="Q13" s="2"/>
      <c r="R13" s="21"/>
      <c r="S13" s="2"/>
      <c r="T13" s="2">
        <v>78617</v>
      </c>
      <c r="U13" s="2"/>
      <c r="V13" s="21"/>
      <c r="W13" s="2"/>
      <c r="X13" s="2">
        <f t="shared" si="2"/>
        <v>-78617</v>
      </c>
      <c r="Y13" s="2"/>
      <c r="Z13" s="21">
        <f t="shared" si="3"/>
        <v>-1</v>
      </c>
    </row>
    <row r="14" spans="1:26" s="24" customFormat="1" hidden="1" outlineLevel="1" x14ac:dyDescent="0.25">
      <c r="A14" s="46"/>
      <c r="B14" s="11" t="str">
        <f>CONCATENATE("          ", "4151", " - ", "NON-TAXABLE SALES-FOOD")</f>
        <v xml:space="preserve">          4151 - NON-TAXABLE SALES-FOOD</v>
      </c>
      <c r="C14" s="11"/>
      <c r="D14" s="2">
        <f>--79050.31</f>
        <v>79050.31</v>
      </c>
      <c r="E14" s="2"/>
      <c r="F14" s="21"/>
      <c r="G14" s="2"/>
      <c r="H14" s="2"/>
      <c r="I14" s="2"/>
      <c r="J14" s="21"/>
      <c r="K14" s="2"/>
      <c r="L14" s="2">
        <f t="shared" si="0"/>
        <v>79050.31</v>
      </c>
      <c r="M14" s="2"/>
      <c r="N14" s="21">
        <f t="shared" si="1"/>
        <v>0</v>
      </c>
      <c r="O14" s="11"/>
      <c r="P14" s="2">
        <f>--125066.41</f>
        <v>125066.41</v>
      </c>
      <c r="Q14" s="2"/>
      <c r="R14" s="21"/>
      <c r="S14" s="2"/>
      <c r="T14" s="2"/>
      <c r="U14" s="2"/>
      <c r="V14" s="21"/>
      <c r="W14" s="2"/>
      <c r="X14" s="2">
        <f t="shared" si="2"/>
        <v>125066.41</v>
      </c>
      <c r="Y14" s="2"/>
      <c r="Z14" s="21">
        <f t="shared" si="3"/>
        <v>0</v>
      </c>
    </row>
    <row r="15" spans="1:26" s="24" customFormat="1" hidden="1" outlineLevel="1" x14ac:dyDescent="0.25">
      <c r="A15" s="46"/>
      <c r="B15" s="11" t="str">
        <f>CONCATENATE("          ", "4153", " - ", "NON-TAXABLE SALES-FOOD")</f>
        <v xml:space="preserve">          4153 - NON-TAXABLE SALES-FOOD</v>
      </c>
      <c r="C15" s="11"/>
      <c r="D15" s="2">
        <f>0</f>
        <v>0</v>
      </c>
      <c r="E15" s="2"/>
      <c r="F15" s="21"/>
      <c r="G15" s="2"/>
      <c r="H15" s="2"/>
      <c r="I15" s="2"/>
      <c r="J15" s="21"/>
      <c r="K15" s="2"/>
      <c r="L15" s="2">
        <f t="shared" si="0"/>
        <v>0</v>
      </c>
      <c r="M15" s="2"/>
      <c r="N15" s="21">
        <f t="shared" si="1"/>
        <v>0</v>
      </c>
      <c r="O15" s="11"/>
      <c r="P15" s="2">
        <f>--660.74</f>
        <v>660.74</v>
      </c>
      <c r="Q15" s="2"/>
      <c r="R15" s="21"/>
      <c r="S15" s="2"/>
      <c r="T15" s="2"/>
      <c r="U15" s="2"/>
      <c r="V15" s="21"/>
      <c r="W15" s="2"/>
      <c r="X15" s="2">
        <f t="shared" si="2"/>
        <v>660.74</v>
      </c>
      <c r="Y15" s="2"/>
      <c r="Z15" s="21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8" t="s">
        <v>8</v>
      </c>
      <c r="C17" s="10"/>
      <c r="D17" s="4">
        <f>SUM(OSRRefD16x_0)</f>
        <v>32443.72</v>
      </c>
      <c r="E17" s="4"/>
      <c r="F17" s="12">
        <f t="shared" ref="F17:F20" si="4">IF(D$12=0,0,D17/D$12)</f>
        <v>0.4104186308693793</v>
      </c>
      <c r="G17" s="4"/>
      <c r="H17" s="4">
        <f>SUM(OSRRefH16x_0)</f>
        <v>33707</v>
      </c>
      <c r="I17" s="4"/>
      <c r="J17" s="12">
        <f t="shared" ref="J17:J20" si="5">IF(H$12=0,0,H17/H$12)</f>
        <v>0.42874950710406146</v>
      </c>
      <c r="K17" s="4"/>
      <c r="L17" s="4">
        <f t="shared" ref="L17:L20" si="6">+D17-H17</f>
        <v>-1263.2799999999988</v>
      </c>
      <c r="M17" s="4"/>
      <c r="N17" s="12">
        <f t="shared" ref="N17:N20" si="7">IF(H17=0,0,L17/H17)</f>
        <v>-3.7478268608894263E-2</v>
      </c>
      <c r="O17" s="10"/>
      <c r="P17" s="4">
        <f>SUM(OSRRefP16x_0)</f>
        <v>40626.009999999995</v>
      </c>
      <c r="Q17" s="4"/>
      <c r="R17" s="12">
        <f t="shared" ref="R17:R20" si="8">IF(P$12=0,0,P17/P$12)</f>
        <v>0.32312837760181468</v>
      </c>
      <c r="S17" s="4"/>
      <c r="T17" s="4">
        <f>SUM(OSRRefT16x_0)</f>
        <v>33707</v>
      </c>
      <c r="U17" s="4"/>
      <c r="V17" s="12">
        <f t="shared" ref="V17:V20" si="9">IF(T$12=0,0,T17/T$12)</f>
        <v>0.42874950710406146</v>
      </c>
      <c r="W17" s="4"/>
      <c r="X17" s="4">
        <f t="shared" ref="X17:X20" si="10">+P17-T17</f>
        <v>6919.0099999999948</v>
      </c>
      <c r="Y17" s="4"/>
      <c r="Z17" s="12">
        <f t="shared" ref="Z17:Z20" si="11">IF(T17=0,0,X17/T17)</f>
        <v>0.20526923191028554</v>
      </c>
    </row>
    <row r="18" spans="1:26" s="24" customFormat="1" hidden="1" outlineLevel="1" x14ac:dyDescent="0.25">
      <c r="A18" s="46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1">
        <f t="shared" si="4"/>
        <v>0</v>
      </c>
      <c r="G18" s="2"/>
      <c r="H18" s="2">
        <v>33707</v>
      </c>
      <c r="I18" s="2"/>
      <c r="J18" s="21">
        <f t="shared" si="5"/>
        <v>0.42874950710406146</v>
      </c>
      <c r="K18" s="2"/>
      <c r="L18" s="2">
        <f t="shared" si="6"/>
        <v>-33707</v>
      </c>
      <c r="M18" s="2"/>
      <c r="N18" s="21">
        <f t="shared" si="7"/>
        <v>-1</v>
      </c>
      <c r="O18" s="11"/>
      <c r="P18" s="2"/>
      <c r="Q18" s="2"/>
      <c r="R18" s="21">
        <f t="shared" si="8"/>
        <v>0</v>
      </c>
      <c r="S18" s="2"/>
      <c r="T18" s="2">
        <v>33707</v>
      </c>
      <c r="U18" s="2"/>
      <c r="V18" s="21">
        <f t="shared" si="9"/>
        <v>0.42874950710406146</v>
      </c>
      <c r="W18" s="2"/>
      <c r="X18" s="2">
        <f t="shared" si="10"/>
        <v>-33707</v>
      </c>
      <c r="Y18" s="2"/>
      <c r="Z18" s="21">
        <f t="shared" si="11"/>
        <v>-1</v>
      </c>
    </row>
    <row r="19" spans="1:26" s="24" customFormat="1" hidden="1" outlineLevel="1" x14ac:dyDescent="0.25">
      <c r="A19" s="46"/>
      <c r="B19" s="11" t="str">
        <f>CONCATENATE("          ", "5053", " - ", "PURCHASES @ COST-FOOD")</f>
        <v xml:space="preserve">          5053 - PURCHASES @ COST-FOOD</v>
      </c>
      <c r="C19" s="11"/>
      <c r="D19" s="2">
        <v>34542.720000000001</v>
      </c>
      <c r="E19" s="2"/>
      <c r="F19" s="21">
        <f t="shared" si="4"/>
        <v>0.43697134141535943</v>
      </c>
      <c r="G19" s="2"/>
      <c r="H19" s="2"/>
      <c r="I19" s="2"/>
      <c r="J19" s="21">
        <f t="shared" si="5"/>
        <v>0</v>
      </c>
      <c r="K19" s="2"/>
      <c r="L19" s="2">
        <f t="shared" si="6"/>
        <v>34542.720000000001</v>
      </c>
      <c r="M19" s="2"/>
      <c r="N19" s="21">
        <f t="shared" si="7"/>
        <v>0</v>
      </c>
      <c r="O19" s="11"/>
      <c r="P19" s="2">
        <v>41763.009999999995</v>
      </c>
      <c r="Q19" s="2"/>
      <c r="R19" s="21">
        <f t="shared" si="8"/>
        <v>0.33217177037736073</v>
      </c>
      <c r="S19" s="2"/>
      <c r="T19" s="2"/>
      <c r="U19" s="2"/>
      <c r="V19" s="21">
        <f t="shared" si="9"/>
        <v>0</v>
      </c>
      <c r="W19" s="2"/>
      <c r="X19" s="2">
        <f t="shared" si="10"/>
        <v>41763.009999999995</v>
      </c>
      <c r="Y19" s="2"/>
      <c r="Z19" s="21">
        <f t="shared" si="11"/>
        <v>0</v>
      </c>
    </row>
    <row r="20" spans="1:26" s="24" customFormat="1" hidden="1" outlineLevel="1" x14ac:dyDescent="0.25">
      <c r="A20" s="46"/>
      <c r="B20" s="11" t="str">
        <f>CONCATENATE("          ", "5059", " - ", "PURCHASES @ COST-FOOD")</f>
        <v xml:space="preserve">          5059 - PURCHASES @ COST-FOOD</v>
      </c>
      <c r="C20" s="11"/>
      <c r="D20" s="2">
        <v>-2099</v>
      </c>
      <c r="E20" s="2"/>
      <c r="F20" s="21">
        <f t="shared" si="4"/>
        <v>-2.655271054598015E-2</v>
      </c>
      <c r="G20" s="2"/>
      <c r="H20" s="2"/>
      <c r="I20" s="2"/>
      <c r="J20" s="21">
        <f t="shared" si="5"/>
        <v>0</v>
      </c>
      <c r="K20" s="2"/>
      <c r="L20" s="2">
        <f t="shared" si="6"/>
        <v>-2099</v>
      </c>
      <c r="M20" s="2"/>
      <c r="N20" s="21">
        <f t="shared" si="7"/>
        <v>0</v>
      </c>
      <c r="O20" s="11"/>
      <c r="P20" s="2">
        <v>-1137</v>
      </c>
      <c r="Q20" s="2"/>
      <c r="R20" s="21">
        <f t="shared" si="8"/>
        <v>-9.0433927755460934E-3</v>
      </c>
      <c r="S20" s="2"/>
      <c r="T20" s="2"/>
      <c r="U20" s="2"/>
      <c r="V20" s="21">
        <f t="shared" si="9"/>
        <v>0</v>
      </c>
      <c r="W20" s="2"/>
      <c r="X20" s="2">
        <f t="shared" si="10"/>
        <v>-1137</v>
      </c>
      <c r="Y20" s="2"/>
      <c r="Z20" s="21">
        <f t="shared" si="11"/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9" t="s">
        <v>6</v>
      </c>
      <c r="C22" s="29"/>
      <c r="D22" s="22">
        <f>D12-D17</f>
        <v>46606.59</v>
      </c>
      <c r="E22" s="14"/>
      <c r="F22" s="20">
        <f>IF(D$12=0,0,D22/D$12)</f>
        <v>0.58958136913062076</v>
      </c>
      <c r="G22" s="14"/>
      <c r="H22" s="22">
        <f>H12-H17</f>
        <v>44910</v>
      </c>
      <c r="I22" s="14"/>
      <c r="J22" s="20">
        <f>IF(H$12=0,0,H22/H$12)</f>
        <v>0.57125049289593854</v>
      </c>
      <c r="K22" s="15"/>
      <c r="L22" s="22">
        <f>+D22-H22</f>
        <v>1696.5899999999965</v>
      </c>
      <c r="M22" s="15"/>
      <c r="N22" s="20">
        <f>IF(H22=0,0,L22/H22)</f>
        <v>3.7777555110220365E-2</v>
      </c>
      <c r="O22" s="28"/>
      <c r="P22" s="22">
        <f>P12-P17</f>
        <v>85101.140000000014</v>
      </c>
      <c r="Q22" s="14"/>
      <c r="R22" s="20">
        <f>IF(P$12=0,0,P22/P$12)</f>
        <v>0.67687162239818532</v>
      </c>
      <c r="S22" s="14"/>
      <c r="T22" s="22">
        <f>T12-T17</f>
        <v>44910</v>
      </c>
      <c r="U22" s="14"/>
      <c r="V22" s="20">
        <f>IF(T$12=0,0,T22/T$12)</f>
        <v>0.57125049289593854</v>
      </c>
      <c r="W22" s="15"/>
      <c r="X22" s="22">
        <f>+P22-T22</f>
        <v>40191.140000000014</v>
      </c>
      <c r="Y22" s="15"/>
      <c r="Z22" s="20">
        <f>IF(T22=0,0,X22/T22)</f>
        <v>0.89492629703852178</v>
      </c>
    </row>
    <row r="23" spans="1:26" x14ac:dyDescent="0.25">
      <c r="A23" s="9"/>
      <c r="B23" s="10"/>
      <c r="C23" s="9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8" t="s">
        <v>9</v>
      </c>
      <c r="C24" s="10"/>
      <c r="D24" s="19">
        <f>SUM(OSRRefD22x_0)</f>
        <v>96311.659999999974</v>
      </c>
      <c r="E24" s="19"/>
      <c r="F24" s="34">
        <f t="shared" ref="F24:F35" si="12">IF(D$12=0,0,D24/D$12)</f>
        <v>1.2183590424882582</v>
      </c>
      <c r="G24" s="19"/>
      <c r="H24" s="19">
        <f>SUM(OSRRefH22x_0)</f>
        <v>69003.766247352294</v>
      </c>
      <c r="I24" s="19"/>
      <c r="J24" s="34">
        <f t="shared" ref="J24:J35" si="13">IF(H$12=0,0,H24/H$12)</f>
        <v>0.8777206742479654</v>
      </c>
      <c r="K24" s="4"/>
      <c r="L24" s="19">
        <f t="shared" ref="L24:L35" si="14">+D24-H24</f>
        <v>27307.89375264768</v>
      </c>
      <c r="M24" s="4"/>
      <c r="N24" s="34">
        <f t="shared" ref="N24:N35" si="15">IF(H24=0,0,L24/H24)</f>
        <v>0.39574497506062573</v>
      </c>
      <c r="O24" s="10"/>
      <c r="P24" s="19">
        <f>SUM(OSRRefP22x_0)</f>
        <v>184823.53999999998</v>
      </c>
      <c r="Q24" s="19"/>
      <c r="R24" s="34">
        <f t="shared" ref="R24:R35" si="16">IF(P$12=0,0,P24/P$12)</f>
        <v>1.4700368218002235</v>
      </c>
      <c r="S24" s="19"/>
      <c r="T24" s="19">
        <f>SUM(OSRRefT22x_0)</f>
        <v>117307.91269747459</v>
      </c>
      <c r="U24" s="19"/>
      <c r="V24" s="34">
        <f t="shared" ref="V24:V35" si="17">IF(T$12=0,0,T24/T$12)</f>
        <v>1.4921443542423978</v>
      </c>
      <c r="W24" s="4"/>
      <c r="X24" s="19">
        <f t="shared" ref="X24:X35" si="18">+P24-T24</f>
        <v>67515.62730252539</v>
      </c>
      <c r="Y24" s="4"/>
      <c r="Z24" s="34">
        <f t="shared" ref="Z24:Z35" si="19">IF(T24=0,0,X24/T24)</f>
        <v>0.57554197112552385</v>
      </c>
    </row>
    <row r="25" spans="1:26" s="26" customFormat="1" outlineLevel="1" collapsed="1" x14ac:dyDescent="0.25">
      <c r="A25" s="25"/>
      <c r="B25" s="13" t="str">
        <f>CONCATENATE("     ","*Benefits                                         ")</f>
        <v xml:space="preserve">     *Benefits                                         </v>
      </c>
      <c r="C25" s="13"/>
      <c r="D25" s="1">
        <f>SUM(OSRRefD22_0x_0)</f>
        <v>24480.83</v>
      </c>
      <c r="E25" s="1"/>
      <c r="F25" s="5">
        <f t="shared" si="12"/>
        <v>0.30968670458091818</v>
      </c>
      <c r="G25" s="1"/>
      <c r="H25" s="1">
        <f>SUM(OSRRefH22_0x_0)</f>
        <v>16145.498480275377</v>
      </c>
      <c r="I25" s="1"/>
      <c r="J25" s="5">
        <f t="shared" si="13"/>
        <v>0.20536904842814374</v>
      </c>
      <c r="K25" s="1"/>
      <c r="L25" s="1">
        <f t="shared" si="14"/>
        <v>8335.3315197246247</v>
      </c>
      <c r="M25" s="1"/>
      <c r="N25" s="5">
        <f t="shared" si="15"/>
        <v>0.51626349783549441</v>
      </c>
      <c r="O25" s="13"/>
      <c r="P25" s="1">
        <f>SUM(OSRRefP22_0x_0)</f>
        <v>50666.739999999991</v>
      </c>
      <c r="Q25" s="1"/>
      <c r="R25" s="5">
        <f t="shared" si="16"/>
        <v>0.40298964861607051</v>
      </c>
      <c r="S25" s="1"/>
      <c r="T25" s="1">
        <f>SUM(OSRRefT22_0x_0)</f>
        <v>31358.345586551517</v>
      </c>
      <c r="U25" s="1"/>
      <c r="V25" s="5">
        <f t="shared" si="17"/>
        <v>0.39887486913201364</v>
      </c>
      <c r="W25" s="1"/>
      <c r="X25" s="1">
        <f t="shared" si="18"/>
        <v>19308.394413448474</v>
      </c>
      <c r="Y25" s="1"/>
      <c r="Z25" s="5">
        <f t="shared" si="19"/>
        <v>0.61573383583504993</v>
      </c>
    </row>
    <row r="26" spans="1:26" s="24" customFormat="1" hidden="1" outlineLevel="2" x14ac:dyDescent="0.25">
      <c r="A26" s="27"/>
      <c r="B26" s="11" t="str">
        <f>CONCATENATE("          ", "6111", " - ", "F.I.C.A.")</f>
        <v xml:space="preserve">          6111 - F.I.C.A.</v>
      </c>
      <c r="C26" s="11"/>
      <c r="D26" s="6">
        <v>2737.33</v>
      </c>
      <c r="E26" s="2"/>
      <c r="F26" s="7">
        <f t="shared" si="12"/>
        <v>3.4627694692152378E-2</v>
      </c>
      <c r="G26" s="2"/>
      <c r="H26" s="6">
        <v>2307.6434578569201</v>
      </c>
      <c r="I26" s="2"/>
      <c r="J26" s="7">
        <f t="shared" si="13"/>
        <v>2.9352982915360801E-2</v>
      </c>
      <c r="K26" s="2"/>
      <c r="L26" s="6">
        <f t="shared" si="14"/>
        <v>429.68654214307981</v>
      </c>
      <c r="M26" s="2"/>
      <c r="N26" s="7">
        <f t="shared" si="15"/>
        <v>0.18620144315626833</v>
      </c>
      <c r="O26" s="11"/>
      <c r="P26" s="6">
        <v>5203.24</v>
      </c>
      <c r="Q26" s="2"/>
      <c r="R26" s="7">
        <f t="shared" si="16"/>
        <v>4.1385174164848243E-2</v>
      </c>
      <c r="S26" s="2"/>
      <c r="T26" s="6">
        <v>3987.92120273307</v>
      </c>
      <c r="U26" s="2"/>
      <c r="V26" s="7">
        <f t="shared" si="17"/>
        <v>5.0725939717021384E-2</v>
      </c>
      <c r="W26" s="2"/>
      <c r="X26" s="6">
        <f t="shared" si="18"/>
        <v>1215.3187972669298</v>
      </c>
      <c r="Y26" s="2"/>
      <c r="Z26" s="7">
        <f t="shared" si="19"/>
        <v>0.30474995254019233</v>
      </c>
    </row>
    <row r="27" spans="1:26" s="24" customFormat="1" hidden="1" outlineLevel="2" x14ac:dyDescent="0.25">
      <c r="A27" s="27"/>
      <c r="B27" s="11" t="str">
        <f>CONCATENATE("          ", "6112", " - ", "COMPENSATION INSURANCE")</f>
        <v xml:space="preserve">          6112 - COMPENSATION INSURANCE</v>
      </c>
      <c r="C27" s="11"/>
      <c r="D27" s="6">
        <v>1610.45</v>
      </c>
      <c r="E27" s="2"/>
      <c r="F27" s="7">
        <f t="shared" si="12"/>
        <v>2.0372469127572051E-2</v>
      </c>
      <c r="G27" s="2"/>
      <c r="H27" s="6">
        <v>1280.7915803446201</v>
      </c>
      <c r="I27" s="2"/>
      <c r="J27" s="7">
        <f t="shared" si="13"/>
        <v>1.6291534659737972E-2</v>
      </c>
      <c r="K27" s="2"/>
      <c r="L27" s="6">
        <f t="shared" si="14"/>
        <v>329.65841965537993</v>
      </c>
      <c r="M27" s="2"/>
      <c r="N27" s="7">
        <f t="shared" si="15"/>
        <v>0.25738646686502997</v>
      </c>
      <c r="O27" s="11"/>
      <c r="P27" s="6">
        <v>3117.02</v>
      </c>
      <c r="Q27" s="2"/>
      <c r="R27" s="7">
        <f t="shared" si="16"/>
        <v>2.4791940324742905E-2</v>
      </c>
      <c r="S27" s="2"/>
      <c r="T27" s="6">
        <v>2328.0833083753896</v>
      </c>
      <c r="U27" s="2"/>
      <c r="V27" s="7">
        <f t="shared" si="17"/>
        <v>2.9612975671615423E-2</v>
      </c>
      <c r="W27" s="2"/>
      <c r="X27" s="6">
        <f t="shared" si="18"/>
        <v>788.93669162461038</v>
      </c>
      <c r="Y27" s="2"/>
      <c r="Z27" s="7">
        <f t="shared" si="19"/>
        <v>0.33887820456698153</v>
      </c>
    </row>
    <row r="28" spans="1:26" s="24" customFormat="1" hidden="1" outlineLevel="2" x14ac:dyDescent="0.25">
      <c r="A28" s="27"/>
      <c r="B28" s="11" t="str">
        <f>CONCATENATE("          ", "6113", " - ", "GROUP INSURANCE")</f>
        <v xml:space="preserve">          6113 - GROUP INSURANCE</v>
      </c>
      <c r="C28" s="11"/>
      <c r="D28" s="6">
        <v>14138.69</v>
      </c>
      <c r="E28" s="2"/>
      <c r="F28" s="7">
        <f t="shared" si="12"/>
        <v>0.17885685710783425</v>
      </c>
      <c r="G28" s="2"/>
      <c r="H28" s="6">
        <v>10500.692307692299</v>
      </c>
      <c r="I28" s="2"/>
      <c r="J28" s="7">
        <f t="shared" si="13"/>
        <v>0.13356770555595227</v>
      </c>
      <c r="K28" s="2"/>
      <c r="L28" s="6">
        <f t="shared" si="14"/>
        <v>3637.9976923077011</v>
      </c>
      <c r="M28" s="2"/>
      <c r="N28" s="7">
        <f t="shared" si="15"/>
        <v>0.34645312763261144</v>
      </c>
      <c r="O28" s="11"/>
      <c r="P28" s="6">
        <v>25241.88</v>
      </c>
      <c r="Q28" s="2"/>
      <c r="R28" s="7">
        <f t="shared" si="16"/>
        <v>0.20076713740826863</v>
      </c>
      <c r="S28" s="2"/>
      <c r="T28" s="6">
        <v>21001.384615384599</v>
      </c>
      <c r="U28" s="2"/>
      <c r="V28" s="7">
        <f t="shared" si="17"/>
        <v>0.26713541111190453</v>
      </c>
      <c r="W28" s="2"/>
      <c r="X28" s="6">
        <f t="shared" si="18"/>
        <v>4240.4953846154021</v>
      </c>
      <c r="Y28" s="2"/>
      <c r="Z28" s="7">
        <f t="shared" si="19"/>
        <v>0.20191503856888657</v>
      </c>
    </row>
    <row r="29" spans="1:26" s="24" customFormat="1" hidden="1" outlineLevel="2" x14ac:dyDescent="0.25">
      <c r="A29" s="27"/>
      <c r="B29" s="11" t="str">
        <f>CONCATENATE("          ", "6114", " - ", "STATE UNEMPLOYMENT INSURANCE")</f>
        <v xml:space="preserve">          6114 - STATE UNEMPLOYMENT INSURANCE</v>
      </c>
      <c r="C29" s="11"/>
      <c r="D29" s="6">
        <v>107.9</v>
      </c>
      <c r="E29" s="2"/>
      <c r="F29" s="7">
        <f t="shared" si="12"/>
        <v>1.3649535340215619E-3</v>
      </c>
      <c r="G29" s="2"/>
      <c r="H29" s="6">
        <v>85.826239920000006</v>
      </c>
      <c r="I29" s="2"/>
      <c r="J29" s="7">
        <f t="shared" si="13"/>
        <v>1.0917007761680044E-3</v>
      </c>
      <c r="K29" s="2"/>
      <c r="L29" s="6">
        <f t="shared" si="14"/>
        <v>22.07376008</v>
      </c>
      <c r="M29" s="2"/>
      <c r="N29" s="7">
        <f t="shared" si="15"/>
        <v>0.25719127507595929</v>
      </c>
      <c r="O29" s="11"/>
      <c r="P29" s="6">
        <v>208.88</v>
      </c>
      <c r="Q29" s="2"/>
      <c r="R29" s="7">
        <f t="shared" si="16"/>
        <v>1.6613754467511589E-3</v>
      </c>
      <c r="S29" s="2"/>
      <c r="T29" s="6">
        <v>156.00558251999999</v>
      </c>
      <c r="U29" s="2"/>
      <c r="V29" s="7">
        <f t="shared" si="17"/>
        <v>1.9843746584072147E-3</v>
      </c>
      <c r="W29" s="2"/>
      <c r="X29" s="6">
        <f t="shared" si="18"/>
        <v>52.874417480000005</v>
      </c>
      <c r="Y29" s="2"/>
      <c r="Z29" s="7">
        <f t="shared" si="19"/>
        <v>0.33892644497655383</v>
      </c>
    </row>
    <row r="30" spans="1:26" s="24" customFormat="1" hidden="1" outlineLevel="2" x14ac:dyDescent="0.25">
      <c r="A30" s="27"/>
      <c r="B30" s="11" t="str">
        <f>CONCATENATE("          ", "6115", " - ", "P.E.R.S.")</f>
        <v xml:space="preserve">          6115 - P.E.R.S.</v>
      </c>
      <c r="C30" s="11"/>
      <c r="D30" s="6">
        <v>1212.42</v>
      </c>
      <c r="E30" s="2"/>
      <c r="F30" s="7">
        <f t="shared" si="12"/>
        <v>1.5337321257816701E-2</v>
      </c>
      <c r="G30" s="2"/>
      <c r="H30" s="6">
        <v>403.720384615385</v>
      </c>
      <c r="I30" s="2"/>
      <c r="J30" s="7">
        <f t="shared" si="13"/>
        <v>5.1352809775924418E-3</v>
      </c>
      <c r="K30" s="2"/>
      <c r="L30" s="6">
        <f t="shared" si="14"/>
        <v>808.69961538461507</v>
      </c>
      <c r="M30" s="2"/>
      <c r="N30" s="7">
        <f t="shared" si="15"/>
        <v>2.0031181139269059</v>
      </c>
      <c r="O30" s="11"/>
      <c r="P30" s="6">
        <v>2172.06</v>
      </c>
      <c r="Q30" s="2"/>
      <c r="R30" s="7">
        <f t="shared" si="16"/>
        <v>1.7275982156598632E-2</v>
      </c>
      <c r="S30" s="2"/>
      <c r="T30" s="6">
        <v>908.37086538461608</v>
      </c>
      <c r="U30" s="2"/>
      <c r="V30" s="7">
        <f t="shared" si="17"/>
        <v>1.1554382199582993E-2</v>
      </c>
      <c r="W30" s="2"/>
      <c r="X30" s="6">
        <f t="shared" si="18"/>
        <v>1263.6891346153839</v>
      </c>
      <c r="Y30" s="2"/>
      <c r="Z30" s="7">
        <f t="shared" si="19"/>
        <v>1.3911599136111894</v>
      </c>
    </row>
    <row r="31" spans="1:26" s="24" customFormat="1" hidden="1" outlineLevel="2" x14ac:dyDescent="0.25">
      <c r="A31" s="27"/>
      <c r="B31" s="11" t="str">
        <f>CONCATENATE("          ", "6116", " - ", "EDUCATIONAL BENEFITS")</f>
        <v xml:space="preserve">          6116 - EDUCATIONAL BENEFITS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"6117", " - ", "RETIREMENT STAFF HOURLY")</f>
        <v xml:space="preserve">          6117 - RETIREMENT STAFF HOURLY</v>
      </c>
      <c r="C32" s="11"/>
      <c r="D32" s="6">
        <v>294.31</v>
      </c>
      <c r="E32" s="2"/>
      <c r="F32" s="7">
        <f t="shared" si="12"/>
        <v>3.7230720537338819E-3</v>
      </c>
      <c r="G32" s="2"/>
      <c r="H32" s="6"/>
      <c r="I32" s="2"/>
      <c r="J32" s="7">
        <f t="shared" si="13"/>
        <v>0</v>
      </c>
      <c r="K32" s="2"/>
      <c r="L32" s="6">
        <f t="shared" si="14"/>
        <v>294.31</v>
      </c>
      <c r="M32" s="2"/>
      <c r="N32" s="7">
        <f t="shared" si="15"/>
        <v>0</v>
      </c>
      <c r="O32" s="11"/>
      <c r="P32" s="6">
        <v>552.28</v>
      </c>
      <c r="Q32" s="2"/>
      <c r="R32" s="7">
        <f t="shared" si="16"/>
        <v>4.3926868619864516E-3</v>
      </c>
      <c r="S32" s="2"/>
      <c r="T32" s="6"/>
      <c r="U32" s="2"/>
      <c r="V32" s="7">
        <f t="shared" si="17"/>
        <v>0</v>
      </c>
      <c r="W32" s="2"/>
      <c r="X32" s="6">
        <f t="shared" si="18"/>
        <v>552.28</v>
      </c>
      <c r="Y32" s="2"/>
      <c r="Z32" s="7">
        <f t="shared" si="19"/>
        <v>0</v>
      </c>
    </row>
    <row r="33" spans="1:26" s="24" customFormat="1" hidden="1" outlineLevel="2" x14ac:dyDescent="0.25">
      <c r="A33" s="27"/>
      <c r="B33" s="11" t="str">
        <f>CONCATENATE("          ", "6118", " - ", "VACATION")</f>
        <v xml:space="preserve">          6118 - VACATION</v>
      </c>
      <c r="C33" s="11"/>
      <c r="D33" s="6">
        <v>1999.34</v>
      </c>
      <c r="E33" s="2"/>
      <c r="F33" s="7">
        <f t="shared" si="12"/>
        <v>2.529199442734633E-2</v>
      </c>
      <c r="G33" s="2"/>
      <c r="H33" s="6">
        <v>623.46597230769203</v>
      </c>
      <c r="I33" s="2"/>
      <c r="J33" s="7">
        <f t="shared" si="13"/>
        <v>7.9304218210780372E-3</v>
      </c>
      <c r="K33" s="2"/>
      <c r="L33" s="6">
        <f t="shared" si="14"/>
        <v>1375.8740276923079</v>
      </c>
      <c r="M33" s="2"/>
      <c r="N33" s="7">
        <f t="shared" si="15"/>
        <v>2.2068149486966524</v>
      </c>
      <c r="O33" s="11"/>
      <c r="P33" s="6">
        <v>4811.95</v>
      </c>
      <c r="Q33" s="2"/>
      <c r="R33" s="7">
        <f t="shared" si="16"/>
        <v>3.8272958545548831E-2</v>
      </c>
      <c r="S33" s="2"/>
      <c r="T33" s="6">
        <v>1282.1401176923071</v>
      </c>
      <c r="U33" s="2"/>
      <c r="V33" s="7">
        <f t="shared" si="17"/>
        <v>1.6308687913457739E-2</v>
      </c>
      <c r="W33" s="2"/>
      <c r="X33" s="6">
        <f t="shared" si="18"/>
        <v>3529.8098823076925</v>
      </c>
      <c r="Y33" s="2"/>
      <c r="Z33" s="7">
        <f t="shared" si="19"/>
        <v>2.7530609436517062</v>
      </c>
    </row>
    <row r="34" spans="1:26" s="24" customFormat="1" hidden="1" outlineLevel="2" x14ac:dyDescent="0.25">
      <c r="A34" s="27"/>
      <c r="B34" s="11" t="str">
        <f>CONCATENATE("          ", "6119", " - ", "SICK LEAVE")</f>
        <v xml:space="preserve">          6119 - SICK LEAVE</v>
      </c>
      <c r="C34" s="11"/>
      <c r="D34" s="6">
        <v>1353.62</v>
      </c>
      <c r="E34" s="2"/>
      <c r="F34" s="7">
        <f t="shared" si="12"/>
        <v>1.7123525511791162E-2</v>
      </c>
      <c r="G34" s="2"/>
      <c r="H34" s="6">
        <v>943.35853753846209</v>
      </c>
      <c r="I34" s="2"/>
      <c r="J34" s="7">
        <f t="shared" si="13"/>
        <v>1.1999421722254246E-2</v>
      </c>
      <c r="K34" s="2"/>
      <c r="L34" s="6">
        <f t="shared" si="14"/>
        <v>410.2614624615378</v>
      </c>
      <c r="M34" s="2"/>
      <c r="N34" s="7">
        <f t="shared" si="15"/>
        <v>0.43489452433647036</v>
      </c>
      <c r="O34" s="11"/>
      <c r="P34" s="6">
        <v>7323.75</v>
      </c>
      <c r="Q34" s="2"/>
      <c r="R34" s="7">
        <f t="shared" si="16"/>
        <v>5.8251141459899472E-2</v>
      </c>
      <c r="S34" s="2"/>
      <c r="T34" s="6">
        <v>1694.4398944615389</v>
      </c>
      <c r="U34" s="2"/>
      <c r="V34" s="7">
        <f t="shared" si="17"/>
        <v>2.155309786002441E-2</v>
      </c>
      <c r="W34" s="2"/>
      <c r="X34" s="6">
        <f t="shared" si="18"/>
        <v>5629.3101055384614</v>
      </c>
      <c r="Y34" s="2"/>
      <c r="Z34" s="7">
        <f t="shared" si="19"/>
        <v>3.3222247209467115</v>
      </c>
    </row>
    <row r="35" spans="1:26" s="24" customFormat="1" hidden="1" outlineLevel="2" x14ac:dyDescent="0.25">
      <c r="A35" s="27"/>
      <c r="B35" s="11" t="str">
        <f>CONCATENATE("          ", "6156", " - ", "EMPLOYEE MEALS")</f>
        <v xml:space="preserve">          6156 - EMPLOYEE MEALS</v>
      </c>
      <c r="C35" s="11"/>
      <c r="D35" s="6">
        <v>1026.77</v>
      </c>
      <c r="E35" s="2"/>
      <c r="F35" s="7">
        <f t="shared" si="12"/>
        <v>1.2988816868649852E-2</v>
      </c>
      <c r="G35" s="2"/>
      <c r="H35" s="6"/>
      <c r="I35" s="2"/>
      <c r="J35" s="7">
        <f t="shared" si="13"/>
        <v>0</v>
      </c>
      <c r="K35" s="2"/>
      <c r="L35" s="6">
        <f t="shared" si="14"/>
        <v>1026.77</v>
      </c>
      <c r="M35" s="2"/>
      <c r="N35" s="7">
        <f t="shared" si="15"/>
        <v>0</v>
      </c>
      <c r="O35" s="11"/>
      <c r="P35" s="6">
        <v>2035.68</v>
      </c>
      <c r="Q35" s="2"/>
      <c r="R35" s="7">
        <f t="shared" si="16"/>
        <v>1.619125224742627E-2</v>
      </c>
      <c r="S35" s="2"/>
      <c r="T35" s="6"/>
      <c r="U35" s="2"/>
      <c r="V35" s="7">
        <f t="shared" si="17"/>
        <v>0</v>
      </c>
      <c r="W35" s="2"/>
      <c r="X35" s="6">
        <f t="shared" si="18"/>
        <v>2035.68</v>
      </c>
      <c r="Y35" s="2"/>
      <c r="Z35" s="7">
        <f t="shared" si="19"/>
        <v>0</v>
      </c>
    </row>
    <row r="36" spans="1:26" s="26" customFormat="1" outlineLevel="1" collapsed="1" x14ac:dyDescent="0.25">
      <c r="A36" s="25"/>
      <c r="B36" s="13" t="str">
        <f>CONCATENATE("     ","*Payroll                                          ")</f>
        <v xml:space="preserve">     *Payroll                                          </v>
      </c>
      <c r="C36" s="13"/>
      <c r="D36" s="1">
        <f>SUM(OSRRefD22_1x_0)</f>
        <v>48230.320000000007</v>
      </c>
      <c r="E36" s="1"/>
      <c r="F36" s="5">
        <f t="shared" ref="F36:F46" si="20">IF(D$12=0,0,D36/D$12)</f>
        <v>0.61012183253930319</v>
      </c>
      <c r="G36" s="1"/>
      <c r="H36" s="1">
        <f>SUM(OSRRefH22_1x_0)</f>
        <v>31443.267767076919</v>
      </c>
      <c r="I36" s="1"/>
      <c r="J36" s="5">
        <f t="shared" ref="J36:J46" si="21">IF(H$12=0,0,H36/H$12)</f>
        <v>0.3999550703674386</v>
      </c>
      <c r="K36" s="1"/>
      <c r="L36" s="1">
        <f t="shared" ref="L36:L46" si="22">+D36-H36</f>
        <v>16787.052232923088</v>
      </c>
      <c r="M36" s="1"/>
      <c r="N36" s="5">
        <f t="shared" ref="N36:N46" si="23">IF(H36=0,0,L36/H36)</f>
        <v>0.53388383030914455</v>
      </c>
      <c r="O36" s="13"/>
      <c r="P36" s="1">
        <f>SUM(OSRRefP22_1x_0)</f>
        <v>84716.24</v>
      </c>
      <c r="Q36" s="1"/>
      <c r="R36" s="5">
        <f t="shared" ref="R36:R46" si="24">IF(P$12=0,0,P36/P$12)</f>
        <v>0.67381023112350835</v>
      </c>
      <c r="S36" s="1"/>
      <c r="T36" s="1">
        <f>SUM(OSRRefT22_1x_0)</f>
        <v>57025.567110923068</v>
      </c>
      <c r="U36" s="1"/>
      <c r="V36" s="5">
        <f t="shared" ref="V36:V46" si="25">IF(T$12=0,0,T36/T$12)</f>
        <v>0.72535923669083113</v>
      </c>
      <c r="W36" s="1"/>
      <c r="X36" s="1">
        <f t="shared" ref="X36:X46" si="26">+P36-T36</f>
        <v>27690.672889076937</v>
      </c>
      <c r="Y36" s="1"/>
      <c r="Z36" s="5">
        <f t="shared" ref="Z36:Z46" si="27">IF(T36=0,0,X36/T36)</f>
        <v>0.48558347232592231</v>
      </c>
    </row>
    <row r="37" spans="1:26" s="24" customFormat="1" hidden="1" outlineLevel="2" x14ac:dyDescent="0.25">
      <c r="A37" s="27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7"/>
      <c r="B38" s="11" t="str">
        <f>CONCATENATE("          ", "6002", " - ", "STAFF SALARIES")</f>
        <v xml:space="preserve">          6002 - STAFF SALARIES</v>
      </c>
      <c r="C38" s="11"/>
      <c r="D38" s="6">
        <v>9388.57</v>
      </c>
      <c r="E38" s="2"/>
      <c r="F38" s="7">
        <f t="shared" si="20"/>
        <v>0.11876702317802422</v>
      </c>
      <c r="G38" s="2"/>
      <c r="H38" s="6">
        <v>4459.7019230769201</v>
      </c>
      <c r="I38" s="2"/>
      <c r="J38" s="7">
        <f t="shared" si="21"/>
        <v>5.6726941031544326E-2</v>
      </c>
      <c r="K38" s="2"/>
      <c r="L38" s="6">
        <f t="shared" si="22"/>
        <v>4928.8680769230796</v>
      </c>
      <c r="M38" s="2"/>
      <c r="N38" s="7">
        <f t="shared" si="23"/>
        <v>1.105201235853553</v>
      </c>
      <c r="O38" s="11"/>
      <c r="P38" s="6">
        <v>20625.28</v>
      </c>
      <c r="Q38" s="2"/>
      <c r="R38" s="7">
        <f t="shared" si="24"/>
        <v>0.16404794032156139</v>
      </c>
      <c r="S38" s="2"/>
      <c r="T38" s="6">
        <v>10034.329326923069</v>
      </c>
      <c r="U38" s="2"/>
      <c r="V38" s="7">
        <f t="shared" si="25"/>
        <v>0.12763561732097473</v>
      </c>
      <c r="W38" s="2"/>
      <c r="X38" s="6">
        <f t="shared" si="26"/>
        <v>10590.95067307693</v>
      </c>
      <c r="Y38" s="2"/>
      <c r="Z38" s="7">
        <f t="shared" si="27"/>
        <v>1.0554717039892634</v>
      </c>
    </row>
    <row r="39" spans="1:26" s="24" customFormat="1" hidden="1" outlineLevel="2" x14ac:dyDescent="0.25">
      <c r="A39" s="27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7"/>
      <c r="B40" s="11" t="str">
        <f>CONCATENATE("          ", "6004", " - ", "STAFF HOURLY")</f>
        <v xml:space="preserve">          6004 - STAFF HOURLY</v>
      </c>
      <c r="C40" s="11"/>
      <c r="D40" s="6">
        <v>13261.68</v>
      </c>
      <c r="E40" s="2"/>
      <c r="F40" s="7">
        <f t="shared" si="20"/>
        <v>0.16776252996351312</v>
      </c>
      <c r="G40" s="2"/>
      <c r="H40" s="6">
        <v>15122.50944</v>
      </c>
      <c r="I40" s="2"/>
      <c r="J40" s="7">
        <f t="shared" si="21"/>
        <v>0.19235673505730314</v>
      </c>
      <c r="K40" s="2"/>
      <c r="L40" s="6">
        <f t="shared" si="22"/>
        <v>-1860.8294399999995</v>
      </c>
      <c r="M40" s="2"/>
      <c r="N40" s="7">
        <f t="shared" si="23"/>
        <v>-0.12305030771400857</v>
      </c>
      <c r="O40" s="11"/>
      <c r="P40" s="6">
        <v>27162.880000000001</v>
      </c>
      <c r="Q40" s="2"/>
      <c r="R40" s="7">
        <f t="shared" si="24"/>
        <v>0.21604625572121852</v>
      </c>
      <c r="S40" s="2"/>
      <c r="T40" s="6">
        <v>30245.01888</v>
      </c>
      <c r="U40" s="2"/>
      <c r="V40" s="7">
        <f t="shared" si="25"/>
        <v>0.38471347011460627</v>
      </c>
      <c r="W40" s="2"/>
      <c r="X40" s="6">
        <f t="shared" si="26"/>
        <v>-3082.1388799999986</v>
      </c>
      <c r="Y40" s="2"/>
      <c r="Z40" s="7">
        <f t="shared" si="27"/>
        <v>-0.10190566890464439</v>
      </c>
    </row>
    <row r="41" spans="1:26" s="24" customFormat="1" hidden="1" outlineLevel="2" x14ac:dyDescent="0.25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3559.51</v>
      </c>
      <c r="E41" s="2"/>
      <c r="F41" s="7">
        <f t="shared" si="20"/>
        <v>4.5028412918304818E-2</v>
      </c>
      <c r="G41" s="2"/>
      <c r="H41" s="6">
        <v>2770.9439040000002</v>
      </c>
      <c r="I41" s="2"/>
      <c r="J41" s="7">
        <f t="shared" si="21"/>
        <v>3.5246116030883907E-2</v>
      </c>
      <c r="K41" s="2"/>
      <c r="L41" s="6">
        <f t="shared" si="22"/>
        <v>788.56609600000002</v>
      </c>
      <c r="M41" s="2"/>
      <c r="N41" s="7">
        <f t="shared" si="23"/>
        <v>0.28458392638756208</v>
      </c>
      <c r="O41" s="11"/>
      <c r="P41" s="6">
        <v>5887.08</v>
      </c>
      <c r="Q41" s="2"/>
      <c r="R41" s="7">
        <f t="shared" si="24"/>
        <v>4.6824253949922505E-2</v>
      </c>
      <c r="S41" s="2"/>
      <c r="T41" s="6">
        <v>2770.9439040000002</v>
      </c>
      <c r="U41" s="2"/>
      <c r="V41" s="7">
        <f t="shared" si="25"/>
        <v>3.5246116030883907E-2</v>
      </c>
      <c r="W41" s="2"/>
      <c r="X41" s="6">
        <f t="shared" si="26"/>
        <v>3116.1360959999997</v>
      </c>
      <c r="Y41" s="2"/>
      <c r="Z41" s="7">
        <f t="shared" si="27"/>
        <v>1.1245756695044229</v>
      </c>
    </row>
    <row r="42" spans="1:26" s="24" customFormat="1" hidden="1" outlineLevel="2" x14ac:dyDescent="0.25">
      <c r="A42" s="27"/>
      <c r="B42" s="11" t="str">
        <f>CONCATENATE("          ", "6006", " - ", "TEMPORARY PART TIME")</f>
        <v xml:space="preserve">          6006 - TEMPORARY PART TIME</v>
      </c>
      <c r="C42" s="11"/>
      <c r="D42" s="6">
        <v>674.81</v>
      </c>
      <c r="E42" s="2"/>
      <c r="F42" s="7">
        <f t="shared" si="20"/>
        <v>8.5364624123548654E-3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674.81</v>
      </c>
      <c r="M42" s="2"/>
      <c r="N42" s="7">
        <f t="shared" si="23"/>
        <v>0</v>
      </c>
      <c r="O42" s="11"/>
      <c r="P42" s="6">
        <v>1286.81</v>
      </c>
      <c r="Q42" s="2"/>
      <c r="R42" s="7">
        <f t="shared" si="24"/>
        <v>1.0234941299472706E-2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1286.81</v>
      </c>
      <c r="Y42" s="2"/>
      <c r="Z42" s="7">
        <f t="shared" si="27"/>
        <v>0</v>
      </c>
    </row>
    <row r="43" spans="1:26" s="24" customFormat="1" hidden="1" outlineLevel="2" x14ac:dyDescent="0.25">
      <c r="A43" s="27"/>
      <c r="B43" s="11" t="str">
        <f>CONCATENATE("          ", "6007", " - ", "STUDENT HOURLY")</f>
        <v xml:space="preserve">          6007 - STUDENT HOURLY</v>
      </c>
      <c r="C43" s="11"/>
      <c r="D43" s="6">
        <v>18662.25</v>
      </c>
      <c r="E43" s="2"/>
      <c r="F43" s="7">
        <f t="shared" si="20"/>
        <v>0.23608066812135209</v>
      </c>
      <c r="G43" s="2"/>
      <c r="H43" s="6">
        <v>9090.1124999999993</v>
      </c>
      <c r="I43" s="2"/>
      <c r="J43" s="7">
        <f t="shared" si="21"/>
        <v>0.11562527824770723</v>
      </c>
      <c r="K43" s="2"/>
      <c r="L43" s="6">
        <f t="shared" si="22"/>
        <v>9572.1375000000007</v>
      </c>
      <c r="M43" s="2"/>
      <c r="N43" s="7">
        <f t="shared" si="23"/>
        <v>1.0530273965256207</v>
      </c>
      <c r="O43" s="11"/>
      <c r="P43" s="6">
        <v>24985.69</v>
      </c>
      <c r="Q43" s="2"/>
      <c r="R43" s="7">
        <f t="shared" si="24"/>
        <v>0.19872947092175394</v>
      </c>
      <c r="S43" s="2"/>
      <c r="T43" s="6">
        <v>9090.1124999999993</v>
      </c>
      <c r="U43" s="2"/>
      <c r="V43" s="7">
        <f t="shared" si="25"/>
        <v>0.11562527824770723</v>
      </c>
      <c r="W43" s="2"/>
      <c r="X43" s="6">
        <f t="shared" si="26"/>
        <v>15895.577499999999</v>
      </c>
      <c r="Y43" s="2"/>
      <c r="Z43" s="7">
        <f t="shared" si="27"/>
        <v>1.7486667519241375</v>
      </c>
    </row>
    <row r="44" spans="1:26" s="24" customFormat="1" hidden="1" outlineLevel="2" x14ac:dyDescent="0.25">
      <c r="A44" s="27"/>
      <c r="B44" s="11" t="str">
        <f>CONCATENATE("          ", "6008", " - ", "STUDENT HOURLY-FICA EXEMPT")</f>
        <v xml:space="preserve">          6008 - STUDENT HOURLY-FICA EXEMPT</v>
      </c>
      <c r="C44" s="11"/>
      <c r="D44" s="6">
        <v>2683.5</v>
      </c>
      <c r="E44" s="2"/>
      <c r="F44" s="7">
        <f t="shared" si="20"/>
        <v>3.3946735945754043E-2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2683.5</v>
      </c>
      <c r="M44" s="2"/>
      <c r="N44" s="7">
        <f t="shared" si="23"/>
        <v>0</v>
      </c>
      <c r="O44" s="11"/>
      <c r="P44" s="6">
        <v>4768.5</v>
      </c>
      <c r="Q44" s="2"/>
      <c r="R44" s="7">
        <f t="shared" si="24"/>
        <v>3.7927368909579193E-2</v>
      </c>
      <c r="S44" s="2"/>
      <c r="T44" s="6">
        <v>4885.1624999999995</v>
      </c>
      <c r="U44" s="2"/>
      <c r="V44" s="7">
        <f t="shared" si="25"/>
        <v>6.2138754976658987E-2</v>
      </c>
      <c r="W44" s="2"/>
      <c r="X44" s="6">
        <f t="shared" si="26"/>
        <v>-116.66249999999945</v>
      </c>
      <c r="Y44" s="2"/>
      <c r="Z44" s="7">
        <f t="shared" si="27"/>
        <v>-2.3880986558788876E-2</v>
      </c>
    </row>
    <row r="45" spans="1:26" s="24" customFormat="1" hidden="1" outlineLevel="2" x14ac:dyDescent="0.25">
      <c r="A45" s="27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7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6" customFormat="1" outlineLevel="1" collapsed="1" x14ac:dyDescent="0.25">
      <c r="A47" s="25"/>
      <c r="B47" s="13" t="str">
        <f>CONCATENATE("     ","Advertising/Promo                                 ")</f>
        <v xml:space="preserve">     Advertising/Promo                                 </v>
      </c>
      <c r="C47" s="13"/>
      <c r="D47" s="1">
        <f>SUM(OSRRefD22_2x_0)</f>
        <v>2229.12</v>
      </c>
      <c r="E47" s="1"/>
      <c r="F47" s="5">
        <f t="shared" ref="F47:F51" si="28">IF(D$12=0,0,D47/D$12)</f>
        <v>2.8198750896739049E-2</v>
      </c>
      <c r="G47" s="1"/>
      <c r="H47" s="1">
        <f>SUM(OSRRefH22_2x_0)</f>
        <v>600</v>
      </c>
      <c r="I47" s="1"/>
      <c r="J47" s="5">
        <f t="shared" ref="J47:J51" si="29">IF(H$12=0,0,H47/H$12)</f>
        <v>7.6319371128381903E-3</v>
      </c>
      <c r="K47" s="1"/>
      <c r="L47" s="1">
        <f t="shared" ref="L47:L51" si="30">+D47-H47</f>
        <v>1629.12</v>
      </c>
      <c r="M47" s="1"/>
      <c r="N47" s="5">
        <f t="shared" ref="N47:N51" si="31">IF(H47=0,0,L47/H47)</f>
        <v>2.7151999999999998</v>
      </c>
      <c r="O47" s="13"/>
      <c r="P47" s="1">
        <f>SUM(OSRRefP22_2x_0)</f>
        <v>2651.81</v>
      </c>
      <c r="Q47" s="1"/>
      <c r="R47" s="5">
        <f t="shared" ref="R47:R51" si="32">IF(P$12=0,0,P47/P$12)</f>
        <v>2.1091784869059705E-2</v>
      </c>
      <c r="S47" s="1"/>
      <c r="T47" s="1">
        <f>SUM(OSRRefT22_2x_0)</f>
        <v>1400</v>
      </c>
      <c r="U47" s="1"/>
      <c r="V47" s="5">
        <f t="shared" ref="V47:V51" si="33">IF(T$12=0,0,T47/T$12)</f>
        <v>1.7807853263289111E-2</v>
      </c>
      <c r="W47" s="1"/>
      <c r="X47" s="1">
        <f t="shared" ref="X47:X51" si="34">+P47-T47</f>
        <v>1251.81</v>
      </c>
      <c r="Y47" s="1"/>
      <c r="Z47" s="5">
        <f t="shared" ref="Z47:Z51" si="35">IF(T47=0,0,X47/T47)</f>
        <v>0.89415</v>
      </c>
    </row>
    <row r="48" spans="1:26" s="24" customFormat="1" hidden="1" outlineLevel="2" x14ac:dyDescent="0.25">
      <c r="A48" s="27"/>
      <c r="B48" s="11" t="str">
        <f>CONCATENATE("          ", "6362", " - ", "ADVERTISING EXPENSE")</f>
        <v xml:space="preserve">          6362 - ADVERTISING EXPENSE</v>
      </c>
      <c r="C48" s="11"/>
      <c r="D48" s="6">
        <v>2229.12</v>
      </c>
      <c r="E48" s="2"/>
      <c r="F48" s="7">
        <f t="shared" si="28"/>
        <v>2.8198750896739049E-2</v>
      </c>
      <c r="G48" s="2"/>
      <c r="H48" s="6">
        <v>600</v>
      </c>
      <c r="I48" s="2"/>
      <c r="J48" s="7">
        <f t="shared" si="29"/>
        <v>7.6319371128381903E-3</v>
      </c>
      <c r="K48" s="2"/>
      <c r="L48" s="6">
        <f t="shared" si="30"/>
        <v>1629.12</v>
      </c>
      <c r="M48" s="2"/>
      <c r="N48" s="7">
        <f t="shared" si="31"/>
        <v>2.7151999999999998</v>
      </c>
      <c r="O48" s="11"/>
      <c r="P48" s="6">
        <v>2651.81</v>
      </c>
      <c r="Q48" s="2"/>
      <c r="R48" s="7">
        <f t="shared" si="32"/>
        <v>2.1091784869059705E-2</v>
      </c>
      <c r="S48" s="2"/>
      <c r="T48" s="6">
        <v>1400</v>
      </c>
      <c r="U48" s="2"/>
      <c r="V48" s="7">
        <f t="shared" si="33"/>
        <v>1.7807853263289111E-2</v>
      </c>
      <c r="W48" s="2"/>
      <c r="X48" s="6">
        <f t="shared" si="34"/>
        <v>1251.81</v>
      </c>
      <c r="Y48" s="2"/>
      <c r="Z48" s="7">
        <f t="shared" si="35"/>
        <v>0.89415</v>
      </c>
    </row>
    <row r="49" spans="1:26" s="26" customFormat="1" outlineLevel="1" collapsed="1" x14ac:dyDescent="0.25">
      <c r="A49" s="25"/>
      <c r="B49" s="13" t="str">
        <f>CONCATENATE("     ","Bad Debts/Over/Short                              ")</f>
        <v xml:space="preserve">     Bad Debts/Over/Short                              </v>
      </c>
      <c r="C49" s="13"/>
      <c r="D49" s="1">
        <f>SUM(OSRRefD22_3x_0)</f>
        <v>0</v>
      </c>
      <c r="E49" s="1"/>
      <c r="F49" s="5">
        <f t="shared" si="28"/>
        <v>0</v>
      </c>
      <c r="G49" s="1"/>
      <c r="H49" s="1">
        <f>SUM(OSRRefH22_3x_0)</f>
        <v>70</v>
      </c>
      <c r="I49" s="1"/>
      <c r="J49" s="5">
        <f t="shared" si="29"/>
        <v>8.9039266316445547E-4</v>
      </c>
      <c r="K49" s="1"/>
      <c r="L49" s="1">
        <f t="shared" si="30"/>
        <v>-70</v>
      </c>
      <c r="M49" s="1"/>
      <c r="N49" s="5">
        <f t="shared" si="31"/>
        <v>-1</v>
      </c>
      <c r="O49" s="13"/>
      <c r="P49" s="1">
        <f>SUM(OSRRefP22_3x_0)</f>
        <v>0</v>
      </c>
      <c r="Q49" s="1"/>
      <c r="R49" s="5">
        <f t="shared" si="32"/>
        <v>0</v>
      </c>
      <c r="S49" s="1"/>
      <c r="T49" s="1">
        <f>SUM(OSRRefT22_3x_0)</f>
        <v>70</v>
      </c>
      <c r="U49" s="1"/>
      <c r="V49" s="5">
        <f t="shared" si="33"/>
        <v>8.9039266316445547E-4</v>
      </c>
      <c r="W49" s="1"/>
      <c r="X49" s="1">
        <f t="shared" si="34"/>
        <v>-70</v>
      </c>
      <c r="Y49" s="1"/>
      <c r="Z49" s="5">
        <f t="shared" si="35"/>
        <v>-1</v>
      </c>
    </row>
    <row r="50" spans="1:26" s="24" customFormat="1" hidden="1" outlineLevel="2" x14ac:dyDescent="0.25">
      <c r="A50" s="27"/>
      <c r="B50" s="11" t="str">
        <f>CONCATENATE("          ", "6272", " - ", "CASH (OVER/SHORT)")</f>
        <v xml:space="preserve">          6272 - CASH (OVER/SHORT)</v>
      </c>
      <c r="C50" s="11"/>
      <c r="D50" s="6"/>
      <c r="E50" s="2"/>
      <c r="F50" s="7">
        <f t="shared" si="28"/>
        <v>0</v>
      </c>
      <c r="G50" s="2"/>
      <c r="H50" s="6">
        <v>20</v>
      </c>
      <c r="I50" s="2"/>
      <c r="J50" s="7">
        <f t="shared" si="29"/>
        <v>2.5439790376127302E-4</v>
      </c>
      <c r="K50" s="2"/>
      <c r="L50" s="6">
        <f t="shared" si="30"/>
        <v>-20</v>
      </c>
      <c r="M50" s="2"/>
      <c r="N50" s="7">
        <f t="shared" si="31"/>
        <v>-1</v>
      </c>
      <c r="O50" s="11"/>
      <c r="P50" s="6"/>
      <c r="Q50" s="2"/>
      <c r="R50" s="7">
        <f t="shared" si="32"/>
        <v>0</v>
      </c>
      <c r="S50" s="2"/>
      <c r="T50" s="6">
        <v>20</v>
      </c>
      <c r="U50" s="2"/>
      <c r="V50" s="7">
        <f t="shared" si="33"/>
        <v>2.5439790376127302E-4</v>
      </c>
      <c r="W50" s="2"/>
      <c r="X50" s="6">
        <f t="shared" si="34"/>
        <v>-20</v>
      </c>
      <c r="Y50" s="2"/>
      <c r="Z50" s="7">
        <f t="shared" si="35"/>
        <v>-1</v>
      </c>
    </row>
    <row r="51" spans="1:26" s="24" customFormat="1" hidden="1" outlineLevel="2" x14ac:dyDescent="0.25">
      <c r="A51" s="27"/>
      <c r="B51" s="11" t="str">
        <f>CONCATENATE("          ", "6342", " - ", "BAD DEBT")</f>
        <v xml:space="preserve">          6342 - BAD DEBT</v>
      </c>
      <c r="C51" s="11"/>
      <c r="D51" s="6"/>
      <c r="E51" s="2"/>
      <c r="F51" s="7">
        <f t="shared" si="28"/>
        <v>0</v>
      </c>
      <c r="G51" s="2"/>
      <c r="H51" s="6">
        <v>50</v>
      </c>
      <c r="I51" s="2"/>
      <c r="J51" s="7">
        <f t="shared" si="29"/>
        <v>6.3599475940318256E-4</v>
      </c>
      <c r="K51" s="2"/>
      <c r="L51" s="6">
        <f t="shared" si="30"/>
        <v>-50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50</v>
      </c>
      <c r="U51" s="2"/>
      <c r="V51" s="7">
        <f t="shared" si="33"/>
        <v>6.3599475940318256E-4</v>
      </c>
      <c r="W51" s="2"/>
      <c r="X51" s="6">
        <f t="shared" si="34"/>
        <v>-50</v>
      </c>
      <c r="Y51" s="2"/>
      <c r="Z51" s="7">
        <f t="shared" si="35"/>
        <v>-1</v>
      </c>
    </row>
    <row r="52" spans="1:26" s="26" customFormat="1" outlineLevel="1" collapsed="1" x14ac:dyDescent="0.25">
      <c r="A52" s="25"/>
      <c r="B52" s="13" t="str">
        <f>CONCATENATE("     ","Bank/card Fees                                    ")</f>
        <v xml:space="preserve">     Bank/card Fees                                    </v>
      </c>
      <c r="C52" s="13"/>
      <c r="D52" s="1">
        <f>SUM(OSRRefD22_4x_0)</f>
        <v>6.14</v>
      </c>
      <c r="E52" s="1"/>
      <c r="F52" s="5">
        <f t="shared" ref="F52:F71" si="36">IF(D$12=0,0,D52/D$12)</f>
        <v>7.7672054669994332E-5</v>
      </c>
      <c r="G52" s="1"/>
      <c r="H52" s="1">
        <f>SUM(OSRRefH22_4x_0)</f>
        <v>20</v>
      </c>
      <c r="I52" s="1"/>
      <c r="J52" s="5">
        <f t="shared" ref="J52:J71" si="37">IF(H$12=0,0,H52/H$12)</f>
        <v>2.5439790376127302E-4</v>
      </c>
      <c r="K52" s="1"/>
      <c r="L52" s="1">
        <f t="shared" ref="L52:L71" si="38">+D52-H52</f>
        <v>-13.86</v>
      </c>
      <c r="M52" s="1"/>
      <c r="N52" s="5">
        <f t="shared" ref="N52:N71" si="39">IF(H52=0,0,L52/H52)</f>
        <v>-0.69299999999999995</v>
      </c>
      <c r="O52" s="13"/>
      <c r="P52" s="1">
        <f>SUM(OSRRefP22_4x_0)</f>
        <v>6.34</v>
      </c>
      <c r="Q52" s="1"/>
      <c r="R52" s="5">
        <f t="shared" ref="R52:R71" si="40">IF(P$12=0,0,P52/P$12)</f>
        <v>5.0426658044821658E-5</v>
      </c>
      <c r="S52" s="1"/>
      <c r="T52" s="1">
        <f>SUM(OSRRefT22_4x_0)</f>
        <v>40</v>
      </c>
      <c r="U52" s="1"/>
      <c r="V52" s="5">
        <f t="shared" ref="V52:V71" si="41">IF(T$12=0,0,T52/T$12)</f>
        <v>5.0879580752254605E-4</v>
      </c>
      <c r="W52" s="1"/>
      <c r="X52" s="1">
        <f t="shared" ref="X52:X71" si="42">+P52-T52</f>
        <v>-33.659999999999997</v>
      </c>
      <c r="Y52" s="1"/>
      <c r="Z52" s="5">
        <f t="shared" ref="Z52:Z71" si="43">IF(T52=0,0,X52/T52)</f>
        <v>-0.84149999999999991</v>
      </c>
    </row>
    <row r="53" spans="1:26" s="24" customFormat="1" hidden="1" outlineLevel="2" x14ac:dyDescent="0.25">
      <c r="A53" s="27"/>
      <c r="B53" s="11" t="str">
        <f>CONCATENATE("          ", "6381", " - ", "BANK/CREDIT CARD FEES")</f>
        <v xml:space="preserve">          6381 - BANK/CREDIT CARD FEES</v>
      </c>
      <c r="C53" s="11"/>
      <c r="D53" s="6">
        <v>6.14</v>
      </c>
      <c r="E53" s="2"/>
      <c r="F53" s="7">
        <f t="shared" si="36"/>
        <v>7.7672054669994332E-5</v>
      </c>
      <c r="G53" s="2"/>
      <c r="H53" s="6">
        <v>20</v>
      </c>
      <c r="I53" s="2"/>
      <c r="J53" s="7">
        <f t="shared" si="37"/>
        <v>2.5439790376127302E-4</v>
      </c>
      <c r="K53" s="2"/>
      <c r="L53" s="6">
        <f t="shared" si="38"/>
        <v>-13.86</v>
      </c>
      <c r="M53" s="2"/>
      <c r="N53" s="7">
        <f t="shared" si="39"/>
        <v>-0.69299999999999995</v>
      </c>
      <c r="O53" s="11"/>
      <c r="P53" s="6">
        <v>6.34</v>
      </c>
      <c r="Q53" s="2"/>
      <c r="R53" s="7">
        <f t="shared" si="40"/>
        <v>5.0426658044821658E-5</v>
      </c>
      <c r="S53" s="2"/>
      <c r="T53" s="6">
        <v>40</v>
      </c>
      <c r="U53" s="2"/>
      <c r="V53" s="7">
        <f t="shared" si="41"/>
        <v>5.0879580752254605E-4</v>
      </c>
      <c r="W53" s="2"/>
      <c r="X53" s="6">
        <f t="shared" si="42"/>
        <v>-33.659999999999997</v>
      </c>
      <c r="Y53" s="2"/>
      <c r="Z53" s="7">
        <f t="shared" si="43"/>
        <v>-0.84149999999999991</v>
      </c>
    </row>
    <row r="54" spans="1:26" s="26" customFormat="1" outlineLevel="1" collapsed="1" x14ac:dyDescent="0.25">
      <c r="A54" s="25"/>
      <c r="B54" s="13" t="str">
        <f>CONCATENATE("     ","Donations                                         ")</f>
        <v xml:space="preserve">     Donations                                         </v>
      </c>
      <c r="C54" s="13"/>
      <c r="D54" s="1">
        <f>SUM(OSRRefD22_5x_0)</f>
        <v>1827.06</v>
      </c>
      <c r="E54" s="1"/>
      <c r="F54" s="5">
        <f t="shared" si="36"/>
        <v>2.3112622834749161E-2</v>
      </c>
      <c r="G54" s="1"/>
      <c r="H54" s="1">
        <f>SUM(OSRRefH22_5x_0)</f>
        <v>707</v>
      </c>
      <c r="I54" s="1"/>
      <c r="J54" s="5">
        <f t="shared" si="37"/>
        <v>8.992965897961001E-3</v>
      </c>
      <c r="K54" s="1"/>
      <c r="L54" s="1">
        <f t="shared" si="38"/>
        <v>1120.06</v>
      </c>
      <c r="M54" s="1"/>
      <c r="N54" s="5">
        <f t="shared" si="39"/>
        <v>1.5842432814710041</v>
      </c>
      <c r="O54" s="13"/>
      <c r="P54" s="1">
        <f>SUM(OSRRefP22_5x_0)</f>
        <v>1827.06</v>
      </c>
      <c r="Q54" s="1"/>
      <c r="R54" s="5">
        <f t="shared" si="40"/>
        <v>1.4531944770878841E-2</v>
      </c>
      <c r="S54" s="1"/>
      <c r="T54" s="1">
        <f>SUM(OSRRefT22_5x_0)</f>
        <v>707</v>
      </c>
      <c r="U54" s="1"/>
      <c r="V54" s="5">
        <f t="shared" si="41"/>
        <v>8.992965897961001E-3</v>
      </c>
      <c r="W54" s="1"/>
      <c r="X54" s="1">
        <f t="shared" si="42"/>
        <v>1120.06</v>
      </c>
      <c r="Y54" s="1"/>
      <c r="Z54" s="5">
        <f t="shared" si="43"/>
        <v>1.5842432814710041</v>
      </c>
    </row>
    <row r="55" spans="1:26" s="24" customFormat="1" hidden="1" outlineLevel="2" x14ac:dyDescent="0.25">
      <c r="A55" s="27"/>
      <c r="B55" s="11" t="str">
        <f>CONCATENATE("          ", "6399", " - ", "DONATION-ON CAMPUS")</f>
        <v xml:space="preserve">          6399 - DONATION-ON CAMPUS</v>
      </c>
      <c r="C55" s="11"/>
      <c r="D55" s="6">
        <v>1827.06</v>
      </c>
      <c r="E55" s="2"/>
      <c r="F55" s="7">
        <f t="shared" si="36"/>
        <v>2.3112622834749161E-2</v>
      </c>
      <c r="G55" s="2"/>
      <c r="H55" s="6">
        <v>707</v>
      </c>
      <c r="I55" s="2"/>
      <c r="J55" s="7">
        <f t="shared" si="37"/>
        <v>8.992965897961001E-3</v>
      </c>
      <c r="K55" s="2"/>
      <c r="L55" s="6">
        <f t="shared" si="38"/>
        <v>1120.06</v>
      </c>
      <c r="M55" s="2"/>
      <c r="N55" s="7">
        <f t="shared" si="39"/>
        <v>1.5842432814710041</v>
      </c>
      <c r="O55" s="11"/>
      <c r="P55" s="6">
        <v>1827.06</v>
      </c>
      <c r="Q55" s="2"/>
      <c r="R55" s="7">
        <f t="shared" si="40"/>
        <v>1.4531944770878841E-2</v>
      </c>
      <c r="S55" s="2"/>
      <c r="T55" s="6">
        <v>707</v>
      </c>
      <c r="U55" s="2"/>
      <c r="V55" s="7">
        <f t="shared" si="41"/>
        <v>8.992965897961001E-3</v>
      </c>
      <c r="W55" s="2"/>
      <c r="X55" s="6">
        <f t="shared" si="42"/>
        <v>1120.06</v>
      </c>
      <c r="Y55" s="2"/>
      <c r="Z55" s="7">
        <f t="shared" si="43"/>
        <v>1.5842432814710041</v>
      </c>
    </row>
    <row r="56" spans="1:26" s="26" customFormat="1" outlineLevel="1" collapsed="1" x14ac:dyDescent="0.25">
      <c r="A56" s="25"/>
      <c r="B56" s="13" t="str">
        <f>CONCATENATE("     ","Employees' Appreciation                           ")</f>
        <v xml:space="preserve">     Employees' Appreciation                           </v>
      </c>
      <c r="C56" s="13"/>
      <c r="D56" s="1">
        <f>SUM(OSRRefD22_6x_0)</f>
        <v>0</v>
      </c>
      <c r="E56" s="1"/>
      <c r="F56" s="5">
        <f t="shared" si="36"/>
        <v>0</v>
      </c>
      <c r="G56" s="1"/>
      <c r="H56" s="1">
        <f>SUM(OSRRefH22_6x_0)</f>
        <v>0</v>
      </c>
      <c r="I56" s="1"/>
      <c r="J56" s="5">
        <f t="shared" si="37"/>
        <v>0</v>
      </c>
      <c r="K56" s="1"/>
      <c r="L56" s="1">
        <f t="shared" si="38"/>
        <v>0</v>
      </c>
      <c r="M56" s="1"/>
      <c r="N56" s="5">
        <f t="shared" si="39"/>
        <v>0</v>
      </c>
      <c r="O56" s="13"/>
      <c r="P56" s="1">
        <f>SUM(OSRRefP22_6x_0)</f>
        <v>0</v>
      </c>
      <c r="Q56" s="1"/>
      <c r="R56" s="5">
        <f t="shared" si="40"/>
        <v>0</v>
      </c>
      <c r="S56" s="1"/>
      <c r="T56" s="1">
        <f>SUM(OSRRefT22_6x_0)</f>
        <v>0</v>
      </c>
      <c r="U56" s="1"/>
      <c r="V56" s="5">
        <f t="shared" si="41"/>
        <v>0</v>
      </c>
      <c r="W56" s="1"/>
      <c r="X56" s="1">
        <f t="shared" si="42"/>
        <v>0</v>
      </c>
      <c r="Y56" s="1"/>
      <c r="Z56" s="5">
        <f t="shared" si="43"/>
        <v>0</v>
      </c>
    </row>
    <row r="57" spans="1:26" s="24" customFormat="1" hidden="1" outlineLevel="2" x14ac:dyDescent="0.25">
      <c r="A57" s="27"/>
      <c r="B57" s="11" t="str">
        <f>CONCATENATE("          ", "6277", " - ", "EMPLOYEE APPRECIATION")</f>
        <v xml:space="preserve">          6277 - EMPLOYEE APPRECIATION</v>
      </c>
      <c r="C57" s="11"/>
      <c r="D57" s="6"/>
      <c r="E57" s="2"/>
      <c r="F57" s="7">
        <f t="shared" si="36"/>
        <v>0</v>
      </c>
      <c r="G57" s="2"/>
      <c r="H57" s="6">
        <v>0</v>
      </c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/>
      <c r="Q57" s="2"/>
      <c r="R57" s="7">
        <f t="shared" si="40"/>
        <v>0</v>
      </c>
      <c r="S57" s="2"/>
      <c r="T57" s="6">
        <v>0</v>
      </c>
      <c r="U57" s="2"/>
      <c r="V57" s="7">
        <f t="shared" si="41"/>
        <v>0</v>
      </c>
      <c r="W57" s="2"/>
      <c r="X57" s="6">
        <f t="shared" si="42"/>
        <v>0</v>
      </c>
      <c r="Y57" s="2"/>
      <c r="Z57" s="7">
        <f t="shared" si="43"/>
        <v>0</v>
      </c>
    </row>
    <row r="58" spans="1:26" s="26" customFormat="1" outlineLevel="1" collapsed="1" x14ac:dyDescent="0.25">
      <c r="A58" s="25"/>
      <c r="B58" s="13" t="str">
        <f>CONCATENATE("     ","Equipment Rental                                  ")</f>
        <v xml:space="preserve">     Equipment Rental                                  </v>
      </c>
      <c r="C58" s="13"/>
      <c r="D58" s="1">
        <f>SUM(OSRRefD22_7x_0)</f>
        <v>732.61</v>
      </c>
      <c r="E58" s="1"/>
      <c r="F58" s="5">
        <f t="shared" si="36"/>
        <v>9.2676423406815242E-3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732.61</v>
      </c>
      <c r="M58" s="1"/>
      <c r="N58" s="5">
        <f t="shared" si="39"/>
        <v>0</v>
      </c>
      <c r="O58" s="13"/>
      <c r="P58" s="1">
        <f>SUM(OSRRefP22_7x_0)</f>
        <v>732.61</v>
      </c>
      <c r="Q58" s="1"/>
      <c r="R58" s="5">
        <f t="shared" si="40"/>
        <v>5.8269832729048576E-3</v>
      </c>
      <c r="S58" s="1"/>
      <c r="T58" s="1">
        <f>SUM(OSRRefT22_7x_0)</f>
        <v>0</v>
      </c>
      <c r="U58" s="1"/>
      <c r="V58" s="5">
        <f t="shared" si="41"/>
        <v>0</v>
      </c>
      <c r="W58" s="1"/>
      <c r="X58" s="1">
        <f t="shared" si="42"/>
        <v>732.61</v>
      </c>
      <c r="Y58" s="1"/>
      <c r="Z58" s="5">
        <f t="shared" si="43"/>
        <v>0</v>
      </c>
    </row>
    <row r="59" spans="1:26" s="24" customFormat="1" hidden="1" outlineLevel="2" x14ac:dyDescent="0.25">
      <c r="A59" s="27"/>
      <c r="B59" s="11" t="str">
        <f>CONCATENATE("          ", "6351", " - ", "EQUIPMENT RENTAL")</f>
        <v xml:space="preserve">          6351 - EQUIPMENT RENTAL</v>
      </c>
      <c r="C59" s="11"/>
      <c r="D59" s="6">
        <v>732.61</v>
      </c>
      <c r="E59" s="2"/>
      <c r="F59" s="7">
        <f t="shared" si="36"/>
        <v>9.2676423406815242E-3</v>
      </c>
      <c r="G59" s="2"/>
      <c r="H59" s="6"/>
      <c r="I59" s="2"/>
      <c r="J59" s="7">
        <f t="shared" si="37"/>
        <v>0</v>
      </c>
      <c r="K59" s="2"/>
      <c r="L59" s="6">
        <f t="shared" si="38"/>
        <v>732.61</v>
      </c>
      <c r="M59" s="2"/>
      <c r="N59" s="7">
        <f t="shared" si="39"/>
        <v>0</v>
      </c>
      <c r="O59" s="11"/>
      <c r="P59" s="6">
        <v>732.61</v>
      </c>
      <c r="Q59" s="2"/>
      <c r="R59" s="7">
        <f t="shared" si="40"/>
        <v>5.8269832729048576E-3</v>
      </c>
      <c r="S59" s="2"/>
      <c r="T59" s="6"/>
      <c r="U59" s="2"/>
      <c r="V59" s="7">
        <f t="shared" si="41"/>
        <v>0</v>
      </c>
      <c r="W59" s="2"/>
      <c r="X59" s="6">
        <f t="shared" si="42"/>
        <v>732.61</v>
      </c>
      <c r="Y59" s="2"/>
      <c r="Z59" s="7">
        <f t="shared" si="43"/>
        <v>0</v>
      </c>
    </row>
    <row r="60" spans="1:26" s="26" customFormat="1" outlineLevel="1" collapsed="1" x14ac:dyDescent="0.25">
      <c r="A60" s="25"/>
      <c r="B60" s="13" t="str">
        <f>CONCATENATE("     ","General                                           ")</f>
        <v xml:space="preserve">     General                                           </v>
      </c>
      <c r="C60" s="13"/>
      <c r="D60" s="1">
        <f>SUM(OSRRefD22_8x_0)</f>
        <v>0</v>
      </c>
      <c r="E60" s="1"/>
      <c r="F60" s="5">
        <f t="shared" si="36"/>
        <v>0</v>
      </c>
      <c r="G60" s="1"/>
      <c r="H60" s="1">
        <f>SUM(OSRRefH22_8x_0)</f>
        <v>275</v>
      </c>
      <c r="I60" s="1"/>
      <c r="J60" s="5">
        <f t="shared" si="37"/>
        <v>3.4979711767175038E-3</v>
      </c>
      <c r="K60" s="1"/>
      <c r="L60" s="1">
        <f t="shared" si="38"/>
        <v>-275</v>
      </c>
      <c r="M60" s="1"/>
      <c r="N60" s="5">
        <f t="shared" si="39"/>
        <v>-1</v>
      </c>
      <c r="O60" s="13"/>
      <c r="P60" s="1">
        <f>SUM(OSRRefP22_8x_0)</f>
        <v>1517.11</v>
      </c>
      <c r="Q60" s="1"/>
      <c r="R60" s="5">
        <f t="shared" si="40"/>
        <v>1.2066685676085076E-2</v>
      </c>
      <c r="S60" s="1"/>
      <c r="T60" s="1">
        <f>SUM(OSRRefT22_8x_0)</f>
        <v>550</v>
      </c>
      <c r="U60" s="1"/>
      <c r="V60" s="5">
        <f t="shared" si="41"/>
        <v>6.9959423534350076E-3</v>
      </c>
      <c r="W60" s="1"/>
      <c r="X60" s="1">
        <f t="shared" si="42"/>
        <v>967.1099999999999</v>
      </c>
      <c r="Y60" s="1"/>
      <c r="Z60" s="5">
        <f t="shared" si="43"/>
        <v>1.758381818181818</v>
      </c>
    </row>
    <row r="61" spans="1:26" s="24" customFormat="1" hidden="1" outlineLevel="2" x14ac:dyDescent="0.25">
      <c r="A61" s="27"/>
      <c r="B61" s="11" t="str">
        <f>CONCATENATE("          ", "6279", " - ", "GENERAL EXPENSE")</f>
        <v xml:space="preserve">          6279 - GENERAL EXPENSE</v>
      </c>
      <c r="C61" s="11"/>
      <c r="D61" s="6"/>
      <c r="E61" s="2"/>
      <c r="F61" s="7">
        <f t="shared" si="36"/>
        <v>0</v>
      </c>
      <c r="G61" s="2"/>
      <c r="H61" s="6">
        <v>275</v>
      </c>
      <c r="I61" s="2"/>
      <c r="J61" s="7">
        <f t="shared" si="37"/>
        <v>3.4979711767175038E-3</v>
      </c>
      <c r="K61" s="2"/>
      <c r="L61" s="6">
        <f t="shared" si="38"/>
        <v>-275</v>
      </c>
      <c r="M61" s="2"/>
      <c r="N61" s="7">
        <f t="shared" si="39"/>
        <v>-1</v>
      </c>
      <c r="O61" s="11"/>
      <c r="P61" s="6">
        <v>1517.11</v>
      </c>
      <c r="Q61" s="2"/>
      <c r="R61" s="7">
        <f t="shared" si="40"/>
        <v>1.2066685676085076E-2</v>
      </c>
      <c r="S61" s="2"/>
      <c r="T61" s="6">
        <v>550</v>
      </c>
      <c r="U61" s="2"/>
      <c r="V61" s="7">
        <f t="shared" si="41"/>
        <v>6.9959423534350076E-3</v>
      </c>
      <c r="W61" s="2"/>
      <c r="X61" s="6">
        <f t="shared" si="42"/>
        <v>967.1099999999999</v>
      </c>
      <c r="Y61" s="2"/>
      <c r="Z61" s="7">
        <f t="shared" si="43"/>
        <v>1.758381818181818</v>
      </c>
    </row>
    <row r="62" spans="1:26" s="26" customFormat="1" outlineLevel="1" collapsed="1" x14ac:dyDescent="0.25">
      <c r="A62" s="25"/>
      <c r="B62" s="13" t="str">
        <f>CONCATENATE("     ","Insurance                                         ")</f>
        <v xml:space="preserve">     Insurance                                         </v>
      </c>
      <c r="C62" s="13"/>
      <c r="D62" s="1">
        <f>SUM(OSRRefD22_9x_0)</f>
        <v>5.9</v>
      </c>
      <c r="E62" s="1"/>
      <c r="F62" s="5">
        <f t="shared" si="36"/>
        <v>7.4636013445108574E-5</v>
      </c>
      <c r="G62" s="1"/>
      <c r="H62" s="1">
        <f>SUM(OSRRefH22_9x_0)</f>
        <v>5</v>
      </c>
      <c r="I62" s="1"/>
      <c r="J62" s="5">
        <f t="shared" si="37"/>
        <v>6.3599475940318256E-5</v>
      </c>
      <c r="K62" s="1"/>
      <c r="L62" s="1">
        <f t="shared" si="38"/>
        <v>0.90000000000000036</v>
      </c>
      <c r="M62" s="1"/>
      <c r="N62" s="5">
        <f t="shared" si="39"/>
        <v>0.18000000000000008</v>
      </c>
      <c r="O62" s="13"/>
      <c r="P62" s="1">
        <f>SUM(OSRRefP22_9x_0)</f>
        <v>11.8</v>
      </c>
      <c r="Q62" s="1"/>
      <c r="R62" s="5">
        <f t="shared" si="40"/>
        <v>9.3854032323169653E-5</v>
      </c>
      <c r="S62" s="1"/>
      <c r="T62" s="1">
        <f>SUM(OSRRefT22_9x_0)</f>
        <v>10</v>
      </c>
      <c r="U62" s="1"/>
      <c r="V62" s="5">
        <f t="shared" si="41"/>
        <v>1.2719895188063651E-4</v>
      </c>
      <c r="W62" s="1"/>
      <c r="X62" s="1">
        <f t="shared" si="42"/>
        <v>1.8000000000000007</v>
      </c>
      <c r="Y62" s="1"/>
      <c r="Z62" s="5">
        <f t="shared" si="43"/>
        <v>0.18000000000000008</v>
      </c>
    </row>
    <row r="63" spans="1:26" s="24" customFormat="1" hidden="1" outlineLevel="2" x14ac:dyDescent="0.25">
      <c r="A63" s="27"/>
      <c r="B63" s="11" t="str">
        <f>CONCATENATE("          ", "6314", " - ", "LIABILITY INSURANCE")</f>
        <v xml:space="preserve">          6314 - LIABILITY INSURANCE</v>
      </c>
      <c r="C63" s="11"/>
      <c r="D63" s="6">
        <v>5.9</v>
      </c>
      <c r="E63" s="2"/>
      <c r="F63" s="7">
        <f t="shared" si="36"/>
        <v>7.4636013445108574E-5</v>
      </c>
      <c r="G63" s="2"/>
      <c r="H63" s="6">
        <v>5</v>
      </c>
      <c r="I63" s="2"/>
      <c r="J63" s="7">
        <f t="shared" si="37"/>
        <v>6.3599475940318256E-5</v>
      </c>
      <c r="K63" s="2"/>
      <c r="L63" s="6">
        <f t="shared" si="38"/>
        <v>0.90000000000000036</v>
      </c>
      <c r="M63" s="2"/>
      <c r="N63" s="7">
        <f t="shared" si="39"/>
        <v>0.18000000000000008</v>
      </c>
      <c r="O63" s="11"/>
      <c r="P63" s="6">
        <v>11.8</v>
      </c>
      <c r="Q63" s="2"/>
      <c r="R63" s="7">
        <f t="shared" si="40"/>
        <v>9.3854032323169653E-5</v>
      </c>
      <c r="S63" s="2"/>
      <c r="T63" s="6">
        <v>10</v>
      </c>
      <c r="U63" s="2"/>
      <c r="V63" s="7">
        <f t="shared" si="41"/>
        <v>1.2719895188063651E-4</v>
      </c>
      <c r="W63" s="2"/>
      <c r="X63" s="6">
        <f t="shared" si="42"/>
        <v>1.8000000000000007</v>
      </c>
      <c r="Y63" s="2"/>
      <c r="Z63" s="7">
        <f t="shared" si="43"/>
        <v>0.18000000000000008</v>
      </c>
    </row>
    <row r="64" spans="1:26" s="26" customFormat="1" outlineLevel="1" collapsed="1" x14ac:dyDescent="0.25">
      <c r="A64" s="25"/>
      <c r="B64" s="13" t="str">
        <f>CONCATENATE("     ","R/H Commissions                                   ")</f>
        <v xml:space="preserve">     R/H Commissions                                   </v>
      </c>
      <c r="C64" s="13"/>
      <c r="D64" s="1">
        <f>SUM(OSRRefD22_10x_0)</f>
        <v>6259.91</v>
      </c>
      <c r="E64" s="1"/>
      <c r="F64" s="5">
        <f t="shared" si="36"/>
        <v>7.9188936766977885E-2</v>
      </c>
      <c r="G64" s="1"/>
      <c r="H64" s="1">
        <f>SUM(OSRRefH22_10x_0)</f>
        <v>6289</v>
      </c>
      <c r="I64" s="1"/>
      <c r="J64" s="5">
        <f t="shared" si="37"/>
        <v>7.9995420837732298E-2</v>
      </c>
      <c r="K64" s="1"/>
      <c r="L64" s="1">
        <f t="shared" si="38"/>
        <v>-29.090000000000146</v>
      </c>
      <c r="M64" s="1"/>
      <c r="N64" s="5">
        <f t="shared" si="39"/>
        <v>-4.6255366512959369E-3</v>
      </c>
      <c r="O64" s="13"/>
      <c r="P64" s="1">
        <f>SUM(OSRRefP22_10x_0)</f>
        <v>9941.2000000000007</v>
      </c>
      <c r="Q64" s="1"/>
      <c r="R64" s="5">
        <f t="shared" si="40"/>
        <v>7.9069636112804598E-2</v>
      </c>
      <c r="S64" s="1"/>
      <c r="T64" s="1">
        <f>SUM(OSRRefT22_10x_0)</f>
        <v>6289</v>
      </c>
      <c r="U64" s="1"/>
      <c r="V64" s="5">
        <f t="shared" si="41"/>
        <v>7.9995420837732298E-2</v>
      </c>
      <c r="W64" s="1"/>
      <c r="X64" s="1">
        <f t="shared" si="42"/>
        <v>3652.2000000000007</v>
      </c>
      <c r="Y64" s="1"/>
      <c r="Z64" s="5">
        <f t="shared" si="43"/>
        <v>0.58072825568452868</v>
      </c>
    </row>
    <row r="65" spans="1:26" s="24" customFormat="1" hidden="1" outlineLevel="2" x14ac:dyDescent="0.25">
      <c r="A65" s="27"/>
      <c r="B65" s="11" t="str">
        <f>CONCATENATE("          ", "6387", " - ", "COMMISSION DUE HOUSING")</f>
        <v xml:space="preserve">          6387 - COMMISSION DUE HOUSING</v>
      </c>
      <c r="C65" s="11"/>
      <c r="D65" s="6">
        <v>6259.91</v>
      </c>
      <c r="E65" s="2"/>
      <c r="F65" s="7">
        <f t="shared" si="36"/>
        <v>7.9188936766977885E-2</v>
      </c>
      <c r="G65" s="2"/>
      <c r="H65" s="6">
        <v>6289</v>
      </c>
      <c r="I65" s="2"/>
      <c r="J65" s="7">
        <f t="shared" si="37"/>
        <v>7.9995420837732298E-2</v>
      </c>
      <c r="K65" s="2"/>
      <c r="L65" s="6">
        <f t="shared" si="38"/>
        <v>-29.090000000000146</v>
      </c>
      <c r="M65" s="2"/>
      <c r="N65" s="7">
        <f t="shared" si="39"/>
        <v>-4.6255366512959369E-3</v>
      </c>
      <c r="O65" s="11"/>
      <c r="P65" s="6">
        <v>9941.2000000000007</v>
      </c>
      <c r="Q65" s="2"/>
      <c r="R65" s="7">
        <f t="shared" si="40"/>
        <v>7.9069636112804598E-2</v>
      </c>
      <c r="S65" s="2"/>
      <c r="T65" s="6">
        <v>6289</v>
      </c>
      <c r="U65" s="2"/>
      <c r="V65" s="7">
        <f t="shared" si="41"/>
        <v>7.9995420837732298E-2</v>
      </c>
      <c r="W65" s="2"/>
      <c r="X65" s="6">
        <f t="shared" si="42"/>
        <v>3652.2000000000007</v>
      </c>
      <c r="Y65" s="2"/>
      <c r="Z65" s="7">
        <f t="shared" si="43"/>
        <v>0.58072825568452868</v>
      </c>
    </row>
    <row r="66" spans="1:26" s="26" customFormat="1" outlineLevel="1" collapsed="1" x14ac:dyDescent="0.25">
      <c r="A66" s="25"/>
      <c r="B66" s="13" t="str">
        <f>CONCATENATE("     ","Repair and Maintenance                            ")</f>
        <v xml:space="preserve">     Repair and Maintenance                            </v>
      </c>
      <c r="C66" s="13"/>
      <c r="D66" s="1">
        <f>SUM(OSRRefD22_11x_0)</f>
        <v>0</v>
      </c>
      <c r="E66" s="1"/>
      <c r="F66" s="5">
        <f t="shared" si="36"/>
        <v>0</v>
      </c>
      <c r="G66" s="1"/>
      <c r="H66" s="1">
        <f>SUM(OSRRefH22_11x_0)</f>
        <v>497</v>
      </c>
      <c r="I66" s="1"/>
      <c r="J66" s="5">
        <f t="shared" si="37"/>
        <v>6.3217879084676342E-3</v>
      </c>
      <c r="K66" s="1"/>
      <c r="L66" s="1">
        <f t="shared" si="38"/>
        <v>-497</v>
      </c>
      <c r="M66" s="1"/>
      <c r="N66" s="5">
        <f t="shared" si="39"/>
        <v>-1</v>
      </c>
      <c r="O66" s="13"/>
      <c r="P66" s="1">
        <f>SUM(OSRRefP22_11x_0)</f>
        <v>0</v>
      </c>
      <c r="Q66" s="1"/>
      <c r="R66" s="5">
        <f t="shared" si="40"/>
        <v>0</v>
      </c>
      <c r="S66" s="1"/>
      <c r="T66" s="1">
        <f>SUM(OSRRefT22_11x_0)</f>
        <v>994</v>
      </c>
      <c r="U66" s="1"/>
      <c r="V66" s="5">
        <f t="shared" si="41"/>
        <v>1.2643575816935268E-2</v>
      </c>
      <c r="W66" s="1"/>
      <c r="X66" s="1">
        <f t="shared" si="42"/>
        <v>-994</v>
      </c>
      <c r="Y66" s="1"/>
      <c r="Z66" s="5">
        <f t="shared" si="43"/>
        <v>-1</v>
      </c>
    </row>
    <row r="67" spans="1:26" s="24" customFormat="1" hidden="1" outlineLevel="2" x14ac:dyDescent="0.25">
      <c r="A67" s="27"/>
      <c r="B67" s="11" t="str">
        <f>CONCATENATE("          ", "6371", " - ", "COMPUTER SOFTWARE MAINTENANCE")</f>
        <v xml:space="preserve">          6371 - COMPUTER SOFTWARE MAINTENANCE</v>
      </c>
      <c r="C67" s="11"/>
      <c r="D67" s="6"/>
      <c r="E67" s="2"/>
      <c r="F67" s="7">
        <f t="shared" si="36"/>
        <v>0</v>
      </c>
      <c r="G67" s="2"/>
      <c r="H67" s="6">
        <v>497</v>
      </c>
      <c r="I67" s="2"/>
      <c r="J67" s="7">
        <f t="shared" si="37"/>
        <v>6.3217879084676342E-3</v>
      </c>
      <c r="K67" s="2"/>
      <c r="L67" s="6">
        <f t="shared" si="38"/>
        <v>-497</v>
      </c>
      <c r="M67" s="2"/>
      <c r="N67" s="7">
        <f t="shared" si="39"/>
        <v>-1</v>
      </c>
      <c r="O67" s="11"/>
      <c r="P67" s="6"/>
      <c r="Q67" s="2"/>
      <c r="R67" s="7">
        <f t="shared" si="40"/>
        <v>0</v>
      </c>
      <c r="S67" s="2"/>
      <c r="T67" s="6">
        <v>994</v>
      </c>
      <c r="U67" s="2"/>
      <c r="V67" s="7">
        <f t="shared" si="41"/>
        <v>1.2643575816935268E-2</v>
      </c>
      <c r="W67" s="2"/>
      <c r="X67" s="6">
        <f t="shared" si="42"/>
        <v>-994</v>
      </c>
      <c r="Y67" s="2"/>
      <c r="Z67" s="7">
        <f t="shared" si="43"/>
        <v>-1</v>
      </c>
    </row>
    <row r="68" spans="1:26" s="26" customFormat="1" outlineLevel="1" collapsed="1" x14ac:dyDescent="0.25">
      <c r="A68" s="25"/>
      <c r="B68" s="13" t="str">
        <f>CONCATENATE("     ","Services                                          ")</f>
        <v xml:space="preserve">     Services                                          </v>
      </c>
      <c r="C68" s="13"/>
      <c r="D68" s="1">
        <f>SUM(OSRRefD22_12x_0)</f>
        <v>6240.07</v>
      </c>
      <c r="E68" s="1"/>
      <c r="F68" s="5">
        <f t="shared" si="36"/>
        <v>7.8937957359053998E-2</v>
      </c>
      <c r="G68" s="1"/>
      <c r="H68" s="1">
        <f>SUM(OSRRefH22_12x_0)</f>
        <v>6202</v>
      </c>
      <c r="I68" s="1"/>
      <c r="J68" s="5">
        <f t="shared" si="37"/>
        <v>7.8888789956370761E-2</v>
      </c>
      <c r="K68" s="1"/>
      <c r="L68" s="1">
        <f t="shared" si="38"/>
        <v>38.069999999999709</v>
      </c>
      <c r="M68" s="1"/>
      <c r="N68" s="5">
        <f t="shared" si="39"/>
        <v>6.1383424701708655E-3</v>
      </c>
      <c r="O68" s="13"/>
      <c r="P68" s="1">
        <f>SUM(OSRRefP22_12x_0)</f>
        <v>13208.210000000001</v>
      </c>
      <c r="Q68" s="1"/>
      <c r="R68" s="5">
        <f t="shared" si="40"/>
        <v>0.10505455663315362</v>
      </c>
      <c r="S68" s="1"/>
      <c r="T68" s="1">
        <f>SUM(OSRRefT22_12x_0)</f>
        <v>6952</v>
      </c>
      <c r="U68" s="1"/>
      <c r="V68" s="5">
        <f t="shared" si="41"/>
        <v>8.8428711347418504E-2</v>
      </c>
      <c r="W68" s="1"/>
      <c r="X68" s="1">
        <f t="shared" si="42"/>
        <v>6256.2100000000009</v>
      </c>
      <c r="Y68" s="1"/>
      <c r="Z68" s="5">
        <f t="shared" si="43"/>
        <v>0.8999151323360185</v>
      </c>
    </row>
    <row r="69" spans="1:26" s="24" customFormat="1" hidden="1" outlineLevel="2" x14ac:dyDescent="0.25">
      <c r="A69" s="27"/>
      <c r="B69" s="11" t="str">
        <f>CONCATENATE("          ", "6282", " - ", "JANITORIAL/EXTERMINATOR EXPENS")</f>
        <v xml:space="preserve">          6282 - JANITORIAL/EXTERMINATOR EXPENS</v>
      </c>
      <c r="C69" s="11"/>
      <c r="D69" s="6">
        <v>819.64</v>
      </c>
      <c r="E69" s="2"/>
      <c r="F69" s="7">
        <f t="shared" si="36"/>
        <v>1.0368586789855727E-2</v>
      </c>
      <c r="G69" s="2"/>
      <c r="H69" s="6">
        <v>750</v>
      </c>
      <c r="I69" s="2"/>
      <c r="J69" s="7">
        <f t="shared" si="37"/>
        <v>9.5399213910477374E-3</v>
      </c>
      <c r="K69" s="2"/>
      <c r="L69" s="6">
        <f t="shared" si="38"/>
        <v>69.639999999999986</v>
      </c>
      <c r="M69" s="2"/>
      <c r="N69" s="7">
        <f t="shared" si="39"/>
        <v>9.2853333333333316E-2</v>
      </c>
      <c r="O69" s="11"/>
      <c r="P69" s="6">
        <v>1489.28</v>
      </c>
      <c r="Q69" s="2"/>
      <c r="R69" s="7">
        <f t="shared" si="40"/>
        <v>1.1845333326970346E-2</v>
      </c>
      <c r="S69" s="2"/>
      <c r="T69" s="6">
        <v>1500</v>
      </c>
      <c r="U69" s="2"/>
      <c r="V69" s="7">
        <f t="shared" si="41"/>
        <v>1.9079842782095475E-2</v>
      </c>
      <c r="W69" s="2"/>
      <c r="X69" s="6">
        <f t="shared" si="42"/>
        <v>-10.720000000000027</v>
      </c>
      <c r="Y69" s="2"/>
      <c r="Z69" s="7">
        <f t="shared" si="43"/>
        <v>-7.1466666666666848E-3</v>
      </c>
    </row>
    <row r="70" spans="1:26" s="24" customFormat="1" hidden="1" outlineLevel="2" x14ac:dyDescent="0.25">
      <c r="A70" s="27"/>
      <c r="B70" s="11" t="str">
        <f>CONCATENATE("          ", "6285", " - ", "JANITORIAL SERVICES")</f>
        <v xml:space="preserve">          6285 - JANITORIAL SERVICES</v>
      </c>
      <c r="C70" s="11"/>
      <c r="D70" s="6">
        <v>3639.27</v>
      </c>
      <c r="E70" s="2"/>
      <c r="F70" s="7">
        <f t="shared" si="36"/>
        <v>4.6037390618708519E-2</v>
      </c>
      <c r="G70" s="2"/>
      <c r="H70" s="6">
        <v>3852</v>
      </c>
      <c r="I70" s="2"/>
      <c r="J70" s="7">
        <f t="shared" si="37"/>
        <v>4.899703626442118E-2</v>
      </c>
      <c r="K70" s="2"/>
      <c r="L70" s="6">
        <f t="shared" si="38"/>
        <v>-212.73000000000002</v>
      </c>
      <c r="M70" s="2"/>
      <c r="N70" s="7">
        <f t="shared" si="39"/>
        <v>-5.522585669781932E-2</v>
      </c>
      <c r="O70" s="11"/>
      <c r="P70" s="6">
        <v>8664.0400000000009</v>
      </c>
      <c r="Q70" s="2"/>
      <c r="R70" s="7">
        <f t="shared" si="40"/>
        <v>6.891144832281651E-2</v>
      </c>
      <c r="S70" s="2"/>
      <c r="T70" s="6">
        <v>3852</v>
      </c>
      <c r="U70" s="2"/>
      <c r="V70" s="7">
        <f t="shared" si="41"/>
        <v>4.899703626442118E-2</v>
      </c>
      <c r="W70" s="2"/>
      <c r="X70" s="6">
        <f t="shared" si="42"/>
        <v>4812.0400000000009</v>
      </c>
      <c r="Y70" s="2"/>
      <c r="Z70" s="7">
        <f t="shared" si="43"/>
        <v>1.2492315680166151</v>
      </c>
    </row>
    <row r="71" spans="1:26" s="24" customFormat="1" hidden="1" outlineLevel="2" x14ac:dyDescent="0.25">
      <c r="A71" s="27"/>
      <c r="B71" s="11" t="str">
        <f>CONCATENATE("          ", "6286", " - ", "LAUNDRY EXPENSE")</f>
        <v xml:space="preserve">          6286 - LAUNDRY EXPENSE</v>
      </c>
      <c r="C71" s="11"/>
      <c r="D71" s="6">
        <v>1781.16</v>
      </c>
      <c r="E71" s="2"/>
      <c r="F71" s="7">
        <f t="shared" si="36"/>
        <v>2.253197995048976E-2</v>
      </c>
      <c r="G71" s="2"/>
      <c r="H71" s="6">
        <v>1600</v>
      </c>
      <c r="I71" s="2"/>
      <c r="J71" s="7">
        <f t="shared" si="37"/>
        <v>2.0351832300901842E-2</v>
      </c>
      <c r="K71" s="2"/>
      <c r="L71" s="6">
        <f t="shared" si="38"/>
        <v>181.16000000000008</v>
      </c>
      <c r="M71" s="2"/>
      <c r="N71" s="7">
        <f t="shared" si="39"/>
        <v>0.11322500000000005</v>
      </c>
      <c r="O71" s="11"/>
      <c r="P71" s="6">
        <v>3054.89</v>
      </c>
      <c r="Q71" s="2"/>
      <c r="R71" s="7">
        <f t="shared" si="40"/>
        <v>2.4297774983366757E-2</v>
      </c>
      <c r="S71" s="2"/>
      <c r="T71" s="6">
        <v>1600</v>
      </c>
      <c r="U71" s="2"/>
      <c r="V71" s="7">
        <f t="shared" si="41"/>
        <v>2.0351832300901842E-2</v>
      </c>
      <c r="W71" s="2"/>
      <c r="X71" s="6">
        <f t="shared" si="42"/>
        <v>1454.8899999999999</v>
      </c>
      <c r="Y71" s="2"/>
      <c r="Z71" s="7">
        <f t="shared" si="43"/>
        <v>0.90930624999999987</v>
      </c>
    </row>
    <row r="72" spans="1:26" s="26" customFormat="1" outlineLevel="1" collapsed="1" x14ac:dyDescent="0.25">
      <c r="A72" s="25"/>
      <c r="B72" s="13" t="str">
        <f>CONCATENATE("     ","Supplies                                          ")</f>
        <v xml:space="preserve">     Supplies                                          </v>
      </c>
      <c r="C72" s="13"/>
      <c r="D72" s="1">
        <f>SUM(OSRRefD22_13x_0)</f>
        <v>6107.07</v>
      </c>
      <c r="E72" s="1"/>
      <c r="F72" s="5">
        <f t="shared" ref="F72:F78" si="44">IF(D$12=0,0,D72/D$12)</f>
        <v>7.725548451359647E-2</v>
      </c>
      <c r="G72" s="1"/>
      <c r="H72" s="1">
        <f>SUM(OSRRefH22_13x_0)</f>
        <v>5088</v>
      </c>
      <c r="I72" s="1"/>
      <c r="J72" s="5">
        <f t="shared" ref="J72:J78" si="45">IF(H$12=0,0,H72/H$12)</f>
        <v>6.471882671686785E-2</v>
      </c>
      <c r="K72" s="1"/>
      <c r="L72" s="1">
        <f t="shared" ref="L72:L78" si="46">+D72-H72</f>
        <v>1019.0699999999997</v>
      </c>
      <c r="M72" s="1"/>
      <c r="N72" s="5">
        <f t="shared" ref="N72:N78" si="47">IF(H72=0,0,L72/H72)</f>
        <v>0.20028891509433958</v>
      </c>
      <c r="O72" s="13"/>
      <c r="P72" s="1">
        <f>SUM(OSRRefP22_13x_0)</f>
        <v>18195.23</v>
      </c>
      <c r="Q72" s="1"/>
      <c r="R72" s="5">
        <f t="shared" ref="R72:R78" si="48">IF(P$12=0,0,P72/P$12)</f>
        <v>0.14471997496165306</v>
      </c>
      <c r="S72" s="1"/>
      <c r="T72" s="1">
        <f>SUM(OSRRefT22_13x_0)</f>
        <v>8588</v>
      </c>
      <c r="U72" s="1"/>
      <c r="V72" s="5">
        <f t="shared" ref="V72:V78" si="49">IF(T$12=0,0,T72/T$12)</f>
        <v>0.10923845987509063</v>
      </c>
      <c r="W72" s="1"/>
      <c r="X72" s="1">
        <f t="shared" ref="X72:X78" si="50">+P72-T72</f>
        <v>9607.23</v>
      </c>
      <c r="Y72" s="1"/>
      <c r="Z72" s="5">
        <f t="shared" ref="Z72:Z78" si="51">IF(T72=0,0,X72/T72)</f>
        <v>1.1186807172799254</v>
      </c>
    </row>
    <row r="73" spans="1:26" s="24" customFormat="1" hidden="1" outlineLevel="2" x14ac:dyDescent="0.25">
      <c r="A73" s="27"/>
      <c r="B73" s="11" t="str">
        <f>CONCATENATE("          ", "6237", " - ", "JANITORIAL SUPPLIES")</f>
        <v xml:space="preserve">          6237 - JANITORIAL SUPPLIES</v>
      </c>
      <c r="C73" s="11"/>
      <c r="D73" s="6">
        <v>2731.7</v>
      </c>
      <c r="E73" s="2"/>
      <c r="F73" s="7">
        <f t="shared" si="44"/>
        <v>3.4556474225085267E-2</v>
      </c>
      <c r="G73" s="2"/>
      <c r="H73" s="6">
        <v>2005</v>
      </c>
      <c r="I73" s="2"/>
      <c r="J73" s="7">
        <f t="shared" si="45"/>
        <v>2.5503389852067619E-2</v>
      </c>
      <c r="K73" s="2"/>
      <c r="L73" s="6">
        <f t="shared" si="46"/>
        <v>726.69999999999982</v>
      </c>
      <c r="M73" s="2"/>
      <c r="N73" s="7">
        <f t="shared" si="47"/>
        <v>0.36244389027431412</v>
      </c>
      <c r="O73" s="11"/>
      <c r="P73" s="6">
        <v>2731.7</v>
      </c>
      <c r="Q73" s="2"/>
      <c r="R73" s="7">
        <f t="shared" si="48"/>
        <v>2.1727208482813773E-2</v>
      </c>
      <c r="S73" s="2"/>
      <c r="T73" s="6">
        <v>2005</v>
      </c>
      <c r="U73" s="2"/>
      <c r="V73" s="7">
        <f t="shared" si="49"/>
        <v>2.5503389852067619E-2</v>
      </c>
      <c r="W73" s="2"/>
      <c r="X73" s="6">
        <f t="shared" si="50"/>
        <v>726.69999999999982</v>
      </c>
      <c r="Y73" s="2"/>
      <c r="Z73" s="7">
        <f t="shared" si="51"/>
        <v>0.36244389027431412</v>
      </c>
    </row>
    <row r="74" spans="1:26" s="24" customFormat="1" hidden="1" outlineLevel="2" x14ac:dyDescent="0.25">
      <c r="A74" s="27"/>
      <c r="B74" s="11" t="str">
        <f>CONCATENATE("          ", "6239", " - ", "KITCHEN SUPPLIES")</f>
        <v xml:space="preserve">          6239 - KITCHEN SUPPLIES</v>
      </c>
      <c r="C74" s="11"/>
      <c r="D74" s="6">
        <v>1261.48</v>
      </c>
      <c r="E74" s="2"/>
      <c r="F74" s="7">
        <f t="shared" si="44"/>
        <v>1.5957938684870433E-2</v>
      </c>
      <c r="G74" s="2"/>
      <c r="H74" s="6">
        <v>750</v>
      </c>
      <c r="I74" s="2"/>
      <c r="J74" s="7">
        <f t="shared" si="45"/>
        <v>9.5399213910477374E-3</v>
      </c>
      <c r="K74" s="2"/>
      <c r="L74" s="6">
        <f t="shared" si="46"/>
        <v>511.48</v>
      </c>
      <c r="M74" s="2"/>
      <c r="N74" s="7">
        <f t="shared" si="47"/>
        <v>0.68197333333333332</v>
      </c>
      <c r="O74" s="11"/>
      <c r="P74" s="6">
        <v>1739.72</v>
      </c>
      <c r="Q74" s="2"/>
      <c r="R74" s="7">
        <f t="shared" si="48"/>
        <v>1.3837265857056332E-2</v>
      </c>
      <c r="S74" s="2"/>
      <c r="T74" s="6">
        <v>750</v>
      </c>
      <c r="U74" s="2"/>
      <c r="V74" s="7">
        <f t="shared" si="49"/>
        <v>9.5399213910477374E-3</v>
      </c>
      <c r="W74" s="2"/>
      <c r="X74" s="6">
        <f t="shared" si="50"/>
        <v>989.72</v>
      </c>
      <c r="Y74" s="2"/>
      <c r="Z74" s="7">
        <f t="shared" si="51"/>
        <v>1.3196266666666667</v>
      </c>
    </row>
    <row r="75" spans="1:26" s="24" customFormat="1" hidden="1" outlineLevel="2" x14ac:dyDescent="0.25">
      <c r="A75" s="27"/>
      <c r="B75" s="11" t="str">
        <f>CONCATENATE("          ", "6241", " - ", "OFFICE EXPENSE")</f>
        <v xml:space="preserve">          6241 - OFFICE EXPENSE</v>
      </c>
      <c r="C75" s="11"/>
      <c r="D75" s="6"/>
      <c r="E75" s="2"/>
      <c r="F75" s="7">
        <f t="shared" si="44"/>
        <v>0</v>
      </c>
      <c r="G75" s="2"/>
      <c r="H75" s="6">
        <v>524</v>
      </c>
      <c r="I75" s="2"/>
      <c r="J75" s="7">
        <f t="shared" si="45"/>
        <v>6.6652250785453528E-3</v>
      </c>
      <c r="K75" s="2"/>
      <c r="L75" s="6">
        <f t="shared" si="46"/>
        <v>-524</v>
      </c>
      <c r="M75" s="2"/>
      <c r="N75" s="7">
        <f t="shared" si="47"/>
        <v>-1</v>
      </c>
      <c r="O75" s="11"/>
      <c r="P75" s="6">
        <v>19222.28</v>
      </c>
      <c r="Q75" s="2"/>
      <c r="R75" s="7">
        <f t="shared" si="48"/>
        <v>0.15288885495296758</v>
      </c>
      <c r="S75" s="2"/>
      <c r="T75" s="6">
        <v>524</v>
      </c>
      <c r="U75" s="2"/>
      <c r="V75" s="7">
        <f t="shared" si="49"/>
        <v>6.6652250785453528E-3</v>
      </c>
      <c r="W75" s="2"/>
      <c r="X75" s="6">
        <f t="shared" si="50"/>
        <v>18698.28</v>
      </c>
      <c r="Y75" s="2"/>
      <c r="Z75" s="7">
        <f t="shared" si="51"/>
        <v>35.683740458015265</v>
      </c>
    </row>
    <row r="76" spans="1:26" s="24" customFormat="1" hidden="1" outlineLevel="2" x14ac:dyDescent="0.25">
      <c r="A76" s="27"/>
      <c r="B76" s="11" t="str">
        <f>CONCATENATE("          ", "6243", " - ", "PAPER SUPPLIES")</f>
        <v xml:space="preserve">          6243 - PAPER SUPPLIES</v>
      </c>
      <c r="C76" s="11"/>
      <c r="D76" s="6">
        <v>1672.89</v>
      </c>
      <c r="E76" s="2"/>
      <c r="F76" s="7">
        <f t="shared" si="44"/>
        <v>2.1162345852913166E-2</v>
      </c>
      <c r="G76" s="2"/>
      <c r="H76" s="6">
        <v>1809</v>
      </c>
      <c r="I76" s="2"/>
      <c r="J76" s="7">
        <f t="shared" si="45"/>
        <v>2.3010290395207144E-2</v>
      </c>
      <c r="K76" s="2"/>
      <c r="L76" s="6">
        <f t="shared" si="46"/>
        <v>-136.1099999999999</v>
      </c>
      <c r="M76" s="2"/>
      <c r="N76" s="7">
        <f t="shared" si="47"/>
        <v>-7.5240464344941901E-2</v>
      </c>
      <c r="O76" s="11"/>
      <c r="P76" s="6">
        <v>2120.15</v>
      </c>
      <c r="Q76" s="2"/>
      <c r="R76" s="7">
        <f t="shared" si="48"/>
        <v>1.6863103951692215E-2</v>
      </c>
      <c r="S76" s="2"/>
      <c r="T76" s="6">
        <v>1809</v>
      </c>
      <c r="U76" s="2"/>
      <c r="V76" s="7">
        <f t="shared" si="49"/>
        <v>2.3010290395207144E-2</v>
      </c>
      <c r="W76" s="2"/>
      <c r="X76" s="6">
        <f t="shared" si="50"/>
        <v>311.15000000000009</v>
      </c>
      <c r="Y76" s="2"/>
      <c r="Z76" s="7">
        <f t="shared" si="51"/>
        <v>0.17200110558319517</v>
      </c>
    </row>
    <row r="77" spans="1:26" s="24" customFormat="1" hidden="1" outlineLevel="2" x14ac:dyDescent="0.25">
      <c r="A77" s="27"/>
      <c r="B77" s="11" t="str">
        <f>CONCATENATE("          ", "6245", " - ", "PRINTING")</f>
        <v xml:space="preserve">          6245 - PRINTING</v>
      </c>
      <c r="C77" s="11"/>
      <c r="D77" s="6">
        <v>441</v>
      </c>
      <c r="E77" s="2"/>
      <c r="F77" s="7">
        <f t="shared" si="44"/>
        <v>5.5787257507276065E-3</v>
      </c>
      <c r="G77" s="2"/>
      <c r="H77" s="6"/>
      <c r="I77" s="2"/>
      <c r="J77" s="7">
        <f t="shared" si="45"/>
        <v>0</v>
      </c>
      <c r="K77" s="2"/>
      <c r="L77" s="6">
        <f t="shared" si="46"/>
        <v>441</v>
      </c>
      <c r="M77" s="2"/>
      <c r="N77" s="7">
        <f t="shared" si="47"/>
        <v>0</v>
      </c>
      <c r="O77" s="11"/>
      <c r="P77" s="6">
        <v>441</v>
      </c>
      <c r="Q77" s="2"/>
      <c r="R77" s="7">
        <f t="shared" si="48"/>
        <v>3.5075956147896455E-3</v>
      </c>
      <c r="S77" s="2"/>
      <c r="T77" s="6"/>
      <c r="U77" s="2"/>
      <c r="V77" s="7">
        <f t="shared" si="49"/>
        <v>0</v>
      </c>
      <c r="W77" s="2"/>
      <c r="X77" s="6">
        <f t="shared" si="50"/>
        <v>441</v>
      </c>
      <c r="Y77" s="2"/>
      <c r="Z77" s="7">
        <f t="shared" si="51"/>
        <v>0</v>
      </c>
    </row>
    <row r="78" spans="1:26" s="24" customFormat="1" hidden="1" outlineLevel="2" x14ac:dyDescent="0.25">
      <c r="A78" s="27"/>
      <c r="B78" s="11" t="str">
        <f>CONCATENATE("          ", "6248", " - ", "UNIFORMS")</f>
        <v xml:space="preserve">          6248 - UNIFORMS</v>
      </c>
      <c r="C78" s="11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>
        <v>-8059.62</v>
      </c>
      <c r="Q78" s="2"/>
      <c r="R78" s="7">
        <f t="shared" si="48"/>
        <v>-6.4104053897666491E-2</v>
      </c>
      <c r="S78" s="2"/>
      <c r="T78" s="6">
        <v>3500</v>
      </c>
      <c r="U78" s="2"/>
      <c r="V78" s="7">
        <f t="shared" si="49"/>
        <v>4.4519633158222778E-2</v>
      </c>
      <c r="W78" s="2"/>
      <c r="X78" s="6">
        <f t="shared" si="50"/>
        <v>-11559.619999999999</v>
      </c>
      <c r="Y78" s="2"/>
      <c r="Z78" s="7">
        <f t="shared" si="51"/>
        <v>-3.3027485714285709</v>
      </c>
    </row>
    <row r="79" spans="1:26" s="26" customFormat="1" outlineLevel="1" collapsed="1" x14ac:dyDescent="0.25">
      <c r="A79" s="25"/>
      <c r="B79" s="13" t="str">
        <f>CONCATENATE("     ","Telephone/Data Lines                              ")</f>
        <v xml:space="preserve">     Telephone/Data Lines                              </v>
      </c>
      <c r="C79" s="13"/>
      <c r="D79" s="1">
        <f>SUM(OSRRefD22_14x_0)</f>
        <v>131.9</v>
      </c>
      <c r="E79" s="1"/>
      <c r="F79" s="5">
        <f t="shared" ref="F79:F85" si="52">IF(D$12=0,0,D79/D$12)</f>
        <v>1.668557656510139E-3</v>
      </c>
      <c r="G79" s="1"/>
      <c r="H79" s="1">
        <f>SUM(OSRRefH22_14x_0)</f>
        <v>233</v>
      </c>
      <c r="I79" s="1"/>
      <c r="J79" s="5">
        <f t="shared" ref="J79:J85" si="53">IF(H$12=0,0,H79/H$12)</f>
        <v>2.9637355788188304E-3</v>
      </c>
      <c r="K79" s="1"/>
      <c r="L79" s="1">
        <f t="shared" ref="L79:L85" si="54">+D79-H79</f>
        <v>-101.1</v>
      </c>
      <c r="M79" s="1"/>
      <c r="N79" s="5">
        <f t="shared" ref="N79:N85" si="55">IF(H79=0,0,L79/H79)</f>
        <v>-0.43390557939914159</v>
      </c>
      <c r="O79" s="13"/>
      <c r="P79" s="1">
        <f>SUM(OSRRefP22_14x_0)</f>
        <v>161.9</v>
      </c>
      <c r="Q79" s="1"/>
      <c r="R79" s="5">
        <f t="shared" ref="R79:R85" si="56">IF(P$12=0,0,P79/P$12)</f>
        <v>1.2877091384000988E-3</v>
      </c>
      <c r="S79" s="1"/>
      <c r="T79" s="1">
        <f>SUM(OSRRefT22_14x_0)</f>
        <v>466</v>
      </c>
      <c r="U79" s="1"/>
      <c r="V79" s="5">
        <f t="shared" ref="V79:V85" si="57">IF(T$12=0,0,T79/T$12)</f>
        <v>5.9274711576376609E-3</v>
      </c>
      <c r="W79" s="1"/>
      <c r="X79" s="1">
        <f t="shared" ref="X79:X85" si="58">+P79-T79</f>
        <v>-304.10000000000002</v>
      </c>
      <c r="Y79" s="1"/>
      <c r="Z79" s="5">
        <f t="shared" ref="Z79:Z85" si="59">IF(T79=0,0,X79/T79)</f>
        <v>-0.65257510729613744</v>
      </c>
    </row>
    <row r="80" spans="1:26" s="24" customFormat="1" hidden="1" outlineLevel="2" x14ac:dyDescent="0.25">
      <c r="A80" s="27"/>
      <c r="B80" s="11" t="str">
        <f>CONCATENATE("          ", "6309", " - ", "TELEPHONE")</f>
        <v xml:space="preserve">          6309 - TELEPHONE</v>
      </c>
      <c r="C80" s="11"/>
      <c r="D80" s="6">
        <v>131.9</v>
      </c>
      <c r="E80" s="2"/>
      <c r="F80" s="7">
        <f t="shared" si="52"/>
        <v>1.668557656510139E-3</v>
      </c>
      <c r="G80" s="2"/>
      <c r="H80" s="6">
        <v>233</v>
      </c>
      <c r="I80" s="2"/>
      <c r="J80" s="7">
        <f t="shared" si="53"/>
        <v>2.9637355788188304E-3</v>
      </c>
      <c r="K80" s="2"/>
      <c r="L80" s="6">
        <f t="shared" si="54"/>
        <v>-101.1</v>
      </c>
      <c r="M80" s="2"/>
      <c r="N80" s="7">
        <f t="shared" si="55"/>
        <v>-0.43390557939914159</v>
      </c>
      <c r="O80" s="11"/>
      <c r="P80" s="6">
        <v>161.9</v>
      </c>
      <c r="Q80" s="2"/>
      <c r="R80" s="7">
        <f t="shared" si="56"/>
        <v>1.2877091384000988E-3</v>
      </c>
      <c r="S80" s="2"/>
      <c r="T80" s="6">
        <v>466</v>
      </c>
      <c r="U80" s="2"/>
      <c r="V80" s="7">
        <f t="shared" si="57"/>
        <v>5.9274711576376609E-3</v>
      </c>
      <c r="W80" s="2"/>
      <c r="X80" s="6">
        <f t="shared" si="58"/>
        <v>-304.10000000000002</v>
      </c>
      <c r="Y80" s="2"/>
      <c r="Z80" s="7">
        <f t="shared" si="59"/>
        <v>-0.65257510729613744</v>
      </c>
    </row>
    <row r="81" spans="1:26" s="26" customFormat="1" outlineLevel="1" collapsed="1" x14ac:dyDescent="0.25">
      <c r="A81" s="25"/>
      <c r="B81" s="13" t="str">
        <f>CONCATENATE("     ","Training                                          ")</f>
        <v xml:space="preserve">     Training                                          </v>
      </c>
      <c r="C81" s="13"/>
      <c r="D81" s="1">
        <f>SUM(OSRRefD22_15x_0)</f>
        <v>60.73</v>
      </c>
      <c r="E81" s="1"/>
      <c r="F81" s="5">
        <f t="shared" si="52"/>
        <v>7.6824493161380385E-4</v>
      </c>
      <c r="G81" s="1"/>
      <c r="H81" s="1">
        <f>SUM(OSRRefH22_15x_0)</f>
        <v>1379</v>
      </c>
      <c r="I81" s="1"/>
      <c r="J81" s="5">
        <f t="shared" si="53"/>
        <v>1.7540735464339773E-2</v>
      </c>
      <c r="K81" s="1"/>
      <c r="L81" s="1">
        <f t="shared" si="54"/>
        <v>-1318.27</v>
      </c>
      <c r="M81" s="1"/>
      <c r="N81" s="5">
        <f t="shared" si="55"/>
        <v>-0.95596084118926761</v>
      </c>
      <c r="O81" s="13"/>
      <c r="P81" s="1">
        <f>SUM(OSRRefP22_15x_0)</f>
        <v>1107.78</v>
      </c>
      <c r="Q81" s="1"/>
      <c r="R81" s="5">
        <f t="shared" si="56"/>
        <v>8.8109847395729558E-3</v>
      </c>
      <c r="S81" s="1"/>
      <c r="T81" s="1">
        <f>SUM(OSRRefT22_15x_0)</f>
        <v>2758</v>
      </c>
      <c r="U81" s="1"/>
      <c r="V81" s="5">
        <f t="shared" si="57"/>
        <v>3.5081470928679546E-2</v>
      </c>
      <c r="W81" s="1"/>
      <c r="X81" s="1">
        <f t="shared" si="58"/>
        <v>-1650.22</v>
      </c>
      <c r="Y81" s="1"/>
      <c r="Z81" s="5">
        <f t="shared" si="59"/>
        <v>-0.59833937635968093</v>
      </c>
    </row>
    <row r="82" spans="1:26" s="24" customFormat="1" hidden="1" outlineLevel="2" x14ac:dyDescent="0.25">
      <c r="A82" s="27"/>
      <c r="B82" s="11" t="str">
        <f>CONCATENATE("          ", "6376", " - ", "TRAINING")</f>
        <v xml:space="preserve">          6376 - TRAINING</v>
      </c>
      <c r="C82" s="11"/>
      <c r="D82" s="6">
        <v>60.73</v>
      </c>
      <c r="E82" s="2"/>
      <c r="F82" s="7">
        <f t="shared" si="52"/>
        <v>7.6824493161380385E-4</v>
      </c>
      <c r="G82" s="2"/>
      <c r="H82" s="6">
        <v>1379</v>
      </c>
      <c r="I82" s="2"/>
      <c r="J82" s="7">
        <f t="shared" si="53"/>
        <v>1.7540735464339773E-2</v>
      </c>
      <c r="K82" s="2"/>
      <c r="L82" s="6">
        <f t="shared" si="54"/>
        <v>-1318.27</v>
      </c>
      <c r="M82" s="2"/>
      <c r="N82" s="7">
        <f t="shared" si="55"/>
        <v>-0.95596084118926761</v>
      </c>
      <c r="O82" s="11"/>
      <c r="P82" s="6">
        <v>1107.78</v>
      </c>
      <c r="Q82" s="2"/>
      <c r="R82" s="7">
        <f t="shared" si="56"/>
        <v>8.8109847395729558E-3</v>
      </c>
      <c r="S82" s="2"/>
      <c r="T82" s="6">
        <v>2758</v>
      </c>
      <c r="U82" s="2"/>
      <c r="V82" s="7">
        <f t="shared" si="57"/>
        <v>3.5081470928679546E-2</v>
      </c>
      <c r="W82" s="2"/>
      <c r="X82" s="6">
        <f t="shared" si="58"/>
        <v>-1650.22</v>
      </c>
      <c r="Y82" s="2"/>
      <c r="Z82" s="7">
        <f t="shared" si="59"/>
        <v>-0.59833937635968093</v>
      </c>
    </row>
    <row r="83" spans="1:26" s="26" customFormat="1" outlineLevel="1" collapsed="1" x14ac:dyDescent="0.25">
      <c r="A83" s="25"/>
      <c r="B83" s="13" t="str">
        <f>CONCATENATE("     ","Travel                                            ")</f>
        <v xml:space="preserve">     Travel                                            </v>
      </c>
      <c r="C83" s="13"/>
      <c r="D83" s="1">
        <f>SUM(OSRRefD22_16x_0)</f>
        <v>0</v>
      </c>
      <c r="E83" s="1"/>
      <c r="F83" s="5">
        <f t="shared" si="52"/>
        <v>0</v>
      </c>
      <c r="G83" s="1"/>
      <c r="H83" s="1">
        <f>SUM(OSRRefH22_16x_0)</f>
        <v>50</v>
      </c>
      <c r="I83" s="1"/>
      <c r="J83" s="5">
        <f t="shared" si="53"/>
        <v>6.3599475940318256E-4</v>
      </c>
      <c r="K83" s="1"/>
      <c r="L83" s="1">
        <f t="shared" si="54"/>
        <v>-50</v>
      </c>
      <c r="M83" s="1"/>
      <c r="N83" s="5">
        <f t="shared" si="55"/>
        <v>-1</v>
      </c>
      <c r="O83" s="13"/>
      <c r="P83" s="1">
        <f>SUM(OSRRefP22_16x_0)</f>
        <v>79.510000000000005</v>
      </c>
      <c r="Q83" s="1"/>
      <c r="R83" s="5">
        <f t="shared" si="56"/>
        <v>6.3240119576400168E-4</v>
      </c>
      <c r="S83" s="1"/>
      <c r="T83" s="1">
        <f>SUM(OSRRefT22_16x_0)</f>
        <v>100</v>
      </c>
      <c r="U83" s="1"/>
      <c r="V83" s="5">
        <f t="shared" si="57"/>
        <v>1.2719895188063651E-3</v>
      </c>
      <c r="W83" s="1"/>
      <c r="X83" s="1">
        <f t="shared" si="58"/>
        <v>-20.489999999999995</v>
      </c>
      <c r="Y83" s="1"/>
      <c r="Z83" s="5">
        <f t="shared" si="59"/>
        <v>-0.20489999999999994</v>
      </c>
    </row>
    <row r="84" spans="1:26" s="24" customFormat="1" hidden="1" outlineLevel="2" x14ac:dyDescent="0.25">
      <c r="A84" s="27"/>
      <c r="B84" s="11" t="str">
        <f>CONCATENATE("          ", "6292", " - ", "TRAVEL/CONFERENCE")</f>
        <v xml:space="preserve">          6292 - TRAVEL/CONFERENCE</v>
      </c>
      <c r="C84" s="11"/>
      <c r="D84" s="6"/>
      <c r="E84" s="2"/>
      <c r="F84" s="7">
        <f t="shared" si="52"/>
        <v>0</v>
      </c>
      <c r="G84" s="2"/>
      <c r="H84" s="6"/>
      <c r="I84" s="2"/>
      <c r="J84" s="7">
        <f t="shared" si="53"/>
        <v>0</v>
      </c>
      <c r="K84" s="2"/>
      <c r="L84" s="6">
        <f t="shared" si="54"/>
        <v>0</v>
      </c>
      <c r="M84" s="2"/>
      <c r="N84" s="7">
        <f t="shared" si="55"/>
        <v>0</v>
      </c>
      <c r="O84" s="11"/>
      <c r="P84" s="6">
        <v>79.510000000000005</v>
      </c>
      <c r="Q84" s="2"/>
      <c r="R84" s="7">
        <f t="shared" si="56"/>
        <v>6.3240119576400168E-4</v>
      </c>
      <c r="S84" s="2"/>
      <c r="T84" s="6"/>
      <c r="U84" s="2"/>
      <c r="V84" s="7">
        <f t="shared" si="57"/>
        <v>0</v>
      </c>
      <c r="W84" s="2"/>
      <c r="X84" s="6">
        <f t="shared" si="58"/>
        <v>79.510000000000005</v>
      </c>
      <c r="Y84" s="2"/>
      <c r="Z84" s="7">
        <f t="shared" si="59"/>
        <v>0</v>
      </c>
    </row>
    <row r="85" spans="1:26" s="24" customFormat="1" hidden="1" outlineLevel="2" x14ac:dyDescent="0.25">
      <c r="A85" s="27"/>
      <c r="B85" s="11" t="str">
        <f>CONCATENATE("          ", "6298", " - ", "VEHICLE MILEAGE")</f>
        <v xml:space="preserve">          6298 - VEHICLE MILEAGE</v>
      </c>
      <c r="C85" s="11"/>
      <c r="D85" s="6"/>
      <c r="E85" s="2"/>
      <c r="F85" s="7">
        <f t="shared" si="52"/>
        <v>0</v>
      </c>
      <c r="G85" s="2"/>
      <c r="H85" s="6">
        <v>50</v>
      </c>
      <c r="I85" s="2"/>
      <c r="J85" s="7">
        <f t="shared" si="53"/>
        <v>6.3599475940318256E-4</v>
      </c>
      <c r="K85" s="2"/>
      <c r="L85" s="6">
        <f t="shared" si="54"/>
        <v>-50</v>
      </c>
      <c r="M85" s="2"/>
      <c r="N85" s="7">
        <f t="shared" si="55"/>
        <v>-1</v>
      </c>
      <c r="O85" s="11"/>
      <c r="P85" s="6"/>
      <c r="Q85" s="2"/>
      <c r="R85" s="7">
        <f t="shared" si="56"/>
        <v>0</v>
      </c>
      <c r="S85" s="2"/>
      <c r="T85" s="6">
        <v>100</v>
      </c>
      <c r="U85" s="2"/>
      <c r="V85" s="7">
        <f t="shared" si="57"/>
        <v>1.2719895188063651E-3</v>
      </c>
      <c r="W85" s="2"/>
      <c r="X85" s="6">
        <f t="shared" si="58"/>
        <v>-100</v>
      </c>
      <c r="Y85" s="2"/>
      <c r="Z85" s="7">
        <f t="shared" si="59"/>
        <v>-1</v>
      </c>
    </row>
    <row r="86" spans="1:26" s="63" customFormat="1" x14ac:dyDescent="0.25">
      <c r="A86" s="36"/>
      <c r="B86" s="36"/>
      <c r="C86" s="36"/>
      <c r="D86" s="1"/>
      <c r="E86" s="1"/>
      <c r="F86" s="5"/>
      <c r="G86" s="1"/>
      <c r="H86" s="1"/>
      <c r="I86" s="1"/>
      <c r="J86" s="5"/>
      <c r="K86" s="1"/>
      <c r="L86" s="1"/>
      <c r="M86" s="1"/>
      <c r="N86" s="5"/>
      <c r="O86" s="36"/>
      <c r="P86" s="1"/>
      <c r="Q86" s="1"/>
      <c r="R86" s="5"/>
      <c r="S86" s="1"/>
      <c r="T86" s="1"/>
      <c r="U86" s="1"/>
      <c r="V86" s="5"/>
      <c r="W86" s="1"/>
      <c r="X86" s="1"/>
      <c r="Y86" s="1"/>
      <c r="Z86" s="5"/>
    </row>
    <row r="87" spans="1:26" s="23" customFormat="1" x14ac:dyDescent="0.25">
      <c r="A87" s="10"/>
      <c r="B87" s="28" t="s">
        <v>0</v>
      </c>
      <c r="C87" s="10"/>
      <c r="D87" s="4">
        <f>SUM(0)</f>
        <v>0</v>
      </c>
      <c r="E87" s="4"/>
      <c r="F87" s="12">
        <f>IF(D$12=0,0,D87/D$12)</f>
        <v>0</v>
      </c>
      <c r="G87" s="4"/>
      <c r="H87" s="4">
        <f>SUM(0)</f>
        <v>0</v>
      </c>
      <c r="I87" s="4"/>
      <c r="J87" s="12">
        <f>IF(H$12=0,0,H87/H$12)</f>
        <v>0</v>
      </c>
      <c r="K87" s="4"/>
      <c r="L87" s="4">
        <f>+D87-H87</f>
        <v>0</v>
      </c>
      <c r="M87" s="4"/>
      <c r="N87" s="12">
        <f>IF(H87=0,0,L87/H87)</f>
        <v>0</v>
      </c>
      <c r="O87" s="10"/>
      <c r="P87" s="4">
        <f>SUM(0)</f>
        <v>0</v>
      </c>
      <c r="Q87" s="4"/>
      <c r="R87" s="12">
        <f>IF(P$12=0,0,P87/P$12)</f>
        <v>0</v>
      </c>
      <c r="S87" s="4"/>
      <c r="T87" s="4">
        <f>SUM(0)</f>
        <v>0</v>
      </c>
      <c r="U87" s="4"/>
      <c r="V87" s="12">
        <f>IF(T$12=0,0,T87/T$12)</f>
        <v>0</v>
      </c>
      <c r="W87" s="4"/>
      <c r="X87" s="4">
        <f>+P87-T87</f>
        <v>0</v>
      </c>
      <c r="Y87" s="4"/>
      <c r="Z87" s="12">
        <f>IF(T87=0,0,X87/T87)</f>
        <v>0</v>
      </c>
    </row>
    <row r="88" spans="1:26" x14ac:dyDescent="0.25">
      <c r="A88" s="9"/>
      <c r="B88" s="10"/>
      <c r="C88" s="10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O88" s="10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10"/>
      <c r="B89" s="29" t="s">
        <v>3</v>
      </c>
      <c r="C89" s="29"/>
      <c r="D89" s="22">
        <f>+D22-D24+D87</f>
        <v>-49705.069999999978</v>
      </c>
      <c r="E89" s="14"/>
      <c r="F89" s="20">
        <f>IF(D$12=0,0,D89/D$12)</f>
        <v>-0.62877767335763746</v>
      </c>
      <c r="G89" s="14"/>
      <c r="H89" s="22">
        <f>+H22-H24+H87</f>
        <v>-24093.766247352294</v>
      </c>
      <c r="I89" s="14"/>
      <c r="J89" s="20">
        <f>IF(H$12=0,0,H89/H$12)</f>
        <v>-0.30647018135202686</v>
      </c>
      <c r="K89" s="15"/>
      <c r="L89" s="22">
        <f>+D89-H89</f>
        <v>-25611.303752647684</v>
      </c>
      <c r="M89" s="15"/>
      <c r="N89" s="20">
        <f>IF(H89=0,0,L89/H89)</f>
        <v>1.0629846529478202</v>
      </c>
      <c r="O89" s="28"/>
      <c r="P89" s="22">
        <f>+P22-P24+P87</f>
        <v>-99722.399999999965</v>
      </c>
      <c r="Q89" s="14"/>
      <c r="R89" s="20">
        <f>IF(P$12=0,0,P89/P$12)</f>
        <v>-0.79316519940203811</v>
      </c>
      <c r="S89" s="14"/>
      <c r="T89" s="22">
        <f>+T22-T24+T87</f>
        <v>-72397.912697474589</v>
      </c>
      <c r="U89" s="14"/>
      <c r="V89" s="20">
        <f>IF(T$12=0,0,T89/T$12)</f>
        <v>-0.92089386134645923</v>
      </c>
      <c r="W89" s="15"/>
      <c r="X89" s="22">
        <f>+P89-T89</f>
        <v>-27324.487302525376</v>
      </c>
      <c r="Y89" s="15"/>
      <c r="Z89" s="20">
        <f>IF(T89=0,0,X89/T89)</f>
        <v>0.37742092671517752</v>
      </c>
    </row>
    <row r="90" spans="1:26" x14ac:dyDescent="0.25">
      <c r="A90" s="9"/>
      <c r="B90" s="10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52"/>
      <c r="B91" s="10" t="s">
        <v>14</v>
      </c>
      <c r="C91" s="10"/>
      <c r="D91" s="4">
        <v>5970.36</v>
      </c>
      <c r="E91" s="4"/>
      <c r="F91" s="12">
        <f>IF(D$12=0,0,D91/D$12)</f>
        <v>7.5526079530870913E-2</v>
      </c>
      <c r="G91" s="4"/>
      <c r="H91" s="4">
        <v>12768</v>
      </c>
      <c r="I91" s="4"/>
      <c r="J91" s="12">
        <f>IF(H$12=0,0,H91/H$12)</f>
        <v>0.16240762176119669</v>
      </c>
      <c r="K91" s="4"/>
      <c r="L91" s="4">
        <f>+D91-H91</f>
        <v>-6797.64</v>
      </c>
      <c r="M91" s="4"/>
      <c r="N91" s="12">
        <f>IF(H91=0,0,L91/H91)</f>
        <v>-0.5323966165413534</v>
      </c>
      <c r="O91" s="10"/>
      <c r="P91" s="4">
        <v>15675.849999999999</v>
      </c>
      <c r="Q91" s="4"/>
      <c r="R91" s="12">
        <f>IF(P$12=0,0,P91/P$12)</f>
        <v>0.12468150276213211</v>
      </c>
      <c r="S91" s="4"/>
      <c r="T91" s="4">
        <v>12768</v>
      </c>
      <c r="U91" s="4"/>
      <c r="V91" s="12">
        <f>IF(T$12=0,0,T91/T$12)</f>
        <v>0.16240762176119669</v>
      </c>
      <c r="W91" s="4"/>
      <c r="X91" s="4">
        <f>+P91-T91</f>
        <v>2907.8499999999985</v>
      </c>
      <c r="Y91" s="4"/>
      <c r="Z91" s="12">
        <f>IF(T91=0,0,X91/T91)</f>
        <v>0.22774514411027558</v>
      </c>
    </row>
    <row r="92" spans="1:26" x14ac:dyDescent="0.25">
      <c r="A92" s="9"/>
      <c r="B92" s="10"/>
      <c r="C92" s="10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O92" s="10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9" t="s">
        <v>4</v>
      </c>
      <c r="C93" s="29"/>
      <c r="D93" s="31">
        <f>+D89-D91</f>
        <v>-55675.429999999978</v>
      </c>
      <c r="E93" s="14"/>
      <c r="F93" s="32">
        <f>IF(D$12=0,0,D93/D$12)</f>
        <v>-0.70430375288850833</v>
      </c>
      <c r="G93" s="14"/>
      <c r="H93" s="31">
        <f>+H89-H91</f>
        <v>-36861.766247352294</v>
      </c>
      <c r="I93" s="14"/>
      <c r="J93" s="32">
        <f>IF(H$12=0,0,H93/H$12)</f>
        <v>-0.46887780311322352</v>
      </c>
      <c r="K93" s="15"/>
      <c r="L93" s="31">
        <f>D93-H93</f>
        <v>-18813.663752647684</v>
      </c>
      <c r="M93" s="15"/>
      <c r="N93" s="32">
        <f>IF(H93=0,0,L93/H93)</f>
        <v>0.51038421833622882</v>
      </c>
      <c r="O93" s="28"/>
      <c r="P93" s="31">
        <f>+P89-P91</f>
        <v>-115398.24999999997</v>
      </c>
      <c r="Q93" s="14"/>
      <c r="R93" s="32">
        <f>IF(P$12=0,0,P93/P$12)</f>
        <v>-0.9178467021641703</v>
      </c>
      <c r="S93" s="14"/>
      <c r="T93" s="31">
        <f>+T89-T91</f>
        <v>-85165.912697474589</v>
      </c>
      <c r="U93" s="14"/>
      <c r="V93" s="32">
        <f>IF(T$12=0,0,T93/T$12)</f>
        <v>-1.0833014831076559</v>
      </c>
      <c r="W93" s="15"/>
      <c r="X93" s="31">
        <f>P93-T93</f>
        <v>-30232.337302525382</v>
      </c>
      <c r="Y93" s="15"/>
      <c r="Z93" s="32">
        <f>IF(T93=0,0,X93/T93)</f>
        <v>0.35498166279173637</v>
      </c>
    </row>
    <row r="94" spans="1:26" ht="15.75" thickTop="1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9" t="s">
        <v>5</v>
      </c>
      <c r="C96" s="29"/>
      <c r="D96" s="33">
        <f>SUM(D93:D95)</f>
        <v>-55675.429999999978</v>
      </c>
      <c r="E96" s="14"/>
      <c r="F96" s="35">
        <f>IF(D$12=0,0,D96/D$12)</f>
        <v>-0.70430375288850833</v>
      </c>
      <c r="G96" s="14"/>
      <c r="H96" s="33">
        <f>SUM(H93:H95)</f>
        <v>-36861.766247352294</v>
      </c>
      <c r="I96" s="14"/>
      <c r="J96" s="35">
        <f>IF(H$12=0,0,H96/H$12)</f>
        <v>-0.46887780311322352</v>
      </c>
      <c r="K96" s="15"/>
      <c r="L96" s="33">
        <f>+D96-H96</f>
        <v>-18813.663752647684</v>
      </c>
      <c r="M96" s="15"/>
      <c r="N96" s="35">
        <f>IF(H96=0,0,L96/H96)</f>
        <v>0.51038421833622882</v>
      </c>
      <c r="O96" s="28"/>
      <c r="P96" s="33">
        <f>SUM(P93:P95)</f>
        <v>-115398.24999999997</v>
      </c>
      <c r="Q96" s="14"/>
      <c r="R96" s="35">
        <f>IF(P$12=0,0,P96/P$12)</f>
        <v>-0.9178467021641703</v>
      </c>
      <c r="S96" s="14"/>
      <c r="T96" s="33">
        <f>SUM(T93:T95)</f>
        <v>-85165.912697474589</v>
      </c>
      <c r="U96" s="14"/>
      <c r="V96" s="35">
        <f>IF(T$12=0,0,T96/T$12)</f>
        <v>-1.0833014831076559</v>
      </c>
      <c r="W96" s="15"/>
      <c r="X96" s="33">
        <f>+P96-T96</f>
        <v>-30232.337302525382</v>
      </c>
      <c r="Y96" s="15"/>
      <c r="Z96" s="35">
        <f>IF(T96=0,0,X96/T96)</f>
        <v>0.35498166279173637</v>
      </c>
    </row>
    <row r="97" spans="1:24" ht="15.75" thickTop="1" x14ac:dyDescent="0.25">
      <c r="A97" s="9"/>
      <c r="C97" s="9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25">
      <c r="A98" s="9"/>
      <c r="B98" s="61">
        <v>43732.706594409719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25">
      <c r="A99" s="9"/>
      <c r="B99" s="62" t="s">
        <v>314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25">
      <c r="A100" s="9"/>
      <c r="B100" s="58"/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4" x14ac:dyDescent="0.25"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9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9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9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9" customWidth="1" outlineLevel="1"/>
  </cols>
  <sheetData>
    <row r="2" spans="1:26" x14ac:dyDescent="0.25">
      <c r="D2" s="55" t="s">
        <v>13</v>
      </c>
    </row>
    <row r="3" spans="1:26" x14ac:dyDescent="0.25">
      <c r="D3" s="55" t="s">
        <v>296</v>
      </c>
      <c r="E3" s="18"/>
      <c r="F3" s="50"/>
      <c r="G3" s="18"/>
      <c r="H3" s="18"/>
      <c r="I3" s="18"/>
      <c r="J3" s="37"/>
      <c r="K3" s="18"/>
      <c r="L3" s="18"/>
      <c r="M3" s="18"/>
      <c r="N3" s="50"/>
      <c r="O3" s="53"/>
      <c r="P3" s="18"/>
      <c r="Q3" s="18"/>
      <c r="R3" s="37"/>
      <c r="S3" s="18"/>
      <c r="T3" s="18"/>
      <c r="U3" s="18"/>
      <c r="V3" s="37"/>
      <c r="W3" s="18"/>
      <c r="X3" s="18"/>
      <c r="Y3" s="18"/>
      <c r="Z3" s="37"/>
    </row>
    <row r="4" spans="1:26" x14ac:dyDescent="0.25">
      <c r="D4" s="55" t="str">
        <f>CONCATENATE("Period ",RIGHT(202002,2),", ",2020)</f>
        <v>Period 02, 2020</v>
      </c>
      <c r="E4" s="18"/>
      <c r="F4" s="50"/>
      <c r="G4" s="18"/>
      <c r="H4" s="18"/>
      <c r="I4" s="18"/>
      <c r="J4" s="37"/>
      <c r="K4" s="18"/>
      <c r="L4" s="18"/>
      <c r="M4" s="18"/>
      <c r="N4" s="50"/>
      <c r="O4" s="53"/>
      <c r="P4" s="18"/>
      <c r="Q4" s="18"/>
      <c r="R4" s="37"/>
      <c r="S4" s="18"/>
      <c r="T4" s="18"/>
      <c r="U4" s="18"/>
      <c r="V4" s="37"/>
      <c r="W4" s="18"/>
      <c r="X4" s="18"/>
      <c r="Y4" s="18"/>
      <c r="Z4" s="37"/>
    </row>
    <row r="5" spans="1:26" x14ac:dyDescent="0.25">
      <c r="A5" s="23"/>
      <c r="D5" s="64">
        <v>43708</v>
      </c>
      <c r="E5" s="18"/>
      <c r="F5" s="50"/>
      <c r="G5" s="18"/>
      <c r="H5" s="18"/>
      <c r="I5" s="18"/>
      <c r="J5" s="37"/>
      <c r="K5" s="18"/>
      <c r="L5" s="18"/>
      <c r="M5" s="18"/>
      <c r="N5" s="50"/>
      <c r="O5" s="53"/>
      <c r="P5" s="18"/>
      <c r="Q5" s="18"/>
      <c r="R5" s="37"/>
      <c r="S5" s="18"/>
      <c r="T5" s="18"/>
      <c r="U5" s="18"/>
      <c r="V5" s="37"/>
      <c r="W5" s="18"/>
      <c r="X5" s="18"/>
      <c r="Y5" s="18"/>
      <c r="Z5" s="37"/>
    </row>
    <row r="6" spans="1:26" x14ac:dyDescent="0.25">
      <c r="A6" s="23"/>
      <c r="B6" s="51"/>
      <c r="C6" s="51"/>
      <c r="D6" s="23" t="s">
        <v>298</v>
      </c>
      <c r="E6" s="18"/>
      <c r="F6" s="50"/>
      <c r="G6" s="18"/>
      <c r="H6" s="18"/>
      <c r="I6" s="18"/>
      <c r="J6" s="37"/>
      <c r="K6" s="18"/>
      <c r="L6" s="18"/>
      <c r="M6" s="18"/>
      <c r="N6" s="50"/>
      <c r="O6" s="56"/>
      <c r="P6" s="18"/>
      <c r="Q6" s="18"/>
      <c r="R6" s="37"/>
      <c r="S6" s="18"/>
      <c r="T6" s="18"/>
      <c r="U6" s="18"/>
      <c r="V6" s="37"/>
      <c r="W6" s="18"/>
      <c r="X6" s="18"/>
      <c r="Y6" s="18"/>
      <c r="Z6" s="37"/>
    </row>
    <row r="7" spans="1:26" x14ac:dyDescent="0.25">
      <c r="B7" s="57"/>
    </row>
    <row r="8" spans="1:26" x14ac:dyDescent="0.25">
      <c r="B8" s="57"/>
    </row>
    <row r="9" spans="1:26" x14ac:dyDescent="0.25">
      <c r="B9" s="9"/>
      <c r="C9" s="9"/>
      <c r="D9" s="16" t="s">
        <v>294</v>
      </c>
      <c r="E9" s="16"/>
      <c r="F9" s="40"/>
      <c r="G9" s="16"/>
      <c r="H9" s="16"/>
      <c r="I9" s="16"/>
      <c r="J9" s="44"/>
      <c r="K9" s="16"/>
      <c r="L9" s="16"/>
      <c r="M9" s="16"/>
      <c r="N9" s="40"/>
      <c r="P9" s="16" t="s">
        <v>295</v>
      </c>
      <c r="Q9" s="16"/>
      <c r="R9" s="40"/>
      <c r="S9" s="16"/>
      <c r="T9" s="16"/>
      <c r="U9" s="16"/>
      <c r="V9" s="44"/>
      <c r="W9" s="16"/>
      <c r="X9" s="16"/>
      <c r="Y9" s="16"/>
      <c r="Z9" s="40"/>
    </row>
    <row r="10" spans="1:26" x14ac:dyDescent="0.25">
      <c r="A10" s="10"/>
      <c r="B10" s="59"/>
      <c r="C10" s="10"/>
      <c r="D10" s="43" t="s">
        <v>10</v>
      </c>
      <c r="E10" s="30"/>
      <c r="F10" s="38" t="s">
        <v>15</v>
      </c>
      <c r="G10" s="30"/>
      <c r="H10" s="45" t="s">
        <v>11</v>
      </c>
      <c r="I10" s="30"/>
      <c r="J10" s="47" t="s">
        <v>16</v>
      </c>
      <c r="K10" s="10"/>
      <c r="L10" s="43" t="s">
        <v>12</v>
      </c>
      <c r="M10" s="10"/>
      <c r="N10" s="38" t="s">
        <v>17</v>
      </c>
      <c r="O10" s="10"/>
      <c r="P10" s="54" t="s">
        <v>10</v>
      </c>
      <c r="Q10" s="30"/>
      <c r="R10" s="38" t="s">
        <v>15</v>
      </c>
      <c r="S10" s="30"/>
      <c r="T10" s="45" t="s">
        <v>11</v>
      </c>
      <c r="U10" s="30"/>
      <c r="V10" s="47" t="s">
        <v>16</v>
      </c>
      <c r="W10" s="10"/>
      <c r="X10" s="43" t="s">
        <v>12</v>
      </c>
      <c r="Y10" s="10"/>
      <c r="Z10" s="38" t="s">
        <v>17</v>
      </c>
    </row>
    <row r="11" spans="1:26" ht="15.75" x14ac:dyDescent="0.25">
      <c r="A11" s="9"/>
      <c r="B11" s="60"/>
      <c r="C11" s="9"/>
      <c r="D11" s="9"/>
      <c r="E11" s="9"/>
      <c r="F11" s="8"/>
      <c r="G11" s="9"/>
      <c r="H11" s="9"/>
      <c r="I11" s="9"/>
      <c r="J11" s="49"/>
      <c r="K11" s="9"/>
      <c r="L11" s="9"/>
      <c r="M11" s="9"/>
      <c r="N11" s="8"/>
      <c r="P11" s="9"/>
      <c r="Q11" s="9"/>
      <c r="R11" s="8"/>
      <c r="S11" s="9"/>
      <c r="T11" s="9"/>
      <c r="U11" s="9"/>
      <c r="V11" s="49"/>
      <c r="W11" s="9"/>
      <c r="X11" s="9"/>
      <c r="Y11" s="9"/>
      <c r="Z11" s="8"/>
    </row>
    <row r="12" spans="1:26" s="23" customFormat="1" collapsed="1" x14ac:dyDescent="0.25">
      <c r="A12" s="10"/>
      <c r="B12" s="28" t="s">
        <v>7</v>
      </c>
      <c r="C12" s="10"/>
      <c r="D12" s="4">
        <f>SUM(OSRRefD13x_0)</f>
        <v>30975</v>
      </c>
      <c r="E12" s="4"/>
      <c r="F12" s="12"/>
      <c r="G12" s="4"/>
      <c r="H12" s="4">
        <f>SUM(OSRRefH13x_0)</f>
        <v>167604</v>
      </c>
      <c r="I12" s="4"/>
      <c r="J12" s="12"/>
      <c r="K12" s="4"/>
      <c r="L12" s="4">
        <f t="shared" ref="L12:L13" si="0">+D12-H12</f>
        <v>-136629</v>
      </c>
      <c r="M12" s="4"/>
      <c r="N12" s="12">
        <f t="shared" ref="N12:N13" si="1">IF(H12=0,0,L12/H12)</f>
        <v>-0.81518937495525168</v>
      </c>
      <c r="O12" s="10"/>
      <c r="P12" s="4">
        <f>SUM(OSRRefP13x_0)</f>
        <v>67886</v>
      </c>
      <c r="Q12" s="4"/>
      <c r="R12" s="12"/>
      <c r="S12" s="4"/>
      <c r="T12" s="4">
        <f>SUM(OSRRefT13x_0)</f>
        <v>202444</v>
      </c>
      <c r="U12" s="4"/>
      <c r="V12" s="12"/>
      <c r="W12" s="4"/>
      <c r="X12" s="4">
        <f t="shared" ref="X12:X13" si="2">+P12-T12</f>
        <v>-134558</v>
      </c>
      <c r="Y12" s="4"/>
      <c r="Z12" s="12">
        <f t="shared" ref="Z12:Z13" si="3">IF(T12=0,0,X12/T12)</f>
        <v>-0.66466775997312832</v>
      </c>
    </row>
    <row r="13" spans="1:26" s="24" customFormat="1" hidden="1" outlineLevel="1" x14ac:dyDescent="0.25">
      <c r="A13" s="46"/>
      <c r="B13" s="11" t="str">
        <f>CONCATENATE("          ", "4100", " - ", "NON-TAXABLE SALES")</f>
        <v xml:space="preserve">          4100 - NON-TAXABLE SALES</v>
      </c>
      <c r="C13" s="11"/>
      <c r="D13" s="2">
        <f>--30975</f>
        <v>30975</v>
      </c>
      <c r="E13" s="2"/>
      <c r="F13" s="21"/>
      <c r="G13" s="2"/>
      <c r="H13" s="2">
        <v>167604</v>
      </c>
      <c r="I13" s="2"/>
      <c r="J13" s="21"/>
      <c r="K13" s="2"/>
      <c r="L13" s="2">
        <f t="shared" si="0"/>
        <v>-136629</v>
      </c>
      <c r="M13" s="2"/>
      <c r="N13" s="21">
        <f t="shared" si="1"/>
        <v>-0.81518937495525168</v>
      </c>
      <c r="O13" s="11"/>
      <c r="P13" s="2">
        <f>--67886</f>
        <v>67886</v>
      </c>
      <c r="Q13" s="2"/>
      <c r="R13" s="21"/>
      <c r="S13" s="2"/>
      <c r="T13" s="2">
        <v>202444</v>
      </c>
      <c r="U13" s="2"/>
      <c r="V13" s="21"/>
      <c r="W13" s="2"/>
      <c r="X13" s="2">
        <f t="shared" si="2"/>
        <v>-134558</v>
      </c>
      <c r="Y13" s="2"/>
      <c r="Z13" s="21">
        <f t="shared" si="3"/>
        <v>-0.66466775997312832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8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9" t="s">
        <v>6</v>
      </c>
      <c r="C17" s="29"/>
      <c r="D17" s="22">
        <f>D12-D15</f>
        <v>30975</v>
      </c>
      <c r="E17" s="14"/>
      <c r="F17" s="20">
        <f>IF(D$12=0,0,D17/D$12)</f>
        <v>1</v>
      </c>
      <c r="G17" s="14"/>
      <c r="H17" s="22">
        <f>H12-H15</f>
        <v>167604</v>
      </c>
      <c r="I17" s="14"/>
      <c r="J17" s="20">
        <f>IF(H$12=0,0,H17/H$12)</f>
        <v>1</v>
      </c>
      <c r="K17" s="15"/>
      <c r="L17" s="22">
        <f>+D17-H17</f>
        <v>-136629</v>
      </c>
      <c r="M17" s="15"/>
      <c r="N17" s="20">
        <f>IF(H17=0,0,L17/H17)</f>
        <v>-0.81518937495525168</v>
      </c>
      <c r="O17" s="28"/>
      <c r="P17" s="22">
        <f>P12-P15</f>
        <v>67886</v>
      </c>
      <c r="Q17" s="14"/>
      <c r="R17" s="20">
        <f>IF(P$12=0,0,P17/P$12)</f>
        <v>1</v>
      </c>
      <c r="S17" s="14"/>
      <c r="T17" s="22">
        <f>T12-T15</f>
        <v>202444</v>
      </c>
      <c r="U17" s="14"/>
      <c r="V17" s="20">
        <f>IF(T$12=0,0,T17/T$12)</f>
        <v>1</v>
      </c>
      <c r="W17" s="15"/>
      <c r="X17" s="22">
        <f>+P17-T17</f>
        <v>-134558</v>
      </c>
      <c r="Y17" s="15"/>
      <c r="Z17" s="20">
        <f>IF(T17=0,0,X17/T17)</f>
        <v>-0.66466775997312832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8" t="s">
        <v>9</v>
      </c>
      <c r="C19" s="10"/>
      <c r="D19" s="19">
        <f>SUM(OSRRefD22x_0)</f>
        <v>26838.589999999997</v>
      </c>
      <c r="E19" s="19"/>
      <c r="F19" s="34">
        <f t="shared" ref="F19:F29" si="4">IF(D$12=0,0,D19/D$12)</f>
        <v>0.86645972558514917</v>
      </c>
      <c r="G19" s="19"/>
      <c r="H19" s="19">
        <f>SUM(OSRRefH22x_0)</f>
        <v>150115.59112084616</v>
      </c>
      <c r="I19" s="19"/>
      <c r="J19" s="34">
        <f t="shared" ref="J19:J29" si="5">IF(H$12=0,0,H19/H$12)</f>
        <v>0.89565637527055542</v>
      </c>
      <c r="K19" s="4"/>
      <c r="L19" s="19">
        <f t="shared" ref="L19:L29" si="6">+D19-H19</f>
        <v>-123277.00112084617</v>
      </c>
      <c r="M19" s="4"/>
      <c r="N19" s="34">
        <f t="shared" ref="N19:N29" si="7">IF(H19=0,0,L19/H19)</f>
        <v>-0.8212138406170324</v>
      </c>
      <c r="O19" s="10"/>
      <c r="P19" s="19">
        <f>SUM(OSRRefP22x_0)</f>
        <v>64600.19999999999</v>
      </c>
      <c r="Q19" s="19"/>
      <c r="R19" s="34">
        <f t="shared" ref="R19:R29" si="8">IF(P$12=0,0,P19/P$12)</f>
        <v>0.95159826768405842</v>
      </c>
      <c r="S19" s="19"/>
      <c r="T19" s="19">
        <f>SUM(OSRRefT22x_0)</f>
        <v>181885.34439690385</v>
      </c>
      <c r="U19" s="19"/>
      <c r="V19" s="34">
        <f t="shared" ref="V19:V29" si="9">IF(T$12=0,0,T19/T$12)</f>
        <v>0.89844769119807877</v>
      </c>
      <c r="W19" s="4"/>
      <c r="X19" s="19">
        <f t="shared" ref="X19:X29" si="10">+P19-T19</f>
        <v>-117285.14439690387</v>
      </c>
      <c r="Y19" s="4"/>
      <c r="Z19" s="34">
        <f t="shared" ref="Z19:Z29" si="11">IF(T19=0,0,X19/T19)</f>
        <v>-0.64483009769587762</v>
      </c>
    </row>
    <row r="20" spans="1:26" s="26" customFormat="1" outlineLevel="1" collapsed="1" x14ac:dyDescent="0.25">
      <c r="A20" s="25"/>
      <c r="B20" s="13" t="str">
        <f>CONCATENATE("     ","*Benefits                                         ")</f>
        <v xml:space="preserve">     *Benefits                                         </v>
      </c>
      <c r="C20" s="13"/>
      <c r="D20" s="1">
        <f>SUM(OSRRefD22_0x_0)</f>
        <v>4226.13</v>
      </c>
      <c r="E20" s="1"/>
      <c r="F20" s="5">
        <f t="shared" si="4"/>
        <v>0.13643680387409202</v>
      </c>
      <c r="G20" s="1"/>
      <c r="H20" s="1">
        <f>SUM(OSRRefH22_0x_0)</f>
        <v>1705.9426593076921</v>
      </c>
      <c r="I20" s="1"/>
      <c r="J20" s="5">
        <f t="shared" si="5"/>
        <v>1.0178412563588531E-2</v>
      </c>
      <c r="K20" s="1"/>
      <c r="L20" s="1">
        <f t="shared" si="6"/>
        <v>2520.1873406923078</v>
      </c>
      <c r="M20" s="1"/>
      <c r="N20" s="5">
        <f t="shared" si="7"/>
        <v>1.4772989742310878</v>
      </c>
      <c r="O20" s="13"/>
      <c r="P20" s="1">
        <f>SUM(OSRRefP22_0x_0)</f>
        <v>8625.48</v>
      </c>
      <c r="Q20" s="1"/>
      <c r="R20" s="5">
        <f t="shared" si="8"/>
        <v>0.12705830362666823</v>
      </c>
      <c r="S20" s="1"/>
      <c r="T20" s="1">
        <f>SUM(OSRRefT22_0x_0)</f>
        <v>4142.885358442305</v>
      </c>
      <c r="U20" s="1"/>
      <c r="V20" s="5">
        <f t="shared" si="9"/>
        <v>2.0464352405812496E-2</v>
      </c>
      <c r="W20" s="1"/>
      <c r="X20" s="1">
        <f t="shared" si="10"/>
        <v>4482.5946415576946</v>
      </c>
      <c r="Y20" s="1"/>
      <c r="Z20" s="5">
        <f t="shared" si="11"/>
        <v>1.0819982340141601</v>
      </c>
    </row>
    <row r="21" spans="1:26" s="24" customFormat="1" hidden="1" outlineLevel="2" x14ac:dyDescent="0.25">
      <c r="A21" s="27"/>
      <c r="B21" s="11" t="str">
        <f>CONCATENATE("          ", "6111", " - ", "F.I.C.A.")</f>
        <v xml:space="preserve">          6111 - F.I.C.A.</v>
      </c>
      <c r="C21" s="11"/>
      <c r="D21" s="6">
        <v>1291.28</v>
      </c>
      <c r="E21" s="2"/>
      <c r="F21" s="7">
        <f t="shared" si="4"/>
        <v>4.1687812752219534E-2</v>
      </c>
      <c r="G21" s="2"/>
      <c r="H21" s="6">
        <v>847.34428084615399</v>
      </c>
      <c r="I21" s="2"/>
      <c r="J21" s="7">
        <f t="shared" si="5"/>
        <v>5.0556328061749957E-3</v>
      </c>
      <c r="K21" s="2"/>
      <c r="L21" s="6">
        <f t="shared" si="6"/>
        <v>443.93571915384598</v>
      </c>
      <c r="M21" s="2"/>
      <c r="N21" s="7">
        <f t="shared" si="7"/>
        <v>0.52391422139597599</v>
      </c>
      <c r="O21" s="11"/>
      <c r="P21" s="6">
        <v>2357.21</v>
      </c>
      <c r="Q21" s="2"/>
      <c r="R21" s="7">
        <f t="shared" si="8"/>
        <v>3.4723065138614735E-2</v>
      </c>
      <c r="S21" s="2"/>
      <c r="T21" s="6">
        <v>2150.4640069038442</v>
      </c>
      <c r="U21" s="2"/>
      <c r="V21" s="7">
        <f t="shared" si="9"/>
        <v>1.0622512926556698E-2</v>
      </c>
      <c r="W21" s="2"/>
      <c r="X21" s="6">
        <f t="shared" si="10"/>
        <v>206.74599309615587</v>
      </c>
      <c r="Y21" s="2"/>
      <c r="Z21" s="7">
        <f t="shared" si="11"/>
        <v>9.6140178320780562E-2</v>
      </c>
    </row>
    <row r="22" spans="1:26" s="24" customFormat="1" hidden="1" outlineLevel="2" x14ac:dyDescent="0.25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60.78</v>
      </c>
      <c r="E22" s="2"/>
      <c r="F22" s="7">
        <f t="shared" si="4"/>
        <v>1.9622276029055692E-3</v>
      </c>
      <c r="G22" s="2"/>
      <c r="H22" s="6">
        <v>210.36902307692301</v>
      </c>
      <c r="I22" s="2"/>
      <c r="J22" s="7">
        <f t="shared" si="5"/>
        <v>1.2551551459208791E-3</v>
      </c>
      <c r="K22" s="2"/>
      <c r="L22" s="6">
        <f t="shared" si="6"/>
        <v>-149.58902307692301</v>
      </c>
      <c r="M22" s="2"/>
      <c r="N22" s="7">
        <f t="shared" si="7"/>
        <v>-0.71107913555421443</v>
      </c>
      <c r="O22" s="11"/>
      <c r="P22" s="6">
        <v>109.78</v>
      </c>
      <c r="Q22" s="2"/>
      <c r="R22" s="7">
        <f t="shared" si="8"/>
        <v>1.6171228235571399E-3</v>
      </c>
      <c r="S22" s="2"/>
      <c r="T22" s="6">
        <v>533.89280192307706</v>
      </c>
      <c r="U22" s="2"/>
      <c r="V22" s="7">
        <f t="shared" si="9"/>
        <v>2.637236973795603E-3</v>
      </c>
      <c r="W22" s="2"/>
      <c r="X22" s="6">
        <f t="shared" si="10"/>
        <v>-424.11280192307709</v>
      </c>
      <c r="Y22" s="2"/>
      <c r="Z22" s="7">
        <f t="shared" si="11"/>
        <v>-0.79437819801171061</v>
      </c>
    </row>
    <row r="23" spans="1:26" s="24" customFormat="1" hidden="1" outlineLevel="2" x14ac:dyDescent="0.25">
      <c r="A23" s="27"/>
      <c r="B23" s="11" t="str">
        <f>CONCATENATE("          ", "6113", " - ", "GROUP INSURANCE")</f>
        <v xml:space="preserve">          6113 - GROUP INSURANCE</v>
      </c>
      <c r="C23" s="11"/>
      <c r="D23" s="6">
        <v>1243.31</v>
      </c>
      <c r="E23" s="2"/>
      <c r="F23" s="7">
        <f t="shared" si="4"/>
        <v>4.0139144471347858E-2</v>
      </c>
      <c r="G23" s="2"/>
      <c r="H23" s="6">
        <v>138.1</v>
      </c>
      <c r="I23" s="2"/>
      <c r="J23" s="7">
        <f t="shared" si="5"/>
        <v>8.2396601513090378E-4</v>
      </c>
      <c r="K23" s="2"/>
      <c r="L23" s="6">
        <f t="shared" si="6"/>
        <v>1105.21</v>
      </c>
      <c r="M23" s="2"/>
      <c r="N23" s="7">
        <f t="shared" si="7"/>
        <v>8.0029688631426517</v>
      </c>
      <c r="O23" s="11"/>
      <c r="P23" s="6">
        <v>2486.62</v>
      </c>
      <c r="Q23" s="2"/>
      <c r="R23" s="7">
        <f t="shared" si="8"/>
        <v>3.6629349203075742E-2</v>
      </c>
      <c r="S23" s="2"/>
      <c r="T23" s="6">
        <v>276.2</v>
      </c>
      <c r="U23" s="2"/>
      <c r="V23" s="7">
        <f t="shared" si="9"/>
        <v>1.3643279129043093E-3</v>
      </c>
      <c r="W23" s="2"/>
      <c r="X23" s="6">
        <f t="shared" si="10"/>
        <v>2210.42</v>
      </c>
      <c r="Y23" s="2"/>
      <c r="Z23" s="7">
        <f t="shared" si="11"/>
        <v>8.0029688631426517</v>
      </c>
    </row>
    <row r="24" spans="1:26" s="24" customFormat="1" hidden="1" outlineLevel="2" x14ac:dyDescent="0.25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46.48</v>
      </c>
      <c r="E24" s="2"/>
      <c r="F24" s="7">
        <f t="shared" si="4"/>
        <v>1.5005649717514124E-3</v>
      </c>
      <c r="G24" s="2"/>
      <c r="H24" s="6">
        <v>28.78734</v>
      </c>
      <c r="I24" s="2"/>
      <c r="J24" s="7">
        <f t="shared" si="5"/>
        <v>1.717580725996993E-4</v>
      </c>
      <c r="K24" s="2"/>
      <c r="L24" s="6">
        <f t="shared" si="6"/>
        <v>17.692659999999997</v>
      </c>
      <c r="M24" s="2"/>
      <c r="N24" s="7">
        <f t="shared" si="7"/>
        <v>0.61459863954085359</v>
      </c>
      <c r="O24" s="11"/>
      <c r="P24" s="6">
        <v>83.95</v>
      </c>
      <c r="Q24" s="2"/>
      <c r="R24" s="7">
        <f t="shared" si="8"/>
        <v>1.2366320007070677E-3</v>
      </c>
      <c r="S24" s="2"/>
      <c r="T24" s="6">
        <v>73.059015000000002</v>
      </c>
      <c r="U24" s="2"/>
      <c r="V24" s="7">
        <f t="shared" si="9"/>
        <v>3.6088505957202979E-4</v>
      </c>
      <c r="W24" s="2"/>
      <c r="X24" s="6">
        <f t="shared" si="10"/>
        <v>10.890985000000001</v>
      </c>
      <c r="Y24" s="2"/>
      <c r="Z24" s="7">
        <f t="shared" si="11"/>
        <v>0.14907106261971914</v>
      </c>
    </row>
    <row r="25" spans="1:26" s="24" customFormat="1" hidden="1" outlineLevel="2" x14ac:dyDescent="0.25">
      <c r="A25" s="27"/>
      <c r="B25" s="11" t="str">
        <f>CONCATENATE("          ", "6115", " - ", "P.E.R.S.")</f>
        <v xml:space="preserve">          6115 - P.E.R.S.</v>
      </c>
      <c r="C25" s="11"/>
      <c r="D25" s="6">
        <v>609.02</v>
      </c>
      <c r="E25" s="2"/>
      <c r="F25" s="7">
        <f t="shared" si="4"/>
        <v>1.9661662631154157E-2</v>
      </c>
      <c r="G25" s="2"/>
      <c r="H25" s="6">
        <v>56.936630769230796</v>
      </c>
      <c r="I25" s="2"/>
      <c r="J25" s="7">
        <f t="shared" si="5"/>
        <v>3.3970925973861478E-4</v>
      </c>
      <c r="K25" s="2"/>
      <c r="L25" s="6">
        <f t="shared" si="6"/>
        <v>552.08336923076922</v>
      </c>
      <c r="M25" s="2"/>
      <c r="N25" s="7">
        <f t="shared" si="7"/>
        <v>9.6964530877917934</v>
      </c>
      <c r="O25" s="11"/>
      <c r="P25" s="6">
        <v>1218.04</v>
      </c>
      <c r="Q25" s="2"/>
      <c r="R25" s="7">
        <f t="shared" si="8"/>
        <v>1.7942432902218426E-2</v>
      </c>
      <c r="S25" s="2"/>
      <c r="T25" s="6">
        <v>128.1074192307693</v>
      </c>
      <c r="U25" s="2"/>
      <c r="V25" s="7">
        <f t="shared" si="9"/>
        <v>6.3280422848179885E-4</v>
      </c>
      <c r="W25" s="2"/>
      <c r="X25" s="6">
        <f t="shared" si="10"/>
        <v>1089.9325807692308</v>
      </c>
      <c r="Y25" s="2"/>
      <c r="Z25" s="7">
        <f t="shared" si="11"/>
        <v>8.5079583002593715</v>
      </c>
    </row>
    <row r="26" spans="1:26" s="24" customFormat="1" hidden="1" outlineLevel="2" x14ac:dyDescent="0.25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7"/>
      <c r="B27" s="11" t="str">
        <f>CONCATENATE("          ", "6118", " - ", "VACATION")</f>
        <v xml:space="preserve">          6118 - VACATION</v>
      </c>
      <c r="C27" s="11"/>
      <c r="D27" s="6">
        <v>550.41999999999996</v>
      </c>
      <c r="E27" s="2"/>
      <c r="F27" s="7">
        <f t="shared" si="4"/>
        <v>1.7769814366424535E-2</v>
      </c>
      <c r="G27" s="2"/>
      <c r="H27" s="6">
        <v>33.102692307692301</v>
      </c>
      <c r="I27" s="2"/>
      <c r="J27" s="7">
        <f t="shared" si="5"/>
        <v>1.9750538356896197E-4</v>
      </c>
      <c r="K27" s="2"/>
      <c r="L27" s="6">
        <f t="shared" si="6"/>
        <v>517.31730769230762</v>
      </c>
      <c r="M27" s="2"/>
      <c r="N27" s="7">
        <f t="shared" si="7"/>
        <v>15.627650551314675</v>
      </c>
      <c r="O27" s="11"/>
      <c r="P27" s="6">
        <v>1393.78</v>
      </c>
      <c r="Q27" s="2"/>
      <c r="R27" s="7">
        <f t="shared" si="8"/>
        <v>2.0531184633061309E-2</v>
      </c>
      <c r="S27" s="2"/>
      <c r="T27" s="6">
        <v>74.481057692307701</v>
      </c>
      <c r="U27" s="2"/>
      <c r="V27" s="7">
        <f t="shared" si="9"/>
        <v>3.6790943516383642E-4</v>
      </c>
      <c r="W27" s="2"/>
      <c r="X27" s="6">
        <f t="shared" si="10"/>
        <v>1319.2989423076922</v>
      </c>
      <c r="Y27" s="2"/>
      <c r="Z27" s="7">
        <f t="shared" si="11"/>
        <v>17.713214382077009</v>
      </c>
    </row>
    <row r="28" spans="1:26" s="24" customFormat="1" hidden="1" outlineLevel="2" x14ac:dyDescent="0.25">
      <c r="A28" s="27"/>
      <c r="B28" s="11" t="str">
        <f>CONCATENATE("          ", "6119", " - ", "SICK LEAVE")</f>
        <v xml:space="preserve">          6119 - SICK LEAVE</v>
      </c>
      <c r="C28" s="11"/>
      <c r="D28" s="6">
        <v>274.83999999999997</v>
      </c>
      <c r="E28" s="2"/>
      <c r="F28" s="7">
        <f t="shared" si="4"/>
        <v>8.8729620661824049E-3</v>
      </c>
      <c r="G28" s="2"/>
      <c r="H28" s="6">
        <v>241.30269230769198</v>
      </c>
      <c r="I28" s="2"/>
      <c r="J28" s="7">
        <f t="shared" si="5"/>
        <v>1.4397191732159853E-3</v>
      </c>
      <c r="K28" s="2"/>
      <c r="L28" s="6">
        <f t="shared" si="6"/>
        <v>33.537307692307991</v>
      </c>
      <c r="M28" s="2"/>
      <c r="N28" s="7">
        <f t="shared" si="7"/>
        <v>0.13898439081460229</v>
      </c>
      <c r="O28" s="11"/>
      <c r="P28" s="6">
        <v>693.22</v>
      </c>
      <c r="Q28" s="2"/>
      <c r="R28" s="7">
        <f t="shared" si="8"/>
        <v>1.0211531096249594E-2</v>
      </c>
      <c r="S28" s="2"/>
      <c r="T28" s="6">
        <v>606.68105769230704</v>
      </c>
      <c r="U28" s="2"/>
      <c r="V28" s="7">
        <f t="shared" si="9"/>
        <v>2.996784580883143E-3</v>
      </c>
      <c r="W28" s="2"/>
      <c r="X28" s="6">
        <f t="shared" si="10"/>
        <v>86.538942307692992</v>
      </c>
      <c r="Y28" s="2"/>
      <c r="Z28" s="7">
        <f t="shared" si="11"/>
        <v>0.14264322449240421</v>
      </c>
    </row>
    <row r="29" spans="1:26" s="24" customFormat="1" hidden="1" outlineLevel="2" x14ac:dyDescent="0.25">
      <c r="A29" s="27"/>
      <c r="B29" s="11" t="str">
        <f>CONCATENATE("          ", "6156", " - ", "EMPLOYEE MEALS")</f>
        <v xml:space="preserve">          6156 - EMPLOYEE MEALS</v>
      </c>
      <c r="C29" s="11"/>
      <c r="D29" s="6">
        <v>150</v>
      </c>
      <c r="E29" s="2"/>
      <c r="F29" s="7">
        <f t="shared" si="4"/>
        <v>4.8426150121065378E-3</v>
      </c>
      <c r="G29" s="2"/>
      <c r="H29" s="6">
        <v>150</v>
      </c>
      <c r="I29" s="2"/>
      <c r="J29" s="7">
        <f t="shared" si="5"/>
        <v>8.9496670723849072E-4</v>
      </c>
      <c r="K29" s="2"/>
      <c r="L29" s="6">
        <f t="shared" si="6"/>
        <v>0</v>
      </c>
      <c r="M29" s="2"/>
      <c r="N29" s="7">
        <f t="shared" si="7"/>
        <v>0</v>
      </c>
      <c r="O29" s="11"/>
      <c r="P29" s="6">
        <v>282.88</v>
      </c>
      <c r="Q29" s="2"/>
      <c r="R29" s="7">
        <f t="shared" si="8"/>
        <v>4.1669858291842202E-3</v>
      </c>
      <c r="S29" s="2"/>
      <c r="T29" s="6">
        <v>300</v>
      </c>
      <c r="U29" s="2"/>
      <c r="V29" s="7">
        <f t="shared" si="9"/>
        <v>1.481891288455079E-3</v>
      </c>
      <c r="W29" s="2"/>
      <c r="X29" s="6">
        <f t="shared" si="10"/>
        <v>-17.120000000000005</v>
      </c>
      <c r="Y29" s="2"/>
      <c r="Z29" s="7">
        <f t="shared" si="11"/>
        <v>-5.7066666666666682E-2</v>
      </c>
    </row>
    <row r="30" spans="1:26" s="26" customFormat="1" outlineLevel="1" collapsed="1" x14ac:dyDescent="0.25">
      <c r="A30" s="25"/>
      <c r="B30" s="13" t="str">
        <f>CONCATENATE("     ","*Payroll                                          ")</f>
        <v xml:space="preserve">     *Payroll                                          </v>
      </c>
      <c r="C30" s="13"/>
      <c r="D30" s="1">
        <f>SUM(OSRRefD22_1x_0)</f>
        <v>18951.8</v>
      </c>
      <c r="E30" s="1"/>
      <c r="F30" s="5">
        <f t="shared" ref="F30:F40" si="12">IF(D$12=0,0,D30/D$12)</f>
        <v>0.61184180790960452</v>
      </c>
      <c r="G30" s="1"/>
      <c r="H30" s="1">
        <f>SUM(OSRRefH22_1x_0)</f>
        <v>10797.648461538462</v>
      </c>
      <c r="I30" s="1"/>
      <c r="J30" s="5">
        <f t="shared" ref="J30:J40" si="13">IF(H$12=0,0,H30/H$12)</f>
        <v>6.4423572596945547E-2</v>
      </c>
      <c r="K30" s="1"/>
      <c r="L30" s="1">
        <f t="shared" ref="L30:L40" si="14">+D30-H30</f>
        <v>8154.1515384615377</v>
      </c>
      <c r="M30" s="1"/>
      <c r="N30" s="5">
        <f t="shared" ref="N30:N40" si="15">IF(H30=0,0,L30/H30)</f>
        <v>0.75517846015332535</v>
      </c>
      <c r="O30" s="13"/>
      <c r="P30" s="1">
        <f>SUM(OSRRefP22_1x_0)</f>
        <v>36772.49</v>
      </c>
      <c r="Q30" s="1"/>
      <c r="R30" s="5">
        <f t="shared" ref="R30:R40" si="16">IF(P$12=0,0,P30/P$12)</f>
        <v>0.54168002239047808</v>
      </c>
      <c r="S30" s="1"/>
      <c r="T30" s="1">
        <f>SUM(OSRRefT22_1x_0)</f>
        <v>27418.45903846154</v>
      </c>
      <c r="U30" s="1"/>
      <c r="V30" s="5">
        <f t="shared" ref="V30:V40" si="17">IF(T$12=0,0,T30/T$12)</f>
        <v>0.13543725197319526</v>
      </c>
      <c r="W30" s="1"/>
      <c r="X30" s="1">
        <f t="shared" ref="X30:X40" si="18">+P30-T30</f>
        <v>9354.0309615384576</v>
      </c>
      <c r="Y30" s="1"/>
      <c r="Z30" s="5">
        <f t="shared" ref="Z30:Z40" si="19">IF(T30=0,0,X30/T30)</f>
        <v>0.34115815729895649</v>
      </c>
    </row>
    <row r="31" spans="1:26" s="24" customFormat="1" hidden="1" outlineLevel="2" x14ac:dyDescent="0.25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7"/>
      <c r="B32" s="11" t="str">
        <f>CONCATENATE("          ", "6002", " - ", "STAFF SALARIES")</f>
        <v xml:space="preserve">          6002 - STAFF SALARIES</v>
      </c>
      <c r="C32" s="11"/>
      <c r="D32" s="6">
        <v>5660.58</v>
      </c>
      <c r="E32" s="2"/>
      <c r="F32" s="7">
        <f t="shared" si="12"/>
        <v>0.18274673123486682</v>
      </c>
      <c r="G32" s="2"/>
      <c r="H32" s="6">
        <v>595.84846153846195</v>
      </c>
      <c r="I32" s="2"/>
      <c r="J32" s="7">
        <f t="shared" si="13"/>
        <v>3.5550969042413183E-3</v>
      </c>
      <c r="K32" s="2"/>
      <c r="L32" s="6">
        <f t="shared" si="14"/>
        <v>5064.7315384615376</v>
      </c>
      <c r="M32" s="2"/>
      <c r="N32" s="7">
        <f t="shared" si="15"/>
        <v>8.5000329200893798</v>
      </c>
      <c r="O32" s="11"/>
      <c r="P32" s="6">
        <v>12215.31</v>
      </c>
      <c r="Q32" s="2"/>
      <c r="R32" s="7">
        <f t="shared" si="16"/>
        <v>0.17993857349085229</v>
      </c>
      <c r="S32" s="2"/>
      <c r="T32" s="6">
        <v>1340.659038461539</v>
      </c>
      <c r="U32" s="2"/>
      <c r="V32" s="7">
        <f t="shared" si="17"/>
        <v>6.6223698329490573E-3</v>
      </c>
      <c r="W32" s="2"/>
      <c r="X32" s="6">
        <f t="shared" si="18"/>
        <v>10874.65096153846</v>
      </c>
      <c r="Y32" s="2"/>
      <c r="Z32" s="7">
        <f t="shared" si="19"/>
        <v>8.1114218079024525</v>
      </c>
    </row>
    <row r="33" spans="1:26" s="24" customFormat="1" hidden="1" outlineLevel="2" x14ac:dyDescent="0.25">
      <c r="A33" s="27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7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2704.8</v>
      </c>
      <c r="I34" s="2"/>
      <c r="J34" s="7">
        <f t="shared" si="13"/>
        <v>1.6138039664924466E-2</v>
      </c>
      <c r="K34" s="2"/>
      <c r="L34" s="6">
        <f t="shared" si="14"/>
        <v>-2704.8</v>
      </c>
      <c r="M34" s="2"/>
      <c r="N34" s="7">
        <f t="shared" si="15"/>
        <v>-1</v>
      </c>
      <c r="O34" s="11"/>
      <c r="P34" s="6"/>
      <c r="Q34" s="2"/>
      <c r="R34" s="7">
        <f t="shared" si="16"/>
        <v>0</v>
      </c>
      <c r="S34" s="2"/>
      <c r="T34" s="6">
        <v>6085.8</v>
      </c>
      <c r="U34" s="2"/>
      <c r="V34" s="7">
        <f t="shared" si="17"/>
        <v>3.0061646677599731E-2</v>
      </c>
      <c r="W34" s="2"/>
      <c r="X34" s="6">
        <f t="shared" si="18"/>
        <v>-6085.8</v>
      </c>
      <c r="Y34" s="2"/>
      <c r="Z34" s="7">
        <f t="shared" si="19"/>
        <v>-1</v>
      </c>
    </row>
    <row r="35" spans="1:26" s="24" customFormat="1" hidden="1" outlineLevel="2" x14ac:dyDescent="0.25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7838.45</v>
      </c>
      <c r="E35" s="2"/>
      <c r="F35" s="7">
        <f t="shared" si="12"/>
        <v>0.25305730427764328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7838.45</v>
      </c>
      <c r="M35" s="2"/>
      <c r="N35" s="7">
        <f t="shared" si="15"/>
        <v>0</v>
      </c>
      <c r="O35" s="11"/>
      <c r="P35" s="6">
        <v>13194.39</v>
      </c>
      <c r="Q35" s="2"/>
      <c r="R35" s="7">
        <f t="shared" si="16"/>
        <v>0.19436098753793124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13194.39</v>
      </c>
      <c r="Y35" s="2"/>
      <c r="Z35" s="7">
        <f t="shared" si="19"/>
        <v>0</v>
      </c>
    </row>
    <row r="36" spans="1:26" s="24" customFormat="1" hidden="1" outlineLevel="2" x14ac:dyDescent="0.25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7"/>
      <c r="B37" s="11" t="str">
        <f>CONCATENATE("          ", "6007", " - ", "STUDENT HOURLY")</f>
        <v xml:space="preserve">          6007 - STUDENT HOURLY</v>
      </c>
      <c r="C37" s="11"/>
      <c r="D37" s="6">
        <v>4633.58</v>
      </c>
      <c r="E37" s="2"/>
      <c r="F37" s="7">
        <f t="shared" si="12"/>
        <v>0.14959096045197739</v>
      </c>
      <c r="G37" s="2"/>
      <c r="H37" s="6">
        <v>7497</v>
      </c>
      <c r="I37" s="2"/>
      <c r="J37" s="7">
        <f t="shared" si="13"/>
        <v>4.473043602777977E-2</v>
      </c>
      <c r="K37" s="2"/>
      <c r="L37" s="6">
        <f t="shared" si="14"/>
        <v>-2863.42</v>
      </c>
      <c r="M37" s="2"/>
      <c r="N37" s="7">
        <f t="shared" si="15"/>
        <v>-0.38194211017740431</v>
      </c>
      <c r="O37" s="11"/>
      <c r="P37" s="6">
        <v>10062.290000000001</v>
      </c>
      <c r="Q37" s="2"/>
      <c r="R37" s="7">
        <f t="shared" si="16"/>
        <v>0.14822334501959167</v>
      </c>
      <c r="S37" s="2"/>
      <c r="T37" s="6">
        <v>19992</v>
      </c>
      <c r="U37" s="2"/>
      <c r="V37" s="7">
        <f t="shared" si="17"/>
        <v>9.8753235462646458E-2</v>
      </c>
      <c r="W37" s="2"/>
      <c r="X37" s="6">
        <f t="shared" si="18"/>
        <v>-9929.7099999999991</v>
      </c>
      <c r="Y37" s="2"/>
      <c r="Z37" s="7">
        <f t="shared" si="19"/>
        <v>-0.49668417366946777</v>
      </c>
    </row>
    <row r="38" spans="1:26" s="24" customFormat="1" hidden="1" outlineLevel="2" x14ac:dyDescent="0.25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>
        <v>819.19</v>
      </c>
      <c r="E38" s="2"/>
      <c r="F38" s="7">
        <f t="shared" si="12"/>
        <v>2.644681194511703E-2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819.19</v>
      </c>
      <c r="M38" s="2"/>
      <c r="N38" s="7">
        <f t="shared" si="15"/>
        <v>0</v>
      </c>
      <c r="O38" s="11"/>
      <c r="P38" s="6">
        <v>1300.5</v>
      </c>
      <c r="Q38" s="2"/>
      <c r="R38" s="7">
        <f t="shared" si="16"/>
        <v>1.9157116342102938E-2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1300.5</v>
      </c>
      <c r="Y38" s="2"/>
      <c r="Z38" s="7">
        <f t="shared" si="19"/>
        <v>0</v>
      </c>
    </row>
    <row r="39" spans="1:26" s="24" customFormat="1" hidden="1" outlineLevel="2" x14ac:dyDescent="0.25">
      <c r="A39" s="27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7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6" customFormat="1" outlineLevel="1" collapsed="1" x14ac:dyDescent="0.25">
      <c r="A41" s="25"/>
      <c r="B41" s="13" t="str">
        <f>CONCATENATE("     ","Advertising/Promo                                 ")</f>
        <v xml:space="preserve">     Advertising/Promo                                 </v>
      </c>
      <c r="C41" s="13"/>
      <c r="D41" s="1">
        <f>SUM(OSRRefD22_2x_0)</f>
        <v>38</v>
      </c>
      <c r="E41" s="1"/>
      <c r="F41" s="5">
        <f t="shared" ref="F41:F59" si="20">IF(D$12=0,0,D41/D$12)</f>
        <v>1.2267958030669896E-3</v>
      </c>
      <c r="G41" s="1"/>
      <c r="H41" s="1">
        <f>SUM(OSRRefH22_2x_0)</f>
        <v>400</v>
      </c>
      <c r="I41" s="1"/>
      <c r="J41" s="5">
        <f t="shared" ref="J41:J59" si="21">IF(H$12=0,0,H41/H$12)</f>
        <v>2.3865778859693087E-3</v>
      </c>
      <c r="K41" s="1"/>
      <c r="L41" s="1">
        <f t="shared" ref="L41:L59" si="22">+D41-H41</f>
        <v>-362</v>
      </c>
      <c r="M41" s="1"/>
      <c r="N41" s="5">
        <f t="shared" ref="N41:N59" si="23">IF(H41=0,0,L41/H41)</f>
        <v>-0.90500000000000003</v>
      </c>
      <c r="O41" s="13"/>
      <c r="P41" s="1">
        <f>SUM(OSRRefP22_2x_0)</f>
        <v>38</v>
      </c>
      <c r="Q41" s="1"/>
      <c r="R41" s="5">
        <f t="shared" ref="R41:R59" si="24">IF(P$12=0,0,P41/P$12)</f>
        <v>5.5976195386383057E-4</v>
      </c>
      <c r="S41" s="1"/>
      <c r="T41" s="1">
        <f>SUM(OSRRefT22_2x_0)</f>
        <v>800</v>
      </c>
      <c r="U41" s="1"/>
      <c r="V41" s="5">
        <f t="shared" ref="V41:V59" si="25">IF(T$12=0,0,T41/T$12)</f>
        <v>3.951710102546877E-3</v>
      </c>
      <c r="W41" s="1"/>
      <c r="X41" s="1">
        <f t="shared" ref="X41:X59" si="26">+P41-T41</f>
        <v>-762</v>
      </c>
      <c r="Y41" s="1"/>
      <c r="Z41" s="5">
        <f t="shared" ref="Z41:Z59" si="27">IF(T41=0,0,X41/T41)</f>
        <v>-0.95250000000000001</v>
      </c>
    </row>
    <row r="42" spans="1:26" s="24" customFormat="1" hidden="1" outlineLevel="2" x14ac:dyDescent="0.25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38</v>
      </c>
      <c r="E42" s="2"/>
      <c r="F42" s="7">
        <f t="shared" si="20"/>
        <v>1.2267958030669896E-3</v>
      </c>
      <c r="G42" s="2"/>
      <c r="H42" s="6">
        <v>400</v>
      </c>
      <c r="I42" s="2"/>
      <c r="J42" s="7">
        <f t="shared" si="21"/>
        <v>2.3865778859693087E-3</v>
      </c>
      <c r="K42" s="2"/>
      <c r="L42" s="6">
        <f t="shared" si="22"/>
        <v>-362</v>
      </c>
      <c r="M42" s="2"/>
      <c r="N42" s="7">
        <f t="shared" si="23"/>
        <v>-0.90500000000000003</v>
      </c>
      <c r="O42" s="11"/>
      <c r="P42" s="6">
        <v>38</v>
      </c>
      <c r="Q42" s="2"/>
      <c r="R42" s="7">
        <f t="shared" si="24"/>
        <v>5.5976195386383057E-4</v>
      </c>
      <c r="S42" s="2"/>
      <c r="T42" s="6">
        <v>800</v>
      </c>
      <c r="U42" s="2"/>
      <c r="V42" s="7">
        <f t="shared" si="25"/>
        <v>3.951710102546877E-3</v>
      </c>
      <c r="W42" s="2"/>
      <c r="X42" s="6">
        <f t="shared" si="26"/>
        <v>-762</v>
      </c>
      <c r="Y42" s="2"/>
      <c r="Z42" s="7">
        <f t="shared" si="27"/>
        <v>-0.95250000000000001</v>
      </c>
    </row>
    <row r="43" spans="1:26" s="26" customFormat="1" outlineLevel="1" collapsed="1" x14ac:dyDescent="0.25">
      <c r="A43" s="25"/>
      <c r="B43" s="13" t="str">
        <f>CONCATENATE("     ","Bank/card Fees                                    ")</f>
        <v xml:space="preserve">     Bank/card Fees                                    </v>
      </c>
      <c r="C43" s="13"/>
      <c r="D43" s="1">
        <f>SUM(OSRRefD22_3x_0)</f>
        <v>2174.79</v>
      </c>
      <c r="E43" s="1"/>
      <c r="F43" s="5">
        <f t="shared" si="20"/>
        <v>7.0211138014527844E-2</v>
      </c>
      <c r="G43" s="1"/>
      <c r="H43" s="1">
        <f>SUM(OSRRefH22_3x_0)</f>
        <v>1500</v>
      </c>
      <c r="I43" s="1"/>
      <c r="J43" s="5">
        <f t="shared" si="21"/>
        <v>8.9496670723849068E-3</v>
      </c>
      <c r="K43" s="1"/>
      <c r="L43" s="1">
        <f t="shared" si="22"/>
        <v>674.79</v>
      </c>
      <c r="M43" s="1"/>
      <c r="N43" s="5">
        <f t="shared" si="23"/>
        <v>0.44985999999999998</v>
      </c>
      <c r="O43" s="13"/>
      <c r="P43" s="1">
        <f>SUM(OSRRefP22_3x_0)</f>
        <v>2494.4899999999998</v>
      </c>
      <c r="Q43" s="1"/>
      <c r="R43" s="5">
        <f t="shared" si="24"/>
        <v>3.6745278849836485E-2</v>
      </c>
      <c r="S43" s="1"/>
      <c r="T43" s="1">
        <f>SUM(OSRRefT22_3x_0)</f>
        <v>3000</v>
      </c>
      <c r="U43" s="1"/>
      <c r="V43" s="5">
        <f t="shared" si="25"/>
        <v>1.4818912884550789E-2</v>
      </c>
      <c r="W43" s="1"/>
      <c r="X43" s="1">
        <f t="shared" si="26"/>
        <v>-505.51000000000022</v>
      </c>
      <c r="Y43" s="1"/>
      <c r="Z43" s="5">
        <f t="shared" si="27"/>
        <v>-0.16850333333333339</v>
      </c>
    </row>
    <row r="44" spans="1:26" s="24" customFormat="1" hidden="1" outlineLevel="2" x14ac:dyDescent="0.25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2174.79</v>
      </c>
      <c r="E44" s="2"/>
      <c r="F44" s="7">
        <f t="shared" si="20"/>
        <v>7.0211138014527844E-2</v>
      </c>
      <c r="G44" s="2"/>
      <c r="H44" s="6">
        <v>1500</v>
      </c>
      <c r="I44" s="2"/>
      <c r="J44" s="7">
        <f t="shared" si="21"/>
        <v>8.9496670723849068E-3</v>
      </c>
      <c r="K44" s="2"/>
      <c r="L44" s="6">
        <f t="shared" si="22"/>
        <v>674.79</v>
      </c>
      <c r="M44" s="2"/>
      <c r="N44" s="7">
        <f t="shared" si="23"/>
        <v>0.44985999999999998</v>
      </c>
      <c r="O44" s="11"/>
      <c r="P44" s="6">
        <v>2494.4899999999998</v>
      </c>
      <c r="Q44" s="2"/>
      <c r="R44" s="7">
        <f t="shared" si="24"/>
        <v>3.6745278849836485E-2</v>
      </c>
      <c r="S44" s="2"/>
      <c r="T44" s="6">
        <v>3000</v>
      </c>
      <c r="U44" s="2"/>
      <c r="V44" s="7">
        <f t="shared" si="25"/>
        <v>1.4818912884550789E-2</v>
      </c>
      <c r="W44" s="2"/>
      <c r="X44" s="6">
        <f t="shared" si="26"/>
        <v>-505.51000000000022</v>
      </c>
      <c r="Y44" s="2"/>
      <c r="Z44" s="7">
        <f t="shared" si="27"/>
        <v>-0.16850333333333339</v>
      </c>
    </row>
    <row r="45" spans="1:26" s="26" customFormat="1" outlineLevel="1" collapsed="1" x14ac:dyDescent="0.25">
      <c r="A45" s="25"/>
      <c r="B45" s="13" t="str">
        <f>CONCATENATE("     ","Employees' Appreciation                           ")</f>
        <v xml:space="preserve">     Employees' Appreciation                           </v>
      </c>
      <c r="C45" s="13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75</v>
      </c>
      <c r="I45" s="1"/>
      <c r="J45" s="5">
        <f t="shared" si="21"/>
        <v>4.4748335361924536E-4</v>
      </c>
      <c r="K45" s="1"/>
      <c r="L45" s="1">
        <f t="shared" si="22"/>
        <v>-75</v>
      </c>
      <c r="M45" s="1"/>
      <c r="N45" s="5">
        <f t="shared" si="23"/>
        <v>-1</v>
      </c>
      <c r="O45" s="13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150</v>
      </c>
      <c r="U45" s="1"/>
      <c r="V45" s="5">
        <f t="shared" si="25"/>
        <v>7.4094564422753949E-4</v>
      </c>
      <c r="W45" s="1"/>
      <c r="X45" s="1">
        <f t="shared" si="26"/>
        <v>-150</v>
      </c>
      <c r="Y45" s="1"/>
      <c r="Z45" s="5">
        <f t="shared" si="27"/>
        <v>-1</v>
      </c>
    </row>
    <row r="46" spans="1:26" s="24" customFormat="1" hidden="1" outlineLevel="2" x14ac:dyDescent="0.25">
      <c r="A46" s="27"/>
      <c r="B46" s="11" t="str">
        <f>CONCATENATE("          ", "6277", " - ", "EMPLOYEE APPRECIATION")</f>
        <v xml:space="preserve">          6277 - EMPLOYEE APPRECIATION</v>
      </c>
      <c r="C46" s="11"/>
      <c r="D46" s="6"/>
      <c r="E46" s="2"/>
      <c r="F46" s="7">
        <f t="shared" si="20"/>
        <v>0</v>
      </c>
      <c r="G46" s="2"/>
      <c r="H46" s="6">
        <v>75</v>
      </c>
      <c r="I46" s="2"/>
      <c r="J46" s="7">
        <f t="shared" si="21"/>
        <v>4.4748335361924536E-4</v>
      </c>
      <c r="K46" s="2"/>
      <c r="L46" s="6">
        <f t="shared" si="22"/>
        <v>-75</v>
      </c>
      <c r="M46" s="2"/>
      <c r="N46" s="7">
        <f t="shared" si="23"/>
        <v>-1</v>
      </c>
      <c r="O46" s="11"/>
      <c r="P46" s="6"/>
      <c r="Q46" s="2"/>
      <c r="R46" s="7">
        <f t="shared" si="24"/>
        <v>0</v>
      </c>
      <c r="S46" s="2"/>
      <c r="T46" s="6">
        <v>150</v>
      </c>
      <c r="U46" s="2"/>
      <c r="V46" s="7">
        <f t="shared" si="25"/>
        <v>7.4094564422753949E-4</v>
      </c>
      <c r="W46" s="2"/>
      <c r="X46" s="6">
        <f t="shared" si="26"/>
        <v>-150</v>
      </c>
      <c r="Y46" s="2"/>
      <c r="Z46" s="7">
        <f t="shared" si="27"/>
        <v>-1</v>
      </c>
    </row>
    <row r="47" spans="1:26" s="26" customFormat="1" outlineLevel="1" collapsed="1" x14ac:dyDescent="0.25">
      <c r="A47" s="25"/>
      <c r="B47" s="13" t="str">
        <f>CONCATENATE("     ","Freight out/Postage                               ")</f>
        <v xml:space="preserve">     Freight out/Postage                               </v>
      </c>
      <c r="C47" s="13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</v>
      </c>
      <c r="I47" s="1"/>
      <c r="J47" s="5">
        <f t="shared" si="21"/>
        <v>5.9664447149232717E-5</v>
      </c>
      <c r="K47" s="1"/>
      <c r="L47" s="1">
        <f t="shared" si="22"/>
        <v>-10</v>
      </c>
      <c r="M47" s="1"/>
      <c r="N47" s="5">
        <f t="shared" si="23"/>
        <v>-1</v>
      </c>
      <c r="O47" s="13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20</v>
      </c>
      <c r="U47" s="1"/>
      <c r="V47" s="5">
        <f t="shared" si="25"/>
        <v>9.8792752563671928E-5</v>
      </c>
      <c r="W47" s="1"/>
      <c r="X47" s="1">
        <f t="shared" si="26"/>
        <v>-20</v>
      </c>
      <c r="Y47" s="1"/>
      <c r="Z47" s="5">
        <f t="shared" si="27"/>
        <v>-1</v>
      </c>
    </row>
    <row r="48" spans="1:26" s="24" customFormat="1" hidden="1" outlineLevel="2" x14ac:dyDescent="0.25">
      <c r="A48" s="27"/>
      <c r="B48" s="11" t="str">
        <f>CONCATENATE("          ", "6307", " - ", "POSTAGE")</f>
        <v xml:space="preserve">          6307 - POSTAGE</v>
      </c>
      <c r="C48" s="11"/>
      <c r="D48" s="6"/>
      <c r="E48" s="2"/>
      <c r="F48" s="7">
        <f t="shared" si="20"/>
        <v>0</v>
      </c>
      <c r="G48" s="2"/>
      <c r="H48" s="6">
        <v>10</v>
      </c>
      <c r="I48" s="2"/>
      <c r="J48" s="7">
        <f t="shared" si="21"/>
        <v>5.9664447149232717E-5</v>
      </c>
      <c r="K48" s="2"/>
      <c r="L48" s="6">
        <f t="shared" si="22"/>
        <v>-10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20</v>
      </c>
      <c r="U48" s="2"/>
      <c r="V48" s="7">
        <f t="shared" si="25"/>
        <v>9.8792752563671928E-5</v>
      </c>
      <c r="W48" s="2"/>
      <c r="X48" s="6">
        <f t="shared" si="26"/>
        <v>-20</v>
      </c>
      <c r="Y48" s="2"/>
      <c r="Z48" s="7">
        <f t="shared" si="27"/>
        <v>-1</v>
      </c>
    </row>
    <row r="49" spans="1:26" s="26" customFormat="1" outlineLevel="1" collapsed="1" x14ac:dyDescent="0.25">
      <c r="A49" s="25"/>
      <c r="B49" s="13" t="str">
        <f>CONCATENATE("     ","General                                           ")</f>
        <v xml:space="preserve">     General                                           </v>
      </c>
      <c r="C49" s="13"/>
      <c r="D49" s="1">
        <f>SUM(OSRRefD22_6x_0)</f>
        <v>0</v>
      </c>
      <c r="E49" s="1"/>
      <c r="F49" s="5">
        <f t="shared" si="20"/>
        <v>0</v>
      </c>
      <c r="G49" s="1"/>
      <c r="H49" s="1">
        <f>SUM(OSRRefH22_6x_0)</f>
        <v>50</v>
      </c>
      <c r="I49" s="1"/>
      <c r="J49" s="5">
        <f t="shared" si="21"/>
        <v>2.9832223574616359E-4</v>
      </c>
      <c r="K49" s="1"/>
      <c r="L49" s="1">
        <f t="shared" si="22"/>
        <v>-50</v>
      </c>
      <c r="M49" s="1"/>
      <c r="N49" s="5">
        <f t="shared" si="23"/>
        <v>-1</v>
      </c>
      <c r="O49" s="13"/>
      <c r="P49" s="1">
        <f>SUM(OSRRefP22_6x_0)</f>
        <v>0</v>
      </c>
      <c r="Q49" s="1"/>
      <c r="R49" s="5">
        <f t="shared" si="24"/>
        <v>0</v>
      </c>
      <c r="S49" s="1"/>
      <c r="T49" s="1">
        <f>SUM(OSRRefT22_6x_0)</f>
        <v>100</v>
      </c>
      <c r="U49" s="1"/>
      <c r="V49" s="5">
        <f t="shared" si="25"/>
        <v>4.9396376281835963E-4</v>
      </c>
      <c r="W49" s="1"/>
      <c r="X49" s="1">
        <f t="shared" si="26"/>
        <v>-100</v>
      </c>
      <c r="Y49" s="1"/>
      <c r="Z49" s="5">
        <f t="shared" si="27"/>
        <v>-1</v>
      </c>
    </row>
    <row r="50" spans="1:26" s="24" customFormat="1" hidden="1" outlineLevel="2" x14ac:dyDescent="0.25">
      <c r="A50" s="27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0"/>
        <v>0</v>
      </c>
      <c r="G50" s="2"/>
      <c r="H50" s="6">
        <v>50</v>
      </c>
      <c r="I50" s="2"/>
      <c r="J50" s="7">
        <f t="shared" si="21"/>
        <v>2.9832223574616359E-4</v>
      </c>
      <c r="K50" s="2"/>
      <c r="L50" s="6">
        <f t="shared" si="22"/>
        <v>-50</v>
      </c>
      <c r="M50" s="2"/>
      <c r="N50" s="7">
        <f t="shared" si="23"/>
        <v>-1</v>
      </c>
      <c r="O50" s="11"/>
      <c r="P50" s="6"/>
      <c r="Q50" s="2"/>
      <c r="R50" s="7">
        <f t="shared" si="24"/>
        <v>0</v>
      </c>
      <c r="S50" s="2"/>
      <c r="T50" s="6">
        <v>100</v>
      </c>
      <c r="U50" s="2"/>
      <c r="V50" s="7">
        <f t="shared" si="25"/>
        <v>4.9396376281835963E-4</v>
      </c>
      <c r="W50" s="2"/>
      <c r="X50" s="6">
        <f t="shared" si="26"/>
        <v>-100</v>
      </c>
      <c r="Y50" s="2"/>
      <c r="Z50" s="7">
        <f t="shared" si="27"/>
        <v>-1</v>
      </c>
    </row>
    <row r="51" spans="1:26" s="26" customFormat="1" outlineLevel="1" collapsed="1" x14ac:dyDescent="0.25">
      <c r="A51" s="25"/>
      <c r="B51" s="13" t="str">
        <f>CONCATENATE("     ","Insurance                                         ")</f>
        <v xml:space="preserve">     Insurance                                         </v>
      </c>
      <c r="C51" s="13"/>
      <c r="D51" s="1">
        <f>SUM(OSRRefD22_7x_0)</f>
        <v>29.01</v>
      </c>
      <c r="E51" s="1"/>
      <c r="F51" s="5">
        <f t="shared" si="20"/>
        <v>9.3656174334140441E-4</v>
      </c>
      <c r="G51" s="1"/>
      <c r="H51" s="1">
        <f>SUM(OSRRefH22_7x_0)</f>
        <v>27</v>
      </c>
      <c r="I51" s="1"/>
      <c r="J51" s="5">
        <f t="shared" si="21"/>
        <v>1.6109400730292834E-4</v>
      </c>
      <c r="K51" s="1"/>
      <c r="L51" s="1">
        <f t="shared" si="22"/>
        <v>2.0100000000000016</v>
      </c>
      <c r="M51" s="1"/>
      <c r="N51" s="5">
        <f t="shared" si="23"/>
        <v>7.4444444444444507E-2</v>
      </c>
      <c r="O51" s="13"/>
      <c r="P51" s="1">
        <f>SUM(OSRRefP22_7x_0)</f>
        <v>58.02</v>
      </c>
      <c r="Q51" s="1"/>
      <c r="R51" s="5">
        <f t="shared" si="24"/>
        <v>8.5466812008366973E-4</v>
      </c>
      <c r="S51" s="1"/>
      <c r="T51" s="1">
        <f>SUM(OSRRefT22_7x_0)</f>
        <v>54</v>
      </c>
      <c r="U51" s="1"/>
      <c r="V51" s="5">
        <f t="shared" si="25"/>
        <v>2.6674043192191421E-4</v>
      </c>
      <c r="W51" s="1"/>
      <c r="X51" s="1">
        <f t="shared" si="26"/>
        <v>4.0200000000000031</v>
      </c>
      <c r="Y51" s="1"/>
      <c r="Z51" s="5">
        <f t="shared" si="27"/>
        <v>7.4444444444444507E-2</v>
      </c>
    </row>
    <row r="52" spans="1:26" s="24" customFormat="1" hidden="1" outlineLevel="2" x14ac:dyDescent="0.25">
      <c r="A52" s="27"/>
      <c r="B52" s="11" t="str">
        <f>CONCATENATE("          ", "6314", " - ", "LIABILITY INSURANCE")</f>
        <v xml:space="preserve">          6314 - LIABILITY INSURANCE</v>
      </c>
      <c r="C52" s="11"/>
      <c r="D52" s="6">
        <v>29.01</v>
      </c>
      <c r="E52" s="2"/>
      <c r="F52" s="7">
        <f t="shared" si="20"/>
        <v>9.3656174334140441E-4</v>
      </c>
      <c r="G52" s="2"/>
      <c r="H52" s="6">
        <v>27</v>
      </c>
      <c r="I52" s="2"/>
      <c r="J52" s="7">
        <f t="shared" si="21"/>
        <v>1.6109400730292834E-4</v>
      </c>
      <c r="K52" s="2"/>
      <c r="L52" s="6">
        <f t="shared" si="22"/>
        <v>2.0100000000000016</v>
      </c>
      <c r="M52" s="2"/>
      <c r="N52" s="7">
        <f t="shared" si="23"/>
        <v>7.4444444444444507E-2</v>
      </c>
      <c r="O52" s="11"/>
      <c r="P52" s="6">
        <v>58.02</v>
      </c>
      <c r="Q52" s="2"/>
      <c r="R52" s="7">
        <f t="shared" si="24"/>
        <v>8.5466812008366973E-4</v>
      </c>
      <c r="S52" s="2"/>
      <c r="T52" s="6">
        <v>54</v>
      </c>
      <c r="U52" s="2"/>
      <c r="V52" s="7">
        <f t="shared" si="25"/>
        <v>2.6674043192191421E-4</v>
      </c>
      <c r="W52" s="2"/>
      <c r="X52" s="6">
        <f t="shared" si="26"/>
        <v>4.0200000000000031</v>
      </c>
      <c r="Y52" s="2"/>
      <c r="Z52" s="7">
        <f t="shared" si="27"/>
        <v>7.4444444444444507E-2</v>
      </c>
    </row>
    <row r="53" spans="1:26" s="26" customFormat="1" outlineLevel="1" collapsed="1" x14ac:dyDescent="0.25">
      <c r="A53" s="25"/>
      <c r="B53" s="13" t="str">
        <f>CONCATENATE("     ","Professional Services                             ")</f>
        <v xml:space="preserve">     Professional Services                             </v>
      </c>
      <c r="C53" s="13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400</v>
      </c>
      <c r="I53" s="1"/>
      <c r="J53" s="5">
        <f t="shared" si="21"/>
        <v>2.3865778859693087E-3</v>
      </c>
      <c r="K53" s="1"/>
      <c r="L53" s="1">
        <f t="shared" si="22"/>
        <v>-400</v>
      </c>
      <c r="M53" s="1"/>
      <c r="N53" s="5">
        <f t="shared" si="23"/>
        <v>-1</v>
      </c>
      <c r="O53" s="13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800</v>
      </c>
      <c r="U53" s="1"/>
      <c r="V53" s="5">
        <f t="shared" si="25"/>
        <v>3.951710102546877E-3</v>
      </c>
      <c r="W53" s="1"/>
      <c r="X53" s="1">
        <f t="shared" si="26"/>
        <v>-800</v>
      </c>
      <c r="Y53" s="1"/>
      <c r="Z53" s="5">
        <f t="shared" si="27"/>
        <v>-1</v>
      </c>
    </row>
    <row r="54" spans="1:26" s="24" customFormat="1" hidden="1" outlineLevel="2" x14ac:dyDescent="0.25">
      <c r="A54" s="27"/>
      <c r="B54" s="11" t="str">
        <f>CONCATENATE("          ", "6336", " - ", "PROFESSIONAL SERVICES")</f>
        <v xml:space="preserve">          6336 - PROFESSIONAL SERVICES</v>
      </c>
      <c r="C54" s="11"/>
      <c r="D54" s="6"/>
      <c r="E54" s="2"/>
      <c r="F54" s="7">
        <f t="shared" si="20"/>
        <v>0</v>
      </c>
      <c r="G54" s="2"/>
      <c r="H54" s="6">
        <v>400</v>
      </c>
      <c r="I54" s="2"/>
      <c r="J54" s="7">
        <f t="shared" si="21"/>
        <v>2.3865778859693087E-3</v>
      </c>
      <c r="K54" s="2"/>
      <c r="L54" s="6">
        <f t="shared" si="22"/>
        <v>-400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800</v>
      </c>
      <c r="U54" s="2"/>
      <c r="V54" s="7">
        <f t="shared" si="25"/>
        <v>3.951710102546877E-3</v>
      </c>
      <c r="W54" s="2"/>
      <c r="X54" s="6">
        <f t="shared" si="26"/>
        <v>-800</v>
      </c>
      <c r="Y54" s="2"/>
      <c r="Z54" s="7">
        <f t="shared" si="27"/>
        <v>-1</v>
      </c>
    </row>
    <row r="55" spans="1:26" s="26" customFormat="1" outlineLevel="1" collapsed="1" x14ac:dyDescent="0.25">
      <c r="A55" s="25"/>
      <c r="B55" s="13" t="str">
        <f>CONCATENATE("     ","Rent                                              ")</f>
        <v xml:space="preserve">     Rent                                              </v>
      </c>
      <c r="C55" s="13"/>
      <c r="D55" s="1">
        <f>SUM(OSRRefD22_9x_0)</f>
        <v>800</v>
      </c>
      <c r="E55" s="1"/>
      <c r="F55" s="5">
        <f t="shared" si="20"/>
        <v>2.5827280064568199E-2</v>
      </c>
      <c r="G55" s="1"/>
      <c r="H55" s="1">
        <f>SUM(OSRRefH22_9x_0)</f>
        <v>800</v>
      </c>
      <c r="I55" s="1"/>
      <c r="J55" s="5">
        <f t="shared" si="21"/>
        <v>4.7731557719386175E-3</v>
      </c>
      <c r="K55" s="1"/>
      <c r="L55" s="1">
        <f t="shared" si="22"/>
        <v>0</v>
      </c>
      <c r="M55" s="1"/>
      <c r="N55" s="5">
        <f t="shared" si="23"/>
        <v>0</v>
      </c>
      <c r="O55" s="13"/>
      <c r="P55" s="1">
        <f>SUM(OSRRefP22_9x_0)</f>
        <v>1600</v>
      </c>
      <c r="Q55" s="1"/>
      <c r="R55" s="5">
        <f t="shared" si="24"/>
        <v>2.3568924373213916E-2</v>
      </c>
      <c r="S55" s="1"/>
      <c r="T55" s="1">
        <f>SUM(OSRRefT22_9x_0)</f>
        <v>1600</v>
      </c>
      <c r="U55" s="1"/>
      <c r="V55" s="5">
        <f t="shared" si="25"/>
        <v>7.903420205093754E-3</v>
      </c>
      <c r="W55" s="1"/>
      <c r="X55" s="1">
        <f t="shared" si="26"/>
        <v>0</v>
      </c>
      <c r="Y55" s="1"/>
      <c r="Z55" s="5">
        <f t="shared" si="27"/>
        <v>0</v>
      </c>
    </row>
    <row r="56" spans="1:26" s="24" customFormat="1" hidden="1" outlineLevel="2" x14ac:dyDescent="0.25">
      <c r="A56" s="27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0"/>
        <v>2.5827280064568199E-2</v>
      </c>
      <c r="G56" s="2"/>
      <c r="H56" s="6">
        <v>800</v>
      </c>
      <c r="I56" s="2"/>
      <c r="J56" s="7">
        <f t="shared" si="21"/>
        <v>4.7731557719386175E-3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>
        <v>1600</v>
      </c>
      <c r="Q56" s="2"/>
      <c r="R56" s="7">
        <f t="shared" si="24"/>
        <v>2.3568924373213916E-2</v>
      </c>
      <c r="S56" s="2"/>
      <c r="T56" s="6">
        <v>1600</v>
      </c>
      <c r="U56" s="2"/>
      <c r="V56" s="7">
        <f t="shared" si="25"/>
        <v>7.903420205093754E-3</v>
      </c>
      <c r="W56" s="2"/>
      <c r="X56" s="6">
        <f t="shared" si="26"/>
        <v>0</v>
      </c>
      <c r="Y56" s="2"/>
      <c r="Z56" s="7">
        <f t="shared" si="27"/>
        <v>0</v>
      </c>
    </row>
    <row r="57" spans="1:26" s="26" customFormat="1" outlineLevel="1" collapsed="1" x14ac:dyDescent="0.25">
      <c r="A57" s="25"/>
      <c r="B57" s="13" t="str">
        <f>CONCATENATE("     ","Repair and Maintenance                            ")</f>
        <v xml:space="preserve">     Repair and Maintenance                            </v>
      </c>
      <c r="C57" s="13"/>
      <c r="D57" s="1">
        <f>SUM(OSRRefD22_10x_0)</f>
        <v>0</v>
      </c>
      <c r="E57" s="1"/>
      <c r="F57" s="5">
        <f t="shared" si="20"/>
        <v>0</v>
      </c>
      <c r="G57" s="1"/>
      <c r="H57" s="1">
        <f>SUM(OSRRefH22_10x_0)</f>
        <v>127000</v>
      </c>
      <c r="I57" s="1"/>
      <c r="J57" s="5">
        <f t="shared" si="21"/>
        <v>0.75773847879525547</v>
      </c>
      <c r="K57" s="1"/>
      <c r="L57" s="1">
        <f t="shared" si="22"/>
        <v>-127000</v>
      </c>
      <c r="M57" s="1"/>
      <c r="N57" s="5">
        <f t="shared" si="23"/>
        <v>-1</v>
      </c>
      <c r="O57" s="13"/>
      <c r="P57" s="1">
        <f>SUM(OSRRefP22_10x_0)</f>
        <v>0</v>
      </c>
      <c r="Q57" s="1"/>
      <c r="R57" s="5">
        <f t="shared" si="24"/>
        <v>0</v>
      </c>
      <c r="S57" s="1"/>
      <c r="T57" s="1">
        <f>SUM(OSRRefT22_10x_0)</f>
        <v>129000</v>
      </c>
      <c r="U57" s="1"/>
      <c r="V57" s="5">
        <f t="shared" si="25"/>
        <v>0.63721325403568396</v>
      </c>
      <c r="W57" s="1"/>
      <c r="X57" s="1">
        <f t="shared" si="26"/>
        <v>-129000</v>
      </c>
      <c r="Y57" s="1"/>
      <c r="Z57" s="5">
        <f t="shared" si="27"/>
        <v>-1</v>
      </c>
    </row>
    <row r="58" spans="1:26" s="24" customFormat="1" hidden="1" outlineLevel="2" x14ac:dyDescent="0.25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0"/>
        <v>0</v>
      </c>
      <c r="G58" s="2"/>
      <c r="H58" s="6">
        <v>125000</v>
      </c>
      <c r="I58" s="2"/>
      <c r="J58" s="7">
        <f t="shared" si="21"/>
        <v>0.74580558936540897</v>
      </c>
      <c r="K58" s="2"/>
      <c r="L58" s="6">
        <f t="shared" si="22"/>
        <v>-125000</v>
      </c>
      <c r="M58" s="2"/>
      <c r="N58" s="7">
        <f t="shared" si="23"/>
        <v>-1</v>
      </c>
      <c r="O58" s="11"/>
      <c r="P58" s="6"/>
      <c r="Q58" s="2"/>
      <c r="R58" s="7">
        <f t="shared" si="24"/>
        <v>0</v>
      </c>
      <c r="S58" s="2"/>
      <c r="T58" s="6">
        <v>125000</v>
      </c>
      <c r="U58" s="2"/>
      <c r="V58" s="7">
        <f t="shared" si="25"/>
        <v>0.61745470352294951</v>
      </c>
      <c r="W58" s="2"/>
      <c r="X58" s="6">
        <f t="shared" si="26"/>
        <v>-125000</v>
      </c>
      <c r="Y58" s="2"/>
      <c r="Z58" s="7">
        <f t="shared" si="27"/>
        <v>-1</v>
      </c>
    </row>
    <row r="59" spans="1:26" s="24" customFormat="1" hidden="1" outlineLevel="2" x14ac:dyDescent="0.25">
      <c r="A59" s="27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0"/>
        <v>0</v>
      </c>
      <c r="G59" s="2"/>
      <c r="H59" s="6">
        <v>2000</v>
      </c>
      <c r="I59" s="2"/>
      <c r="J59" s="7">
        <f t="shared" si="21"/>
        <v>1.1932889429846542E-2</v>
      </c>
      <c r="K59" s="2"/>
      <c r="L59" s="6">
        <f t="shared" si="22"/>
        <v>-2000</v>
      </c>
      <c r="M59" s="2"/>
      <c r="N59" s="7">
        <f t="shared" si="23"/>
        <v>-1</v>
      </c>
      <c r="O59" s="11"/>
      <c r="P59" s="6"/>
      <c r="Q59" s="2"/>
      <c r="R59" s="7">
        <f t="shared" si="24"/>
        <v>0</v>
      </c>
      <c r="S59" s="2"/>
      <c r="T59" s="6">
        <v>4000</v>
      </c>
      <c r="U59" s="2"/>
      <c r="V59" s="7">
        <f t="shared" si="25"/>
        <v>1.9758550512734386E-2</v>
      </c>
      <c r="W59" s="2"/>
      <c r="X59" s="6">
        <f t="shared" si="26"/>
        <v>-4000</v>
      </c>
      <c r="Y59" s="2"/>
      <c r="Z59" s="7">
        <f t="shared" si="27"/>
        <v>-1</v>
      </c>
    </row>
    <row r="60" spans="1:26" s="26" customFormat="1" outlineLevel="1" collapsed="1" x14ac:dyDescent="0.25">
      <c r="A60" s="25"/>
      <c r="B60" s="13" t="str">
        <f>CONCATENATE("     ","Supplies                                          ")</f>
        <v xml:space="preserve">     Supplies                                          </v>
      </c>
      <c r="C60" s="13"/>
      <c r="D60" s="1">
        <f>SUM(OSRRefD22_11x_0)</f>
        <v>419.85999999999996</v>
      </c>
      <c r="E60" s="1"/>
      <c r="F60" s="5">
        <f t="shared" ref="F60:F62" si="28">IF(D$12=0,0,D60/D$12)</f>
        <v>1.3554802259887004E-2</v>
      </c>
      <c r="G60" s="1"/>
      <c r="H60" s="1">
        <f>SUM(OSRRefH22_11x_0)</f>
        <v>7000</v>
      </c>
      <c r="I60" s="1"/>
      <c r="J60" s="5">
        <f t="shared" ref="J60:J62" si="29">IF(H$12=0,0,H60/H$12)</f>
        <v>4.1765113004462902E-2</v>
      </c>
      <c r="K60" s="1"/>
      <c r="L60" s="1">
        <f t="shared" ref="L60:L62" si="30">+D60-H60</f>
        <v>-6580.14</v>
      </c>
      <c r="M60" s="1"/>
      <c r="N60" s="5">
        <f t="shared" ref="N60:N62" si="31">IF(H60=0,0,L60/H60)</f>
        <v>-0.94002000000000008</v>
      </c>
      <c r="O60" s="13"/>
      <c r="P60" s="1">
        <f>SUM(OSRRefP22_11x_0)</f>
        <v>14836.07</v>
      </c>
      <c r="Q60" s="1"/>
      <c r="R60" s="5">
        <f t="shared" ref="R60:R62" si="32">IF(P$12=0,0,P60/P$12)</f>
        <v>0.21854388239106737</v>
      </c>
      <c r="S60" s="1"/>
      <c r="T60" s="1">
        <f>SUM(OSRRefT22_11x_0)</f>
        <v>14100</v>
      </c>
      <c r="U60" s="1"/>
      <c r="V60" s="5">
        <f t="shared" ref="V60:V62" si="33">IF(T$12=0,0,T60/T$12)</f>
        <v>6.964889055738871E-2</v>
      </c>
      <c r="W60" s="1"/>
      <c r="X60" s="1">
        <f t="shared" ref="X60:X62" si="34">+P60-T60</f>
        <v>736.06999999999971</v>
      </c>
      <c r="Y60" s="1"/>
      <c r="Z60" s="5">
        <f t="shared" ref="Z60:Z62" si="35">IF(T60=0,0,X60/T60)</f>
        <v>5.220354609929076E-2</v>
      </c>
    </row>
    <row r="61" spans="1:26" s="24" customFormat="1" hidden="1" outlineLevel="2" x14ac:dyDescent="0.25">
      <c r="A61" s="27"/>
      <c r="B61" s="11" t="str">
        <f>CONCATENATE("          ", "6234", " - ", "EXPENDABLE SUPPLIES &amp; EQUIPMEN")</f>
        <v xml:space="preserve">          6234 - EXPENDABLE SUPPLIES &amp; EQUIPMEN</v>
      </c>
      <c r="C61" s="11"/>
      <c r="D61" s="6">
        <v>413.27</v>
      </c>
      <c r="E61" s="2"/>
      <c r="F61" s="7">
        <f t="shared" si="28"/>
        <v>1.3342050040355125E-2</v>
      </c>
      <c r="G61" s="2"/>
      <c r="H61" s="6">
        <v>7000</v>
      </c>
      <c r="I61" s="2"/>
      <c r="J61" s="7">
        <f t="shared" si="29"/>
        <v>4.1765113004462902E-2</v>
      </c>
      <c r="K61" s="2"/>
      <c r="L61" s="6">
        <f t="shared" si="30"/>
        <v>-6586.73</v>
      </c>
      <c r="M61" s="2"/>
      <c r="N61" s="7">
        <f t="shared" si="31"/>
        <v>-0.9409614285714285</v>
      </c>
      <c r="O61" s="11"/>
      <c r="P61" s="6">
        <v>413.27</v>
      </c>
      <c r="Q61" s="2"/>
      <c r="R61" s="7">
        <f t="shared" si="32"/>
        <v>6.0877058598238221E-3</v>
      </c>
      <c r="S61" s="2"/>
      <c r="T61" s="6">
        <v>14100</v>
      </c>
      <c r="U61" s="2"/>
      <c r="V61" s="7">
        <f t="shared" si="33"/>
        <v>6.964889055738871E-2</v>
      </c>
      <c r="W61" s="2"/>
      <c r="X61" s="6">
        <f t="shared" si="34"/>
        <v>-13686.73</v>
      </c>
      <c r="Y61" s="2"/>
      <c r="Z61" s="7">
        <f t="shared" si="35"/>
        <v>-0.97069007092198578</v>
      </c>
    </row>
    <row r="62" spans="1:26" s="24" customFormat="1" hidden="1" outlineLevel="2" x14ac:dyDescent="0.25">
      <c r="A62" s="27"/>
      <c r="B62" s="11" t="str">
        <f>CONCATENATE("          ", "6241", " - ", "OFFICE EXPENSE")</f>
        <v xml:space="preserve">          6241 - OFFICE EXPENSE</v>
      </c>
      <c r="C62" s="11"/>
      <c r="D62" s="6">
        <v>6.59</v>
      </c>
      <c r="E62" s="2"/>
      <c r="F62" s="7">
        <f t="shared" si="28"/>
        <v>2.1275221953188055E-4</v>
      </c>
      <c r="G62" s="2"/>
      <c r="H62" s="6"/>
      <c r="I62" s="2"/>
      <c r="J62" s="7">
        <f t="shared" si="29"/>
        <v>0</v>
      </c>
      <c r="K62" s="2"/>
      <c r="L62" s="6">
        <f t="shared" si="30"/>
        <v>6.59</v>
      </c>
      <c r="M62" s="2"/>
      <c r="N62" s="7">
        <f t="shared" si="31"/>
        <v>0</v>
      </c>
      <c r="O62" s="11"/>
      <c r="P62" s="6">
        <v>14422.8</v>
      </c>
      <c r="Q62" s="2"/>
      <c r="R62" s="7">
        <f t="shared" si="32"/>
        <v>0.21245617653124355</v>
      </c>
      <c r="S62" s="2"/>
      <c r="T62" s="6"/>
      <c r="U62" s="2"/>
      <c r="V62" s="7">
        <f t="shared" si="33"/>
        <v>0</v>
      </c>
      <c r="W62" s="2"/>
      <c r="X62" s="6">
        <f t="shared" si="34"/>
        <v>14422.8</v>
      </c>
      <c r="Y62" s="2"/>
      <c r="Z62" s="7">
        <f t="shared" si="35"/>
        <v>0</v>
      </c>
    </row>
    <row r="63" spans="1:26" s="26" customFormat="1" outlineLevel="1" collapsed="1" x14ac:dyDescent="0.25">
      <c r="A63" s="25"/>
      <c r="B63" s="13" t="str">
        <f>CONCATENATE("     ","Telephone/Data Lines                              ")</f>
        <v xml:space="preserve">     Telephone/Data Lines                              </v>
      </c>
      <c r="C63" s="13"/>
      <c r="D63" s="1">
        <f>SUM(OSRRefD22_12x_0)</f>
        <v>199</v>
      </c>
      <c r="E63" s="1"/>
      <c r="F63" s="5">
        <f t="shared" ref="F63:F64" si="36">IF(D$12=0,0,D63/D$12)</f>
        <v>6.4245359160613399E-3</v>
      </c>
      <c r="G63" s="1"/>
      <c r="H63" s="1">
        <f>SUM(OSRRefH22_12x_0)</f>
        <v>350</v>
      </c>
      <c r="I63" s="1"/>
      <c r="J63" s="5">
        <f t="shared" ref="J63:J64" si="37">IF(H$12=0,0,H63/H$12)</f>
        <v>2.0882556502231451E-3</v>
      </c>
      <c r="K63" s="1"/>
      <c r="L63" s="1">
        <f t="shared" ref="L63:L64" si="38">+D63-H63</f>
        <v>-151</v>
      </c>
      <c r="M63" s="1"/>
      <c r="N63" s="5">
        <f t="shared" ref="N63:N64" si="39">IF(H63=0,0,L63/H63)</f>
        <v>-0.43142857142857144</v>
      </c>
      <c r="O63" s="13"/>
      <c r="P63" s="1">
        <f>SUM(OSRRefP22_12x_0)</f>
        <v>175.65</v>
      </c>
      <c r="Q63" s="1"/>
      <c r="R63" s="5">
        <f t="shared" ref="R63:R64" si="40">IF(P$12=0,0,P63/P$12)</f>
        <v>2.5874259788468907E-3</v>
      </c>
      <c r="S63" s="1"/>
      <c r="T63" s="1">
        <f>SUM(OSRRefT22_12x_0)</f>
        <v>700</v>
      </c>
      <c r="U63" s="1"/>
      <c r="V63" s="5">
        <f t="shared" ref="V63:V64" si="41">IF(T$12=0,0,T63/T$12)</f>
        <v>3.4577463397285177E-3</v>
      </c>
      <c r="W63" s="1"/>
      <c r="X63" s="1">
        <f t="shared" ref="X63:X64" si="42">+P63-T63</f>
        <v>-524.35</v>
      </c>
      <c r="Y63" s="1"/>
      <c r="Z63" s="5">
        <f t="shared" ref="Z63:Z64" si="43">IF(T63=0,0,X63/T63)</f>
        <v>-0.74907142857142861</v>
      </c>
    </row>
    <row r="64" spans="1:26" s="24" customFormat="1" hidden="1" outlineLevel="2" x14ac:dyDescent="0.25">
      <c r="A64" s="27"/>
      <c r="B64" s="11" t="str">
        <f>CONCATENATE("          ", "6309", " - ", "TELEPHONE")</f>
        <v xml:space="preserve">          6309 - TELEPHONE</v>
      </c>
      <c r="C64" s="11"/>
      <c r="D64" s="6">
        <v>199</v>
      </c>
      <c r="E64" s="2"/>
      <c r="F64" s="7">
        <f t="shared" si="36"/>
        <v>6.4245359160613399E-3</v>
      </c>
      <c r="G64" s="2"/>
      <c r="H64" s="6">
        <v>350</v>
      </c>
      <c r="I64" s="2"/>
      <c r="J64" s="7">
        <f t="shared" si="37"/>
        <v>2.0882556502231451E-3</v>
      </c>
      <c r="K64" s="2"/>
      <c r="L64" s="6">
        <f t="shared" si="38"/>
        <v>-151</v>
      </c>
      <c r="M64" s="2"/>
      <c r="N64" s="7">
        <f t="shared" si="39"/>
        <v>-0.43142857142857144</v>
      </c>
      <c r="O64" s="11"/>
      <c r="P64" s="6">
        <v>175.65</v>
      </c>
      <c r="Q64" s="2"/>
      <c r="R64" s="7">
        <f t="shared" si="40"/>
        <v>2.5874259788468907E-3</v>
      </c>
      <c r="S64" s="2"/>
      <c r="T64" s="6">
        <v>700</v>
      </c>
      <c r="U64" s="2"/>
      <c r="V64" s="7">
        <f t="shared" si="41"/>
        <v>3.4577463397285177E-3</v>
      </c>
      <c r="W64" s="2"/>
      <c r="X64" s="6">
        <f t="shared" si="42"/>
        <v>-524.35</v>
      </c>
      <c r="Y64" s="2"/>
      <c r="Z64" s="7">
        <f t="shared" si="43"/>
        <v>-0.74907142857142861</v>
      </c>
    </row>
    <row r="65" spans="1:26" s="63" customFormat="1" x14ac:dyDescent="0.25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collapsed="1" x14ac:dyDescent="0.25">
      <c r="A66" s="10"/>
      <c r="B66" s="28" t="s">
        <v>0</v>
      </c>
      <c r="C66" s="10"/>
      <c r="D66" s="4">
        <f>SUM(OSRRefD25x_0)</f>
        <v>3537.91</v>
      </c>
      <c r="E66" s="4"/>
      <c r="F66" s="12">
        <f t="shared" ref="F66:F67" si="44">IF(D$12=0,0,D66/D$12)</f>
        <v>0.1142182405165456</v>
      </c>
      <c r="G66" s="4"/>
      <c r="H66" s="4">
        <f>SUM(OSRRefH25x_0)</f>
        <v>4500</v>
      </c>
      <c r="I66" s="4"/>
      <c r="J66" s="12">
        <f t="shared" ref="J66:J67" si="45">IF(H$12=0,0,H66/H$12)</f>
        <v>2.6849001217154722E-2</v>
      </c>
      <c r="K66" s="4"/>
      <c r="L66" s="4">
        <f t="shared" ref="L66:L67" si="46">+D66-H66</f>
        <v>-962.09000000000015</v>
      </c>
      <c r="M66" s="4"/>
      <c r="N66" s="12">
        <f t="shared" ref="N66:N67" si="47">IF(H66=0,0,L66/H66)</f>
        <v>-0.21379777777777781</v>
      </c>
      <c r="O66" s="10"/>
      <c r="P66" s="4">
        <f>SUM(OSRRefP25x_0)</f>
        <v>4389</v>
      </c>
      <c r="Q66" s="4"/>
      <c r="R66" s="12">
        <f t="shared" ref="R66:R67" si="48">IF(P$12=0,0,P66/P$12)</f>
        <v>6.4652505671272426E-2</v>
      </c>
      <c r="S66" s="4"/>
      <c r="T66" s="4">
        <f>SUM(OSRRefT25x_0)</f>
        <v>6000</v>
      </c>
      <c r="U66" s="4"/>
      <c r="V66" s="12">
        <f t="shared" ref="V66:V67" si="49">IF(T$12=0,0,T66/T$12)</f>
        <v>2.9637825769101577E-2</v>
      </c>
      <c r="W66" s="4"/>
      <c r="X66" s="4">
        <f t="shared" ref="X66:X67" si="50">+P66-T66</f>
        <v>-1611</v>
      </c>
      <c r="Y66" s="4"/>
      <c r="Z66" s="12">
        <f t="shared" ref="Z66:Z67" si="51">IF(T66=0,0,X66/T66)</f>
        <v>-0.26850000000000002</v>
      </c>
    </row>
    <row r="67" spans="1:26" s="24" customFormat="1" hidden="1" outlineLevel="1" x14ac:dyDescent="0.25">
      <c r="A67" s="46"/>
      <c r="B67" s="11" t="str">
        <f>CONCATENATE("          ", "9150", " - ", "MISC. INCOME")</f>
        <v xml:space="preserve">          9150 - MISC. INCOME</v>
      </c>
      <c r="C67" s="11"/>
      <c r="D67" s="2">
        <f>--3537.91</f>
        <v>3537.91</v>
      </c>
      <c r="E67" s="2"/>
      <c r="F67" s="21">
        <f t="shared" si="44"/>
        <v>0.1142182405165456</v>
      </c>
      <c r="G67" s="2"/>
      <c r="H67" s="2">
        <v>4500</v>
      </c>
      <c r="I67" s="2"/>
      <c r="J67" s="21">
        <f t="shared" si="45"/>
        <v>2.6849001217154722E-2</v>
      </c>
      <c r="K67" s="2"/>
      <c r="L67" s="2">
        <f t="shared" si="46"/>
        <v>-962.09000000000015</v>
      </c>
      <c r="M67" s="2"/>
      <c r="N67" s="21">
        <f t="shared" si="47"/>
        <v>-0.21379777777777781</v>
      </c>
      <c r="O67" s="11"/>
      <c r="P67" s="2">
        <f>--4389</f>
        <v>4389</v>
      </c>
      <c r="Q67" s="2"/>
      <c r="R67" s="21">
        <f t="shared" si="48"/>
        <v>6.4652505671272426E-2</v>
      </c>
      <c r="S67" s="2"/>
      <c r="T67" s="2">
        <v>6000</v>
      </c>
      <c r="U67" s="2"/>
      <c r="V67" s="21">
        <f t="shared" si="49"/>
        <v>2.9637825769101577E-2</v>
      </c>
      <c r="W67" s="2"/>
      <c r="X67" s="2">
        <f t="shared" si="50"/>
        <v>-1611</v>
      </c>
      <c r="Y67" s="2"/>
      <c r="Z67" s="21">
        <f t="shared" si="51"/>
        <v>-0.26850000000000002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9" t="s">
        <v>3</v>
      </c>
      <c r="C69" s="29"/>
      <c r="D69" s="22">
        <f>+D17-D19+D66</f>
        <v>7674.3200000000033</v>
      </c>
      <c r="E69" s="14"/>
      <c r="F69" s="20">
        <f>IF(D$12=0,0,D69/D$12)</f>
        <v>0.24775851493139639</v>
      </c>
      <c r="G69" s="14"/>
      <c r="H69" s="22">
        <f>+H17-H19+H66</f>
        <v>21988.408879153838</v>
      </c>
      <c r="I69" s="14"/>
      <c r="J69" s="20">
        <f>IF(H$12=0,0,H69/H$12)</f>
        <v>0.13119262594659936</v>
      </c>
      <c r="K69" s="15"/>
      <c r="L69" s="22">
        <f>+D69-H69</f>
        <v>-14314.088879153835</v>
      </c>
      <c r="M69" s="15"/>
      <c r="N69" s="20">
        <f>IF(H69=0,0,L69/H69)</f>
        <v>-0.65098338664805977</v>
      </c>
      <c r="O69" s="28"/>
      <c r="P69" s="22">
        <f>+P17-P19+P66</f>
        <v>7674.8000000000102</v>
      </c>
      <c r="Q69" s="14"/>
      <c r="R69" s="20">
        <f>IF(P$12=0,0,P69/P$12)</f>
        <v>0.11305423798721401</v>
      </c>
      <c r="S69" s="14"/>
      <c r="T69" s="22">
        <f>+T17-T19+T66</f>
        <v>26558.655603096151</v>
      </c>
      <c r="U69" s="14"/>
      <c r="V69" s="20">
        <f>IF(T$12=0,0,T69/T$12)</f>
        <v>0.13119013457102285</v>
      </c>
      <c r="W69" s="15"/>
      <c r="X69" s="22">
        <f>+P69-T69</f>
        <v>-18883.855603096141</v>
      </c>
      <c r="Y69" s="15"/>
      <c r="Z69" s="20">
        <f>IF(T69=0,0,X69/T69)</f>
        <v>-0.71102452945301575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2"/>
      <c r="B71" s="10" t="s">
        <v>14</v>
      </c>
      <c r="C71" s="10"/>
      <c r="D71" s="4">
        <v>789.27</v>
      </c>
      <c r="E71" s="4"/>
      <c r="F71" s="12">
        <f>IF(D$12=0,0,D71/D$12)</f>
        <v>2.548087167070218E-2</v>
      </c>
      <c r="G71" s="4"/>
      <c r="H71" s="4">
        <v>24387</v>
      </c>
      <c r="I71" s="4"/>
      <c r="J71" s="12">
        <f>IF(H$12=0,0,H71/H$12)</f>
        <v>0.14550368726283383</v>
      </c>
      <c r="K71" s="4"/>
      <c r="L71" s="4">
        <f>+D71-H71</f>
        <v>-23597.73</v>
      </c>
      <c r="M71" s="4"/>
      <c r="N71" s="12">
        <f>IF(H71=0,0,L71/H71)</f>
        <v>-0.9676356255381966</v>
      </c>
      <c r="O71" s="10"/>
      <c r="P71" s="4">
        <v>8464.15</v>
      </c>
      <c r="Q71" s="4"/>
      <c r="R71" s="12">
        <f>IF(P$12=0,0,P71/P$12)</f>
        <v>0.12468181952096161</v>
      </c>
      <c r="S71" s="4"/>
      <c r="T71" s="4">
        <v>32878</v>
      </c>
      <c r="U71" s="4"/>
      <c r="V71" s="12">
        <f>IF(T$12=0,0,T71/T$12)</f>
        <v>0.16240540593942029</v>
      </c>
      <c r="W71" s="4"/>
      <c r="X71" s="4">
        <f>+P71-T71</f>
        <v>-24413.85</v>
      </c>
      <c r="Y71" s="4"/>
      <c r="Z71" s="12">
        <f>IF(T71=0,0,X71/T71)</f>
        <v>-0.74255885394488708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9" t="s">
        <v>4</v>
      </c>
      <c r="C73" s="29"/>
      <c r="D73" s="31">
        <f>+D69-D71</f>
        <v>6885.0500000000029</v>
      </c>
      <c r="E73" s="14"/>
      <c r="F73" s="32">
        <f>IF(D$12=0,0,D73/D$12)</f>
        <v>0.22227764326069421</v>
      </c>
      <c r="G73" s="14"/>
      <c r="H73" s="31">
        <f>+H69-H71</f>
        <v>-2398.5911208461621</v>
      </c>
      <c r="I73" s="14"/>
      <c r="J73" s="32">
        <f>IF(H$12=0,0,H73/H$12)</f>
        <v>-1.4311061316234469E-2</v>
      </c>
      <c r="K73" s="15"/>
      <c r="L73" s="31">
        <f>D73-H73</f>
        <v>9283.641120846165</v>
      </c>
      <c r="M73" s="15"/>
      <c r="N73" s="32">
        <f>IF(H73=0,0,L73/H73)</f>
        <v>-3.8704558856080196</v>
      </c>
      <c r="O73" s="28"/>
      <c r="P73" s="31">
        <f>+P69-P71</f>
        <v>-789.34999999998945</v>
      </c>
      <c r="Q73" s="14"/>
      <c r="R73" s="32">
        <f>IF(P$12=0,0,P73/P$12)</f>
        <v>-1.1627581533747598E-2</v>
      </c>
      <c r="S73" s="14"/>
      <c r="T73" s="31">
        <f>+T69-T71</f>
        <v>-6319.344396903849</v>
      </c>
      <c r="U73" s="14"/>
      <c r="V73" s="32">
        <f>IF(T$12=0,0,T73/T$12)</f>
        <v>-3.121527136839743E-2</v>
      </c>
      <c r="W73" s="15"/>
      <c r="X73" s="31">
        <f>P73-T73</f>
        <v>5529.9943969038595</v>
      </c>
      <c r="Y73" s="15"/>
      <c r="Z73" s="32">
        <f>IF(T73=0,0,X73/T73)</f>
        <v>-0.87508989059264919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9" t="s">
        <v>5</v>
      </c>
      <c r="C76" s="29"/>
      <c r="D76" s="33">
        <f>SUM(D73:D75)</f>
        <v>6885.0500000000029</v>
      </c>
      <c r="E76" s="14"/>
      <c r="F76" s="35">
        <f>IF(D$12=0,0,D76/D$12)</f>
        <v>0.22227764326069421</v>
      </c>
      <c r="G76" s="14"/>
      <c r="H76" s="33">
        <f>SUM(H73:H75)</f>
        <v>-2398.5911208461621</v>
      </c>
      <c r="I76" s="14"/>
      <c r="J76" s="35">
        <f>IF(H$12=0,0,H76/H$12)</f>
        <v>-1.4311061316234469E-2</v>
      </c>
      <c r="K76" s="15"/>
      <c r="L76" s="33">
        <f>+D76-H76</f>
        <v>9283.641120846165</v>
      </c>
      <c r="M76" s="15"/>
      <c r="N76" s="35">
        <f>IF(H76=0,0,L76/H76)</f>
        <v>-3.8704558856080196</v>
      </c>
      <c r="O76" s="28"/>
      <c r="P76" s="33">
        <f>SUM(P73:P75)</f>
        <v>-789.34999999998945</v>
      </c>
      <c r="Q76" s="14"/>
      <c r="R76" s="35">
        <f>IF(P$12=0,0,P76/P$12)</f>
        <v>-1.1627581533747598E-2</v>
      </c>
      <c r="S76" s="14"/>
      <c r="T76" s="33">
        <f>SUM(T73:T75)</f>
        <v>-6319.344396903849</v>
      </c>
      <c r="U76" s="14"/>
      <c r="V76" s="35">
        <f>IF(T$12=0,0,T76/T$12)</f>
        <v>-3.121527136839743E-2</v>
      </c>
      <c r="W76" s="15"/>
      <c r="X76" s="33">
        <f>+P76-T76</f>
        <v>5529.9943969038595</v>
      </c>
      <c r="Y76" s="15"/>
      <c r="Z76" s="35">
        <f>IF(T76=0,0,X76/T76)</f>
        <v>-0.87508989059264919</v>
      </c>
    </row>
    <row r="77" spans="1:26" ht="15.75" thickTop="1" x14ac:dyDescent="0.25">
      <c r="A77" s="9"/>
      <c r="C77" s="9"/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25">
      <c r="A78" s="9"/>
      <c r="B78" s="61">
        <v>43732.705663969908</v>
      </c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25">
      <c r="A79" s="9"/>
      <c r="B79" s="62" t="s">
        <v>314</v>
      </c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25">
      <c r="A80" s="9"/>
      <c r="B80" s="58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4:24" x14ac:dyDescent="0.25"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103</vt:i4>
      </vt:variant>
      <vt:variant>
        <vt:lpstr>Named Ranges</vt:lpstr>
      </vt:variant>
      <vt:variant>
        <vt:i4>4330</vt:i4>
      </vt:variant>
    </vt:vector>
  </HeadingPairs>
  <TitlesOfParts>
    <vt:vector size="4433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312</vt:lpstr>
      <vt:lpstr>331</vt:lpstr>
      <vt:lpstr>315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323</vt:lpstr>
      <vt:lpstr>324</vt:lpstr>
      <vt:lpstr>325</vt:lpstr>
      <vt:lpstr>326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445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'430'!OSRRefD22_10x_0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'204'!OSRRefD22_11x_0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'313'!OSRRefD22_11x_0</vt:lpstr>
      <vt:lpstr>'315'!OSRRefD22_11x_0</vt:lpstr>
      <vt:lpstr>'316'!OSRRefD22_11x_0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'313'!OSRRefD22_12x_0</vt:lpstr>
      <vt:lpstr>'315'!OSRRefD22_12x_0</vt:lpstr>
      <vt:lpstr>'316'!OSRRefD22_12x_0</vt:lpstr>
      <vt:lpstr>'321'!OSRRefD22_12x_0</vt:lpstr>
      <vt:lpstr>'322'!OSRRefD22_12x_0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'202'!OSRRefD22_13x_0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'313'!OSRRefD22_13x_0</vt:lpstr>
      <vt:lpstr>'315'!OSRRefD22_13x_0</vt:lpstr>
      <vt:lpstr>'321'!OSRRefD22_13x_0</vt:lpstr>
      <vt:lpstr>'322'!OSRRefD22_13x_0</vt:lpstr>
      <vt:lpstr>'325'!OSRRefD22_13x_0</vt:lpstr>
      <vt:lpstr>'326'!OSRRefD22_13x_0</vt:lpstr>
      <vt:lpstr>'330'!OSRRefD22_13x_0</vt:lpstr>
      <vt:lpstr>'331'!OSRRefD22_13x_0</vt:lpstr>
      <vt:lpstr>'332'!OSRRefD22_13x_0</vt:lpstr>
      <vt:lpstr>'405'!OSRRefD22_13x_0</vt:lpstr>
      <vt:lpstr>'406'!OSRRefD22_13x_0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'202'!OSRRefD22_14x_0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'315'!OSRRefD22_14x_0</vt:lpstr>
      <vt:lpstr>'321'!OSRRefD22_14x_0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'414'!OSRRefD22_14x_0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'414'!OSRRefD22_15x_0</vt:lpstr>
      <vt:lpstr>'415'!OSRRefD22_15x_0</vt:lpstr>
      <vt:lpstr>'418'!OSRRefD22_15x_0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'325'!OSRRefD22_16x_0</vt:lpstr>
      <vt:lpstr>'326'!OSRRefD22_16x_0</vt:lpstr>
      <vt:lpstr>'331'!OSRRefD22_16x_0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'325'!OSRRefD22_17x_0</vt:lpstr>
      <vt:lpstr>'326'!OSRRefD22_17x_0</vt:lpstr>
      <vt:lpstr>'331'!OSRRefD22_17x_0</vt:lpstr>
      <vt:lpstr>'405'!OSRRefD22_17x_0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'310'!OSRRefD22_20x_0</vt:lpstr>
      <vt:lpstr>'310 &amp; 491'!OSRRefD22_20x_0</vt:lpstr>
      <vt:lpstr>'326'!OSRRefD22_20x_0</vt:lpstr>
      <vt:lpstr>'331'!OSRRefD22_20x_0</vt:lpstr>
      <vt:lpstr>'491'!OSRRefD22_20x_0</vt:lpstr>
      <vt:lpstr>'Div 2'!OSRRefD22_20x_0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'310'!OSRRefD22_22x_0</vt:lpstr>
      <vt:lpstr>'310 &amp; 491'!OSRRefD22_22x_0</vt:lpstr>
      <vt:lpstr>'331'!OSRRefD22_22x_0</vt:lpstr>
      <vt:lpstr>'491'!OSRRefD22_22x_0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'310 &amp; 491'!OSRRefD22_24x_0</vt:lpstr>
      <vt:lpstr>'Div 3'!OSRRefD22_24x_0</vt:lpstr>
      <vt:lpstr>'Div 4'!OSRRefD22_24x_0</vt:lpstr>
      <vt:lpstr>Summary!OSRRefD22_24x_0</vt:lpstr>
      <vt:lpstr>'310 &amp; 491'!OSRRefD22_25x_0</vt:lpstr>
      <vt:lpstr>'Div 3'!OSRRefD22_25x_0</vt:lpstr>
      <vt:lpstr>Summary!OSRRefD22_25x_0</vt:lpstr>
      <vt:lpstr>'Div 3'!OSRRefD22_26x_0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'306'!OSRRefD22_5x_0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'314'!OSRRefD22_5x_0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'306'!OSRRefD22_6x_0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'314'!OSRRefD22_6x_0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'306'!OSRRefD22_7x_0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'320'!OSRRefD22_7x_0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'430'!OSRRefD22_7x_0</vt:lpstr>
      <vt:lpstr>'433'!OSRRefD22_7x_0</vt:lpstr>
      <vt:lpstr>'435'!OSRRefD22_7x_0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'205'!OSRRefD22_8x_0</vt:lpstr>
      <vt:lpstr>'206'!OSRRefD22_8x_0</vt:lpstr>
      <vt:lpstr>'300'!OSRRefD22_8x_0</vt:lpstr>
      <vt:lpstr>'300 &amp; 317'!OSRRefD22_8x_0</vt:lpstr>
      <vt:lpstr>'301'!OSRRefD22_8x_0</vt:lpstr>
      <vt:lpstr>'306'!OSRRefD22_8x_0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'430'!OSRRefD22_9x_0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'430'!OSRRefH22_10x_0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'204'!OSRRefH22_11x_0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'313'!OSRRefH22_11x_0</vt:lpstr>
      <vt:lpstr>'315'!OSRRefH22_11x_0</vt:lpstr>
      <vt:lpstr>'316'!OSRRefH22_11x_0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'313'!OSRRefH22_12x_0</vt:lpstr>
      <vt:lpstr>'315'!OSRRefH22_12x_0</vt:lpstr>
      <vt:lpstr>'316'!OSRRefH22_12x_0</vt:lpstr>
      <vt:lpstr>'321'!OSRRefH22_12x_0</vt:lpstr>
      <vt:lpstr>'322'!OSRRefH22_12x_0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'202'!OSRRefH22_13x_0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'313'!OSRRefH22_13x_0</vt:lpstr>
      <vt:lpstr>'315'!OSRRefH22_13x_0</vt:lpstr>
      <vt:lpstr>'321'!OSRRefH22_13x_0</vt:lpstr>
      <vt:lpstr>'322'!OSRRefH22_13x_0</vt:lpstr>
      <vt:lpstr>'325'!OSRRefH22_13x_0</vt:lpstr>
      <vt:lpstr>'326'!OSRRefH22_13x_0</vt:lpstr>
      <vt:lpstr>'330'!OSRRefH22_13x_0</vt:lpstr>
      <vt:lpstr>'331'!OSRRefH22_13x_0</vt:lpstr>
      <vt:lpstr>'332'!OSRRefH22_13x_0</vt:lpstr>
      <vt:lpstr>'405'!OSRRefH22_13x_0</vt:lpstr>
      <vt:lpstr>'406'!OSRRefH22_13x_0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'202'!OSRRefH22_14x_0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'315'!OSRRefH22_14x_0</vt:lpstr>
      <vt:lpstr>'321'!OSRRefH22_14x_0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'414'!OSRRefH22_14x_0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'414'!OSRRefH22_15x_0</vt:lpstr>
      <vt:lpstr>'415'!OSRRefH22_15x_0</vt:lpstr>
      <vt:lpstr>'418'!OSRRefH22_15x_0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'325'!OSRRefH22_16x_0</vt:lpstr>
      <vt:lpstr>'326'!OSRRefH22_16x_0</vt:lpstr>
      <vt:lpstr>'331'!OSRRefH22_16x_0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'325'!OSRRefH22_17x_0</vt:lpstr>
      <vt:lpstr>'326'!OSRRefH22_17x_0</vt:lpstr>
      <vt:lpstr>'331'!OSRRefH22_17x_0</vt:lpstr>
      <vt:lpstr>'405'!OSRRefH22_17x_0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'310'!OSRRefH22_20x_0</vt:lpstr>
      <vt:lpstr>'310 &amp; 491'!OSRRefH22_20x_0</vt:lpstr>
      <vt:lpstr>'326'!OSRRefH22_20x_0</vt:lpstr>
      <vt:lpstr>'331'!OSRRefH22_20x_0</vt:lpstr>
      <vt:lpstr>'491'!OSRRefH22_20x_0</vt:lpstr>
      <vt:lpstr>'Div 2'!OSRRefH22_20x_0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'310'!OSRRefH22_22x_0</vt:lpstr>
      <vt:lpstr>'310 &amp; 491'!OSRRefH22_22x_0</vt:lpstr>
      <vt:lpstr>'331'!OSRRefH22_22x_0</vt:lpstr>
      <vt:lpstr>'491'!OSRRefH22_22x_0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'310 &amp; 491'!OSRRefH22_24x_0</vt:lpstr>
      <vt:lpstr>'Div 3'!OSRRefH22_24x_0</vt:lpstr>
      <vt:lpstr>'Div 4'!OSRRefH22_24x_0</vt:lpstr>
      <vt:lpstr>Summary!OSRRefH22_24x_0</vt:lpstr>
      <vt:lpstr>'310 &amp; 491'!OSRRefH22_25x_0</vt:lpstr>
      <vt:lpstr>'Div 3'!OSRRefH22_25x_0</vt:lpstr>
      <vt:lpstr>Summary!OSRRefH22_25x_0</vt:lpstr>
      <vt:lpstr>'Div 3'!OSRRefH22_26x_0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'306'!OSRRefH22_5x_0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'314'!OSRRefH22_5x_0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'306'!OSRRefH22_6x_0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'314'!OSRRefH22_6x_0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'306'!OSRRefH22_7x_0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'320'!OSRRefH22_7x_0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'430'!OSRRefH22_7x_0</vt:lpstr>
      <vt:lpstr>'433'!OSRRefH22_7x_0</vt:lpstr>
      <vt:lpstr>'435'!OSRRefH22_7x_0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'205'!OSRRefH22_8x_0</vt:lpstr>
      <vt:lpstr>'206'!OSRRefH22_8x_0</vt:lpstr>
      <vt:lpstr>'300'!OSRRefH22_8x_0</vt:lpstr>
      <vt:lpstr>'300 &amp; 317'!OSRRefH22_8x_0</vt:lpstr>
      <vt:lpstr>'301'!OSRRefH22_8x_0</vt:lpstr>
      <vt:lpstr>'306'!OSRRefH22_8x_0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'430'!OSRRefH22_9x_0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'430'!OSRRefP22_10x_0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'204'!OSRRefP22_11x_0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'313'!OSRRefP22_11x_0</vt:lpstr>
      <vt:lpstr>'315'!OSRRefP22_11x_0</vt:lpstr>
      <vt:lpstr>'316'!OSRRefP22_11x_0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'313'!OSRRefP22_12x_0</vt:lpstr>
      <vt:lpstr>'315'!OSRRefP22_12x_0</vt:lpstr>
      <vt:lpstr>'316'!OSRRefP22_12x_0</vt:lpstr>
      <vt:lpstr>'321'!OSRRefP22_12x_0</vt:lpstr>
      <vt:lpstr>'322'!OSRRefP22_12x_0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'202'!OSRRefP22_13x_0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'313'!OSRRefP22_13x_0</vt:lpstr>
      <vt:lpstr>'315'!OSRRefP22_13x_0</vt:lpstr>
      <vt:lpstr>'321'!OSRRefP22_13x_0</vt:lpstr>
      <vt:lpstr>'322'!OSRRefP22_13x_0</vt:lpstr>
      <vt:lpstr>'325'!OSRRefP22_13x_0</vt:lpstr>
      <vt:lpstr>'326'!OSRRefP22_13x_0</vt:lpstr>
      <vt:lpstr>'330'!OSRRefP22_13x_0</vt:lpstr>
      <vt:lpstr>'331'!OSRRefP22_13x_0</vt:lpstr>
      <vt:lpstr>'332'!OSRRefP22_13x_0</vt:lpstr>
      <vt:lpstr>'405'!OSRRefP22_13x_0</vt:lpstr>
      <vt:lpstr>'406'!OSRRefP22_13x_0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'202'!OSRRefP22_14x_0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'315'!OSRRefP22_14x_0</vt:lpstr>
      <vt:lpstr>'321'!OSRRefP22_14x_0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'414'!OSRRefP22_14x_0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'414'!OSRRefP22_15x_0</vt:lpstr>
      <vt:lpstr>'415'!OSRRefP22_15x_0</vt:lpstr>
      <vt:lpstr>'418'!OSRRefP22_15x_0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'325'!OSRRefP22_16x_0</vt:lpstr>
      <vt:lpstr>'326'!OSRRefP22_16x_0</vt:lpstr>
      <vt:lpstr>'331'!OSRRefP22_16x_0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'325'!OSRRefP22_17x_0</vt:lpstr>
      <vt:lpstr>'326'!OSRRefP22_17x_0</vt:lpstr>
      <vt:lpstr>'331'!OSRRefP22_17x_0</vt:lpstr>
      <vt:lpstr>'405'!OSRRefP22_17x_0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'310'!OSRRefP22_20x_0</vt:lpstr>
      <vt:lpstr>'310 &amp; 491'!OSRRefP22_20x_0</vt:lpstr>
      <vt:lpstr>'326'!OSRRefP22_20x_0</vt:lpstr>
      <vt:lpstr>'331'!OSRRefP22_20x_0</vt:lpstr>
      <vt:lpstr>'491'!OSRRefP22_20x_0</vt:lpstr>
      <vt:lpstr>'Div 2'!OSRRefP22_20x_0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'310'!OSRRefP22_22x_0</vt:lpstr>
      <vt:lpstr>'310 &amp; 491'!OSRRefP22_22x_0</vt:lpstr>
      <vt:lpstr>'331'!OSRRefP22_22x_0</vt:lpstr>
      <vt:lpstr>'491'!OSRRefP22_22x_0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'310 &amp; 491'!OSRRefP22_24x_0</vt:lpstr>
      <vt:lpstr>'Div 3'!OSRRefP22_24x_0</vt:lpstr>
      <vt:lpstr>'Div 4'!OSRRefP22_24x_0</vt:lpstr>
      <vt:lpstr>Summary!OSRRefP22_24x_0</vt:lpstr>
      <vt:lpstr>'310 &amp; 491'!OSRRefP22_25x_0</vt:lpstr>
      <vt:lpstr>'Div 3'!OSRRefP22_25x_0</vt:lpstr>
      <vt:lpstr>Summary!OSRRefP22_25x_0</vt:lpstr>
      <vt:lpstr>'Div 3'!OSRRefP22_26x_0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'306'!OSRRefP22_5x_0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'314'!OSRRefP22_5x_0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'306'!OSRRefP22_6x_0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'314'!OSRRefP22_6x_0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'306'!OSRRefP22_7x_0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'320'!OSRRefP22_7x_0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'430'!OSRRefP22_7x_0</vt:lpstr>
      <vt:lpstr>'433'!OSRRefP22_7x_0</vt:lpstr>
      <vt:lpstr>'435'!OSRRefP22_7x_0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'205'!OSRRefP22_8x_0</vt:lpstr>
      <vt:lpstr>'206'!OSRRefP22_8x_0</vt:lpstr>
      <vt:lpstr>'300'!OSRRefP22_8x_0</vt:lpstr>
      <vt:lpstr>'300 &amp; 317'!OSRRefP22_8x_0</vt:lpstr>
      <vt:lpstr>'301'!OSRRefP22_8x_0</vt:lpstr>
      <vt:lpstr>'306'!OSRRefP22_8x_0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'430'!OSRRefP22_9x_0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'430'!OSRRefT22_10x_0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'204'!OSRRefT22_11x_0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'313'!OSRRefT22_11x_0</vt:lpstr>
      <vt:lpstr>'315'!OSRRefT22_11x_0</vt:lpstr>
      <vt:lpstr>'316'!OSRRefT22_11x_0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'313'!OSRRefT22_12x_0</vt:lpstr>
      <vt:lpstr>'315'!OSRRefT22_12x_0</vt:lpstr>
      <vt:lpstr>'316'!OSRRefT22_12x_0</vt:lpstr>
      <vt:lpstr>'321'!OSRRefT22_12x_0</vt:lpstr>
      <vt:lpstr>'322'!OSRRefT22_12x_0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'202'!OSRRefT22_13x_0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'313'!OSRRefT22_13x_0</vt:lpstr>
      <vt:lpstr>'315'!OSRRefT22_13x_0</vt:lpstr>
      <vt:lpstr>'321'!OSRRefT22_13x_0</vt:lpstr>
      <vt:lpstr>'322'!OSRRefT22_13x_0</vt:lpstr>
      <vt:lpstr>'325'!OSRRefT22_13x_0</vt:lpstr>
      <vt:lpstr>'326'!OSRRefT22_13x_0</vt:lpstr>
      <vt:lpstr>'330'!OSRRefT22_13x_0</vt:lpstr>
      <vt:lpstr>'331'!OSRRefT22_13x_0</vt:lpstr>
      <vt:lpstr>'332'!OSRRefT22_13x_0</vt:lpstr>
      <vt:lpstr>'405'!OSRRefT22_13x_0</vt:lpstr>
      <vt:lpstr>'406'!OSRRefT22_13x_0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'202'!OSRRefT22_14x_0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'315'!OSRRefT22_14x_0</vt:lpstr>
      <vt:lpstr>'321'!OSRRefT22_14x_0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'414'!OSRRefT22_14x_0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'414'!OSRRefT22_15x_0</vt:lpstr>
      <vt:lpstr>'415'!OSRRefT22_15x_0</vt:lpstr>
      <vt:lpstr>'418'!OSRRefT22_15x_0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'325'!OSRRefT22_16x_0</vt:lpstr>
      <vt:lpstr>'326'!OSRRefT22_16x_0</vt:lpstr>
      <vt:lpstr>'331'!OSRRefT22_16x_0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'325'!OSRRefT22_17x_0</vt:lpstr>
      <vt:lpstr>'326'!OSRRefT22_17x_0</vt:lpstr>
      <vt:lpstr>'331'!OSRRefT22_17x_0</vt:lpstr>
      <vt:lpstr>'405'!OSRRefT22_17x_0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'310'!OSRRefT22_20x_0</vt:lpstr>
      <vt:lpstr>'310 &amp; 491'!OSRRefT22_20x_0</vt:lpstr>
      <vt:lpstr>'326'!OSRRefT22_20x_0</vt:lpstr>
      <vt:lpstr>'331'!OSRRefT22_20x_0</vt:lpstr>
      <vt:lpstr>'491'!OSRRefT22_20x_0</vt:lpstr>
      <vt:lpstr>'Div 2'!OSRRefT22_20x_0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'310'!OSRRefT22_22x_0</vt:lpstr>
      <vt:lpstr>'310 &amp; 491'!OSRRefT22_22x_0</vt:lpstr>
      <vt:lpstr>'331'!OSRRefT22_22x_0</vt:lpstr>
      <vt:lpstr>'491'!OSRRefT22_22x_0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'310 &amp; 491'!OSRRefT22_24x_0</vt:lpstr>
      <vt:lpstr>'Div 3'!OSRRefT22_24x_0</vt:lpstr>
      <vt:lpstr>'Div 4'!OSRRefT22_24x_0</vt:lpstr>
      <vt:lpstr>Summary!OSRRefT22_24x_0</vt:lpstr>
      <vt:lpstr>'310 &amp; 491'!OSRRefT22_25x_0</vt:lpstr>
      <vt:lpstr>'Div 3'!OSRRefT22_25x_0</vt:lpstr>
      <vt:lpstr>Summary!OSRRefT22_25x_0</vt:lpstr>
      <vt:lpstr>'Div 3'!OSRRefT22_26x_0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'306'!OSRRefT22_5x_0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'314'!OSRRefT22_5x_0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'306'!OSRRefT22_6x_0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'314'!OSRRefT22_6x_0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'306'!OSRRefT22_7x_0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'320'!OSRRefT22_7x_0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'430'!OSRRefT22_7x_0</vt:lpstr>
      <vt:lpstr>'433'!OSRRefT22_7x_0</vt:lpstr>
      <vt:lpstr>'435'!OSRRefT22_7x_0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'205'!OSRRefT22_8x_0</vt:lpstr>
      <vt:lpstr>'206'!OSRRefT22_8x_0</vt:lpstr>
      <vt:lpstr>'300'!OSRRefT22_8x_0</vt:lpstr>
      <vt:lpstr>'300 &amp; 317'!OSRRefT22_8x_0</vt:lpstr>
      <vt:lpstr>'301'!OSRRefT22_8x_0</vt:lpstr>
      <vt:lpstr>'306'!OSRRefT22_8x_0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'430'!OSRRefT22_9x_0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'312'!Print_Area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'323'!Print_Area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'445'!Print_Area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'312'!Print_Titles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'323'!Print_Titles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'445'!Print_Titles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cp:lastPrinted>2019-09-25T16:17:32Z</cp:lastPrinted>
  <dcterms:modified xsi:type="dcterms:W3CDTF">2019-09-25T18:55:13Z</dcterms:modified>
</cp:coreProperties>
</file>